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k.d.miasto" sheetId="1" r:id="rId1"/>
    <sheet name="k.d.Rąbień" sheetId="2" r:id="rId2"/>
    <sheet name="rowy" sheetId="3" r:id="rId3"/>
  </sheets>
  <definedNames>
    <definedName name="_xlnm.Print_Area" localSheetId="0">'k.d.miasto'!$A$1:$Q$74</definedName>
    <definedName name="_xlnm.Print_Area" localSheetId="1">'k.d.Rąbień'!$A$1:$K$25</definedName>
  </definedNames>
  <calcPr fullCalcOnLoad="1"/>
</workbook>
</file>

<file path=xl/sharedStrings.xml><?xml version="1.0" encoding="utf-8"?>
<sst xmlns="http://schemas.openxmlformats.org/spreadsheetml/2006/main" count="188" uniqueCount="157">
  <si>
    <t>Zestawienie sieci i innych elementów kanalizacji deszczowej w mieście Aleksandrów Łódzki</t>
  </si>
  <si>
    <t>Lp.</t>
  </si>
  <si>
    <t>Nazwa ulicy</t>
  </si>
  <si>
    <t>długość
[mb]</t>
  </si>
  <si>
    <t>w tym  rurociąg o średnicy [mm]</t>
  </si>
  <si>
    <t>ilość studzie nek [szt.]</t>
  </si>
  <si>
    <t>Ilość wpustów ulicznych [szt.]</t>
  </si>
  <si>
    <t>Uwagi</t>
  </si>
  <si>
    <t>&gt; 800</t>
  </si>
  <si>
    <t>Górna</t>
  </si>
  <si>
    <t>Kaczeńcowa</t>
  </si>
  <si>
    <t>Targowy Rynek (obejście)</t>
  </si>
  <si>
    <t>Warszawska (przepust)</t>
  </si>
  <si>
    <t>1-go Maja (drenaż)</t>
  </si>
  <si>
    <t>Zielona</t>
  </si>
  <si>
    <t>L przyk=42m</t>
  </si>
  <si>
    <t>Poniatowskiego</t>
  </si>
  <si>
    <t>D700=102 m; L przyk= 42,1m; przebud. w 2005 r.</t>
  </si>
  <si>
    <t>Jasińskiego (na posesjach)</t>
  </si>
  <si>
    <t>Jasińskiego (ulica)</t>
  </si>
  <si>
    <t>L przyk=10,5m</t>
  </si>
  <si>
    <t>Konstytucji 3-go Maja</t>
  </si>
  <si>
    <t>L przyk=20,3m</t>
  </si>
  <si>
    <t>Parkowa</t>
  </si>
  <si>
    <t>L przyk=83,3m</t>
  </si>
  <si>
    <t>ul. Parkowa-łopatka od Wierz bińskiej - drenaż (2007 r.)</t>
  </si>
  <si>
    <t>włączony do st. k.d. w łopatce</t>
  </si>
  <si>
    <t>Niemcewicza (drenaż w chodniku 2007  r.)</t>
  </si>
  <si>
    <t>włączony do st. k.d. w ul. Konstytucji</t>
  </si>
  <si>
    <t>Wierzbińska (drenaż)</t>
  </si>
  <si>
    <t>Chopina</t>
  </si>
  <si>
    <t>Chopina (drenaż wyk.w 2007)</t>
  </si>
  <si>
    <t>od nr 7 do 11.</t>
  </si>
  <si>
    <t>Moniuszki</t>
  </si>
  <si>
    <t>11-go Listopada (drenaż od ul. Przejazd do ul. Poniatow-skiego)-</t>
  </si>
  <si>
    <t>11-go Listopada (drenaż od ul. Przejazd do ul. Francisz-kańskiej (r. budowy 2008)</t>
  </si>
  <si>
    <t>st. teleskopowe D=40 cm typu lekkiego</t>
  </si>
  <si>
    <t>R A Z E M (poz. 1 - 19)</t>
  </si>
  <si>
    <t>w tym drenaż</t>
  </si>
  <si>
    <t>ilość studzie-nek [szt.]</t>
  </si>
  <si>
    <t>100/110</t>
  </si>
  <si>
    <t>150/160</t>
  </si>
  <si>
    <t>Franciszkańska</t>
  </si>
  <si>
    <t>Piotrkowska (od ul. Wolności do Krótkiej i do wylotu)</t>
  </si>
  <si>
    <t>D 1000 = 156 mb
D 1400 =   79 mb</t>
  </si>
  <si>
    <t>Wolności</t>
  </si>
  <si>
    <t>D1000=427,5</t>
  </si>
  <si>
    <t>Waryńskiego (SP-1) i do ul. Wojska Pol.</t>
  </si>
  <si>
    <t>Wojska Polskiego (do ul Wolności)-nowa k.d. w ulicy</t>
  </si>
  <si>
    <t>Wojska Polskiego
(przy blokach)</t>
  </si>
  <si>
    <t>D1000=386,5</t>
  </si>
  <si>
    <t>Sikorskiego</t>
  </si>
  <si>
    <t>Osiedle Bratoszewskiego</t>
  </si>
  <si>
    <t>Konstantynowska</t>
  </si>
  <si>
    <t>Pabianicka</t>
  </si>
  <si>
    <t>D1000=153mb</t>
  </si>
  <si>
    <t>Piłsudskiego</t>
  </si>
  <si>
    <t xml:space="preserve">Piłsudskiego </t>
  </si>
  <si>
    <t>(uliczki do bloków przy ul. Piłs. nr 16, 22 i 24)</t>
  </si>
  <si>
    <t>Senatorska</t>
  </si>
  <si>
    <t>Legionowa</t>
  </si>
  <si>
    <t>Dmowskiego</t>
  </si>
  <si>
    <t>Poselska</t>
  </si>
  <si>
    <t>Poselska (uzupełnienie)</t>
  </si>
  <si>
    <t>Poselska przy Biedronce (wyk. 2013 r.)</t>
  </si>
  <si>
    <t>1 st. rew. D1000;
5 st D600</t>
  </si>
  <si>
    <t>Bankowa (wykonano 
w 2002 r.)</t>
  </si>
  <si>
    <t>L przyk=16,7+
14,0=30,7m</t>
  </si>
  <si>
    <t>k.d. na parkingu przy Pabianickiej - SP 1 (2006)</t>
  </si>
  <si>
    <t>1 separator lamelowy Ekol Unicon 10/100 d 1500</t>
  </si>
  <si>
    <t>ul. Południowa (2008 r.)</t>
  </si>
  <si>
    <t>przyk. D=200 - L=23 mb</t>
  </si>
  <si>
    <t>R A Z E M (poz. 20 – 40)</t>
  </si>
  <si>
    <t>ilość studzienek [szt.]</t>
  </si>
  <si>
    <t>Od P&amp;G do ul. Francisz-kańskiej (wylot-rówR-Bz-60)-r.bud.2008</t>
  </si>
  <si>
    <t>st. bet. 1200</t>
  </si>
  <si>
    <t>ul. Północna (2007)</t>
  </si>
  <si>
    <t>przyk. D=200 - L=41,45 mb</t>
  </si>
  <si>
    <t>ul. Placydowska (2008)</t>
  </si>
  <si>
    <t>2 separatory lamelowe Ecol-Unicon:
ESL 40/400;
ESL 160/1600</t>
  </si>
  <si>
    <t>ul. Zachodnia (360,5 m)
i Chopina (83,5 m)</t>
  </si>
  <si>
    <t>separator lamelowy Ecol-Unicon: ESL 90/900</t>
  </si>
  <si>
    <t>ul. Brużyca - Zbożowa - kanał od ul. Chmielnej do rowu R-14</t>
  </si>
  <si>
    <t>ul. Polna – przepust na kanale R-Bz-75</t>
  </si>
  <si>
    <t>Wyk. 29.04.2016 (Markbud) – 2 przykanaliki, 2 wpusty i 1 przelew z rowu</t>
  </si>
  <si>
    <t>ul. Warszawska – Strumykowa kanał pełny</t>
  </si>
  <si>
    <t>6 szt. D600, 3 szt. D425,
2 szt. D 1200 w tym 1 z osadnikiem</t>
  </si>
  <si>
    <t>2015 – 2016 rok</t>
  </si>
  <si>
    <t>ul. Warszawska – Strumykowa drenaż w linii kanału pełnego</t>
  </si>
  <si>
    <t>2015 – 2016 rok
2 wpusty wyk. W 2017 r.</t>
  </si>
  <si>
    <t>Od Machulskiego do Waryńskiego (od bloku mieszk.)</t>
  </si>
  <si>
    <t xml:space="preserve">D 800 – 10 szt.; </t>
  </si>
  <si>
    <t>2017 r.
D200 to przykanaliki</t>
  </si>
  <si>
    <t>Pabianicka od Konstantynowskiej na wschód</t>
  </si>
  <si>
    <t>w tym przykanaliki: 124,1+22,1=146,2 mb
Przykanaliki i wpusty wyk. w  2017 r.</t>
  </si>
  <si>
    <t>R A Z E M (poz. 41 – 50)</t>
  </si>
  <si>
    <t>O G ÓŁ E M
Poz. 1 – 50</t>
  </si>
  <si>
    <t>Wyloty kanalizacji deszczowej:</t>
  </si>
  <si>
    <t>a) do rowu R-Bz-75 przy ul. Piotrkowskiej                 - 1 szt.;
b) do rowu R-Bz-80 przy ul. Warszawskiej                 - 1 szt.;
c) do rowu R-Bz-65 przy ul. Targowej/Kordeckiego  - 1 szt.;
d) do rowu R-Bz-60 przy ul. Franciszkańskiej             - 3 szt.;
e) do rowu R-Bz-60 przy ul. Placydowskiej                 - 2 szt.;
f) do rowu R-14 w rejonie ul. Zbożowej                     - 1 szt.;</t>
  </si>
  <si>
    <t>Zestawienie sieci i innych elementów kanalizacji deszczowej 
w RĄBIENIU</t>
  </si>
  <si>
    <t>Nazwa ulicy
Określenie lokalizacji odcinka k.d.</t>
  </si>
  <si>
    <t>Kolektor dolotowy: od wylotu do rowu R-13/1 do st.190.39/188.25 na terenie byłego POM-u</t>
  </si>
  <si>
    <t>Rurociągi k.d. na terenie byłego POM-u (ul. Okrężna)</t>
  </si>
  <si>
    <t>od st. 190.39/188/25 do st.190.15</t>
  </si>
  <si>
    <t>od pktu 190.18 przez st. 190.26/188.78 do przyłączy w st.190.72
/189.41 - włącznie z przyłączami</t>
  </si>
  <si>
    <t>od st. 190.26/188/78 (z przyk. do dz. nr 361/29 do st.1890.63 przy wjeździe</t>
  </si>
  <si>
    <t>lub 2 studzienki</t>
  </si>
  <si>
    <t>od st. 190.53/188.34 do st. 190.80 (wyłącznie)</t>
  </si>
  <si>
    <t>od pktu 190.72 do st. 190.36/188/76 
z przykanalikami</t>
  </si>
  <si>
    <t>od st. 190.53/188.34 do pktu 190.40 (albo 190.35) z przykanalikami</t>
  </si>
  <si>
    <t>2007 r. k.d. przy sali gimnastycznej S.P. w Rąbieniu</t>
  </si>
  <si>
    <t>3 st. D=1000
3 st. D=400</t>
  </si>
  <si>
    <t>Razem POM - ul. Okrężna</t>
  </si>
  <si>
    <t>Ulica Słowiańska w Rąbieniu i Antoniewie (wyk. 2010 r)</t>
  </si>
  <si>
    <t>rurociągi odwadniające ulicę systemem drenażowym - sączki drenarskie 110 mm w oplocie kokosowym z przesyłem wody odrębnym rurociągiem PVC 160 mm - ułożone obok siebie równolegle</t>
  </si>
  <si>
    <t>Ulica Promienista (wyk. 2014 r)</t>
  </si>
  <si>
    <t>1 st. Dn 425 z osadnikiem
wpusty Dn 315 PVC</t>
  </si>
  <si>
    <t>Ulica Stokrotki</t>
  </si>
  <si>
    <t>D1200;
2 wloty do kanału</t>
  </si>
  <si>
    <t>Ulica Agrestowa</t>
  </si>
  <si>
    <t xml:space="preserve">rok budowy 2017. </t>
  </si>
  <si>
    <t>Ulica Ogórkowa</t>
  </si>
  <si>
    <t>Razem RĄBIEŃ</t>
  </si>
  <si>
    <t xml:space="preserve">    Wylot kanalizacji deszczowej do rowu R-13/1 w Rąbieniu (za szkołą podstawową)</t>
  </si>
  <si>
    <t>1 szt.</t>
  </si>
  <si>
    <t xml:space="preserve">    Wyloty drenażu do rowu R-L-4 w Rąbieniu przy ul. Słowiańskiej</t>
  </si>
  <si>
    <t>2 szt.</t>
  </si>
  <si>
    <t xml:space="preserve">    Wylot do rowu R-L-3 przy ul. Stokrotki</t>
  </si>
  <si>
    <t xml:space="preserve">    Wloty do kanału deszczowego przy ul. Stokrotki z osadnikami piaskowymi</t>
  </si>
  <si>
    <t>2szt</t>
  </si>
  <si>
    <t xml:space="preserve">    Wylot drenażu i k.d. do rowu R-L-4 w Rąbieniu na wysokości połączenia ulic Wiśniowej z Ogórkową</t>
  </si>
  <si>
    <t>Wykaz rowów - odbiorników wód z kanalizacji deszczowej
w gminie Aleksandrów Łódzki</t>
  </si>
  <si>
    <t>Lokalizacja rowu</t>
  </si>
  <si>
    <t>Nazwa rowu</t>
  </si>
  <si>
    <t>długość rowu do utrzymania (konserwacji) w ramach zamówienia [mb]</t>
  </si>
  <si>
    <t xml:space="preserve">Aleksandrów Łódzki - od początku cieku przy wylocie k.d. w ulicy Franciszkańskiej (na wschód od ul.  w dół - do miejsca zrzutu wód popłucznych z ujęcia wody (od hm 45+80 do hm 48+30) </t>
  </si>
  <si>
    <t>R-Bz-60</t>
  </si>
  <si>
    <t xml:space="preserve">Aleksandrów Łódzki - od końca odcinkaw punkcie 1 w hektometrze 45+80 do hektometra 34+00, który znajduje się w odległości 100 m na zachód od ul. Placydowskiej. </t>
  </si>
  <si>
    <t>Aleksandrów Łódzki - od mostu pod ulicą Targową w dół cieku</t>
  </si>
  <si>
    <t>R-Bz-65</t>
  </si>
  <si>
    <t>Aleksandrów Łódzki – od wylotu k.d. z ulicy Piotrkowskiej w dół - do przepustu w ul. Zgierskiej</t>
  </si>
  <si>
    <t>R-Bz-75</t>
  </si>
  <si>
    <t>Aleksandrów Łódzki - od ulicy Warszawskiej do rowu R-Bz-75</t>
  </si>
  <si>
    <t>R-Bz-80</t>
  </si>
  <si>
    <t>Aleksandrów Łódzki - ul. Zbożowa - rów od wylotu k.d. do rzeki Bzury - konserwacja ręczna (faszyna)</t>
  </si>
  <si>
    <t>R - 14</t>
  </si>
  <si>
    <t>Rąbień od wylotu kanalizacyjnego do połączenia z rowem R-L-15</t>
  </si>
  <si>
    <t>R-13/1</t>
  </si>
  <si>
    <t>Rąbień - od wylotów kanalizacyjnych do przepustu pod ulicą Wiśniową przy działce nr 404/6 wraz z czyszczeniem 2 przepustów</t>
  </si>
  <si>
    <t>R-L-4</t>
  </si>
  <si>
    <t>Rąbień od wylotu k.d. przy ul. Stokrotki do ul. Pańskiej</t>
  </si>
  <si>
    <t>R-L-3</t>
  </si>
  <si>
    <t>Rąbień od wylotu k.d. na wysokości zbiegu ulic Wiśniowej i Ogórkowej</t>
  </si>
  <si>
    <t>Długość   r a z e m</t>
  </si>
  <si>
    <t>Załącznik nr 2.1</t>
  </si>
  <si>
    <t xml:space="preserve">Załącznik nr 2.2   </t>
  </si>
  <si>
    <t>Załącznik nr 2.3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</si>
</sst>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sz val="9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10"/>
      <color indexed="18"/>
      <name val="Garamond"/>
      <family val="1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6"/>
      <name val="Arial CE"/>
      <family val="2"/>
    </font>
    <font>
      <sz val="80"/>
      <name val="Arial CE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9" fillId="0" borderId="0" xfId="0" applyFont="1" applyFill="1" applyAlignment="1">
      <alignment horizontal="right" wrapText="1"/>
    </xf>
    <xf numFmtId="0" fontId="14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1743075</xdr:colOff>
      <xdr:row>2</xdr:row>
      <xdr:rowOff>123825</xdr:rowOff>
    </xdr:from>
    <xdr:to>
      <xdr:col>4</xdr:col>
      <xdr:colOff>666750</xdr:colOff>
      <xdr:row>3</xdr:row>
      <xdr:rowOff>742950</xdr:rowOff>
    </xdr:to>
    <xdr:sp>
      <xdr:nvSpPr>
        <xdr:cNvPr id="1" name="Linia 1"/>
        <xdr:cNvSpPr>
          <a:spLocks/>
        </xdr:cNvSpPr>
      </xdr:nvSpPr>
      <xdr:spPr>
        <a:xfrm>
          <a:off x="7648575" y="1143000"/>
          <a:ext cx="676275" cy="78105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9525</xdr:colOff>
      <xdr:row>3</xdr:row>
      <xdr:rowOff>0</xdr:rowOff>
    </xdr:from>
    <xdr:to>
      <xdr:col>5</xdr:col>
      <xdr:colOff>0</xdr:colOff>
      <xdr:row>3</xdr:row>
      <xdr:rowOff>762000</xdr:rowOff>
    </xdr:to>
    <xdr:sp>
      <xdr:nvSpPr>
        <xdr:cNvPr id="2" name="Linia 2"/>
        <xdr:cNvSpPr>
          <a:spLocks/>
        </xdr:cNvSpPr>
      </xdr:nvSpPr>
      <xdr:spPr>
        <a:xfrm flipV="1">
          <a:off x="7667625" y="1181100"/>
          <a:ext cx="676275" cy="76200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view="pageBreakPreview" zoomScale="120" zoomScaleSheetLayoutView="120" zoomScalePageLayoutView="0" workbookViewId="0" topLeftCell="A22">
      <selection activeCell="R35" sqref="R35"/>
    </sheetView>
  </sheetViews>
  <sheetFormatPr defaultColWidth="9.00390625" defaultRowHeight="12.75"/>
  <cols>
    <col min="1" max="1" width="3.375" style="1" customWidth="1"/>
    <col min="2" max="2" width="22.875" style="1" customWidth="1"/>
    <col min="3" max="3" width="8.25390625" style="1" customWidth="1"/>
    <col min="4" max="4" width="7.00390625" style="1" customWidth="1"/>
    <col min="5" max="5" width="6.625" style="1" customWidth="1"/>
    <col min="6" max="6" width="6.875" style="1" customWidth="1"/>
    <col min="7" max="7" width="6.625" style="1" customWidth="1"/>
    <col min="8" max="8" width="6.875" style="1" customWidth="1"/>
    <col min="9" max="9" width="6.625" style="1" customWidth="1"/>
    <col min="10" max="10" width="5.875" style="1" customWidth="1"/>
    <col min="11" max="11" width="6.25390625" style="1" customWidth="1"/>
    <col min="12" max="13" width="6.75390625" style="1" customWidth="1"/>
    <col min="14" max="14" width="6.375" style="1" customWidth="1"/>
    <col min="15" max="15" width="9.25390625" style="1" customWidth="1"/>
    <col min="16" max="16" width="8.625" style="1" customWidth="1"/>
    <col min="17" max="17" width="18.625" style="1" customWidth="1"/>
    <col min="18" max="18" width="9.125" style="1" customWidth="1"/>
    <col min="19" max="19" width="10.625" style="1" customWidth="1"/>
    <col min="20" max="16384" width="9.125" style="1" customWidth="1"/>
  </cols>
  <sheetData>
    <row r="1" spans="1:17" s="2" customFormat="1" ht="10.5" customHeight="1">
      <c r="A1" s="97"/>
      <c r="B1" s="97"/>
      <c r="P1" s="98" t="s">
        <v>154</v>
      </c>
      <c r="Q1" s="98"/>
    </row>
    <row r="2" spans="1:17" ht="18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2" customFormat="1" ht="16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4" customFormat="1" ht="25.5" customHeight="1">
      <c r="A4" s="96" t="s">
        <v>1</v>
      </c>
      <c r="B4" s="96" t="s">
        <v>2</v>
      </c>
      <c r="C4" s="96" t="s">
        <v>3</v>
      </c>
      <c r="D4" s="96" t="s">
        <v>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 t="s">
        <v>5</v>
      </c>
      <c r="P4" s="96" t="s">
        <v>6</v>
      </c>
      <c r="Q4" s="96" t="s">
        <v>7</v>
      </c>
    </row>
    <row r="5" spans="1:17" s="4" customFormat="1" ht="26.25" customHeight="1">
      <c r="A5" s="96"/>
      <c r="B5" s="96"/>
      <c r="C5" s="96"/>
      <c r="D5" s="3">
        <v>100</v>
      </c>
      <c r="E5" s="3">
        <v>150</v>
      </c>
      <c r="F5" s="3">
        <v>200</v>
      </c>
      <c r="G5" s="3">
        <v>250</v>
      </c>
      <c r="H5" s="3">
        <v>300</v>
      </c>
      <c r="I5" s="3">
        <v>350</v>
      </c>
      <c r="J5" s="3">
        <v>400</v>
      </c>
      <c r="K5" s="3">
        <v>500</v>
      </c>
      <c r="L5" s="3">
        <v>600</v>
      </c>
      <c r="M5" s="3">
        <v>800</v>
      </c>
      <c r="N5" s="3" t="s">
        <v>8</v>
      </c>
      <c r="O5" s="96"/>
      <c r="P5" s="96"/>
      <c r="Q5" s="96"/>
    </row>
    <row r="6" spans="1:17" ht="15.75" customHeight="1">
      <c r="A6" s="5">
        <v>1</v>
      </c>
      <c r="B6" s="5" t="s">
        <v>9</v>
      </c>
      <c r="C6" s="6">
        <f aca="true" t="shared" si="0" ref="C6:C16">SUM(D6:N6)</f>
        <v>97.5</v>
      </c>
      <c r="D6" s="6"/>
      <c r="E6" s="6"/>
      <c r="F6" s="6"/>
      <c r="G6" s="6"/>
      <c r="H6" s="6">
        <v>97.5</v>
      </c>
      <c r="I6" s="6"/>
      <c r="J6" s="6"/>
      <c r="K6" s="6"/>
      <c r="L6" s="6"/>
      <c r="M6" s="6"/>
      <c r="N6" s="6"/>
      <c r="O6" s="5">
        <v>3</v>
      </c>
      <c r="P6" s="5">
        <v>4</v>
      </c>
      <c r="Q6" s="5"/>
    </row>
    <row r="7" spans="1:17" ht="15.75" customHeight="1">
      <c r="A7" s="5">
        <f aca="true" t="shared" si="1" ref="A7:A24">A6+1</f>
        <v>2</v>
      </c>
      <c r="B7" s="5" t="s">
        <v>10</v>
      </c>
      <c r="C7" s="6">
        <f t="shared" si="0"/>
        <v>238</v>
      </c>
      <c r="D7" s="6"/>
      <c r="E7" s="6"/>
      <c r="F7" s="6"/>
      <c r="G7" s="6"/>
      <c r="H7" s="6">
        <v>46</v>
      </c>
      <c r="I7" s="6"/>
      <c r="J7" s="6"/>
      <c r="K7" s="6">
        <v>41</v>
      </c>
      <c r="L7" s="6">
        <v>151</v>
      </c>
      <c r="M7" s="6"/>
      <c r="N7" s="6"/>
      <c r="O7" s="5">
        <v>7</v>
      </c>
      <c r="P7" s="5">
        <v>7</v>
      </c>
      <c r="Q7" s="7"/>
    </row>
    <row r="8" spans="1:17" ht="15.75" customHeight="1">
      <c r="A8" s="5">
        <f t="shared" si="1"/>
        <v>3</v>
      </c>
      <c r="B8" s="5" t="s">
        <v>11</v>
      </c>
      <c r="C8" s="6">
        <f t="shared" si="0"/>
        <v>100</v>
      </c>
      <c r="D8" s="6"/>
      <c r="E8" s="6"/>
      <c r="F8" s="6"/>
      <c r="G8" s="6"/>
      <c r="H8" s="6"/>
      <c r="I8" s="6"/>
      <c r="J8" s="6"/>
      <c r="K8" s="6"/>
      <c r="L8" s="6">
        <v>100</v>
      </c>
      <c r="M8" s="6"/>
      <c r="N8" s="6"/>
      <c r="O8" s="5">
        <v>2</v>
      </c>
      <c r="P8" s="5">
        <v>0</v>
      </c>
      <c r="Q8" s="7"/>
    </row>
    <row r="9" spans="1:17" ht="15.75" customHeight="1">
      <c r="A9" s="5">
        <f t="shared" si="1"/>
        <v>4</v>
      </c>
      <c r="B9" s="5" t="s">
        <v>12</v>
      </c>
      <c r="C9" s="6">
        <f t="shared" si="0"/>
        <v>20</v>
      </c>
      <c r="D9" s="6"/>
      <c r="E9" s="6"/>
      <c r="F9" s="6"/>
      <c r="G9" s="6"/>
      <c r="H9" s="6"/>
      <c r="I9" s="6"/>
      <c r="J9" s="6"/>
      <c r="K9" s="6">
        <v>20</v>
      </c>
      <c r="L9" s="6"/>
      <c r="M9" s="6"/>
      <c r="N9" s="6"/>
      <c r="O9" s="5">
        <v>0</v>
      </c>
      <c r="P9" s="5">
        <v>2</v>
      </c>
      <c r="Q9" s="7"/>
    </row>
    <row r="10" spans="1:17" ht="15.75" customHeight="1">
      <c r="A10" s="5">
        <f t="shared" si="1"/>
        <v>5</v>
      </c>
      <c r="B10" s="5" t="s">
        <v>13</v>
      </c>
      <c r="C10" s="6">
        <f t="shared" si="0"/>
        <v>295</v>
      </c>
      <c r="D10" s="6">
        <f>138+149</f>
        <v>287</v>
      </c>
      <c r="E10" s="6"/>
      <c r="F10" s="6">
        <v>8</v>
      </c>
      <c r="G10" s="6"/>
      <c r="H10" s="6"/>
      <c r="I10" s="6"/>
      <c r="J10" s="6"/>
      <c r="K10" s="6"/>
      <c r="L10" s="6"/>
      <c r="M10" s="6"/>
      <c r="N10" s="6"/>
      <c r="O10" s="5">
        <v>5</v>
      </c>
      <c r="P10" s="5">
        <v>8</v>
      </c>
      <c r="Q10" s="7"/>
    </row>
    <row r="11" spans="1:17" ht="15.75" customHeight="1">
      <c r="A11" s="5">
        <f t="shared" si="1"/>
        <v>6</v>
      </c>
      <c r="B11" s="5" t="s">
        <v>14</v>
      </c>
      <c r="C11" s="6">
        <f t="shared" si="0"/>
        <v>348</v>
      </c>
      <c r="D11" s="6"/>
      <c r="E11" s="6"/>
      <c r="F11" s="6"/>
      <c r="G11" s="6"/>
      <c r="H11" s="6">
        <v>178</v>
      </c>
      <c r="I11" s="6"/>
      <c r="J11" s="6">
        <v>170</v>
      </c>
      <c r="K11" s="6"/>
      <c r="L11" s="6"/>
      <c r="M11" s="6"/>
      <c r="N11" s="6"/>
      <c r="O11" s="5">
        <f>3+1+4</f>
        <v>8</v>
      </c>
      <c r="P11" s="5">
        <v>11</v>
      </c>
      <c r="Q11" s="7" t="s">
        <v>15</v>
      </c>
    </row>
    <row r="12" spans="1:17" ht="23.25" customHeight="1">
      <c r="A12" s="5">
        <f t="shared" si="1"/>
        <v>7</v>
      </c>
      <c r="B12" s="5" t="s">
        <v>16</v>
      </c>
      <c r="C12" s="6">
        <f t="shared" si="0"/>
        <v>520</v>
      </c>
      <c r="D12" s="8"/>
      <c r="E12" s="8"/>
      <c r="F12" s="8"/>
      <c r="G12" s="8"/>
      <c r="H12" s="8">
        <f>105.5+4.5</f>
        <v>110</v>
      </c>
      <c r="I12" s="8"/>
      <c r="J12" s="8">
        <v>4.5</v>
      </c>
      <c r="K12" s="8"/>
      <c r="L12" s="6">
        <v>303.5</v>
      </c>
      <c r="M12" s="6">
        <v>102</v>
      </c>
      <c r="N12" s="6"/>
      <c r="O12" s="5">
        <v>14</v>
      </c>
      <c r="P12" s="5">
        <v>13</v>
      </c>
      <c r="Q12" s="7" t="s">
        <v>17</v>
      </c>
    </row>
    <row r="13" spans="1:17" ht="15.75" customHeight="1">
      <c r="A13" s="5">
        <f t="shared" si="1"/>
        <v>8</v>
      </c>
      <c r="B13" s="5" t="s">
        <v>18</v>
      </c>
      <c r="C13" s="6">
        <f t="shared" si="0"/>
        <v>113</v>
      </c>
      <c r="D13" s="6"/>
      <c r="E13" s="6"/>
      <c r="F13" s="6"/>
      <c r="G13" s="6"/>
      <c r="H13" s="6">
        <v>113</v>
      </c>
      <c r="I13" s="6"/>
      <c r="J13" s="6"/>
      <c r="K13" s="6"/>
      <c r="L13" s="6"/>
      <c r="M13" s="6"/>
      <c r="N13" s="6"/>
      <c r="O13" s="5">
        <v>2</v>
      </c>
      <c r="P13" s="5">
        <v>0</v>
      </c>
      <c r="Q13" s="9"/>
    </row>
    <row r="14" spans="1:17" ht="15.75" customHeight="1">
      <c r="A14" s="5">
        <f t="shared" si="1"/>
        <v>9</v>
      </c>
      <c r="B14" s="5" t="s">
        <v>19</v>
      </c>
      <c r="C14" s="6">
        <f t="shared" si="0"/>
        <v>112</v>
      </c>
      <c r="D14" s="6"/>
      <c r="E14" s="6"/>
      <c r="F14" s="6"/>
      <c r="G14" s="6"/>
      <c r="H14" s="6">
        <v>112</v>
      </c>
      <c r="I14" s="6"/>
      <c r="J14" s="6"/>
      <c r="K14" s="6"/>
      <c r="L14" s="6"/>
      <c r="M14" s="6"/>
      <c r="N14" s="6"/>
      <c r="O14" s="5">
        <v>4</v>
      </c>
      <c r="P14" s="5">
        <v>3</v>
      </c>
      <c r="Q14" s="7" t="s">
        <v>20</v>
      </c>
    </row>
    <row r="15" spans="1:17" ht="15.75" customHeight="1">
      <c r="A15" s="5">
        <f t="shared" si="1"/>
        <v>10</v>
      </c>
      <c r="B15" s="5" t="s">
        <v>21</v>
      </c>
      <c r="C15" s="6">
        <f t="shared" si="0"/>
        <v>121</v>
      </c>
      <c r="D15" s="6"/>
      <c r="E15" s="6"/>
      <c r="F15" s="6"/>
      <c r="G15" s="6"/>
      <c r="H15" s="6">
        <v>121</v>
      </c>
      <c r="I15" s="6"/>
      <c r="J15" s="6"/>
      <c r="K15" s="6"/>
      <c r="L15" s="6"/>
      <c r="M15" s="6"/>
      <c r="N15" s="6"/>
      <c r="O15" s="5">
        <v>4</v>
      </c>
      <c r="P15" s="5">
        <v>5</v>
      </c>
      <c r="Q15" s="7" t="s">
        <v>22</v>
      </c>
    </row>
    <row r="16" spans="1:17" ht="15.75" customHeight="1">
      <c r="A16" s="5">
        <f t="shared" si="1"/>
        <v>11</v>
      </c>
      <c r="B16" s="5" t="s">
        <v>23</v>
      </c>
      <c r="C16" s="6">
        <f t="shared" si="0"/>
        <v>222</v>
      </c>
      <c r="D16" s="6"/>
      <c r="E16" s="6"/>
      <c r="F16" s="6"/>
      <c r="G16" s="6"/>
      <c r="H16" s="6">
        <v>222</v>
      </c>
      <c r="I16" s="6"/>
      <c r="J16" s="6"/>
      <c r="K16" s="6"/>
      <c r="L16" s="6"/>
      <c r="M16" s="6"/>
      <c r="N16" s="6"/>
      <c r="O16" s="5">
        <v>4</v>
      </c>
      <c r="P16" s="5">
        <v>5</v>
      </c>
      <c r="Q16" s="7" t="s">
        <v>24</v>
      </c>
    </row>
    <row r="17" spans="1:17" ht="24.75" customHeight="1">
      <c r="A17" s="5">
        <f t="shared" si="1"/>
        <v>12</v>
      </c>
      <c r="B17" s="10" t="s">
        <v>25</v>
      </c>
      <c r="C17" s="8">
        <v>30</v>
      </c>
      <c r="D17" s="8">
        <f>C17</f>
        <v>30</v>
      </c>
      <c r="E17" s="8"/>
      <c r="F17" s="8"/>
      <c r="G17" s="8"/>
      <c r="H17" s="8"/>
      <c r="I17" s="8"/>
      <c r="J17" s="8"/>
      <c r="K17" s="8"/>
      <c r="L17" s="11"/>
      <c r="M17" s="11"/>
      <c r="N17" s="11"/>
      <c r="O17" s="11">
        <v>0</v>
      </c>
      <c r="P17" s="11">
        <v>0</v>
      </c>
      <c r="Q17" s="7" t="s">
        <v>26</v>
      </c>
    </row>
    <row r="18" spans="1:17" ht="25.5">
      <c r="A18" s="5">
        <f t="shared" si="1"/>
        <v>13</v>
      </c>
      <c r="B18" s="5" t="s">
        <v>27</v>
      </c>
      <c r="C18" s="6">
        <f>D18</f>
        <v>62</v>
      </c>
      <c r="D18" s="6">
        <v>62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7" t="s">
        <v>28</v>
      </c>
    </row>
    <row r="19" spans="1:17" ht="15.75" customHeight="1">
      <c r="A19" s="5">
        <f t="shared" si="1"/>
        <v>14</v>
      </c>
      <c r="B19" s="5" t="s">
        <v>29</v>
      </c>
      <c r="C19" s="6">
        <f>SUM(D19:N19)</f>
        <v>130</v>
      </c>
      <c r="D19" s="6">
        <v>130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v>1</v>
      </c>
      <c r="P19" s="5">
        <v>2</v>
      </c>
      <c r="Q19" s="7"/>
    </row>
    <row r="20" spans="1:17" ht="15.75" customHeight="1">
      <c r="A20" s="5">
        <f t="shared" si="1"/>
        <v>15</v>
      </c>
      <c r="B20" s="5" t="s">
        <v>30</v>
      </c>
      <c r="C20" s="6">
        <f>SUM(D20:N20)</f>
        <v>84</v>
      </c>
      <c r="D20" s="6"/>
      <c r="E20" s="6"/>
      <c r="F20" s="6"/>
      <c r="G20" s="6"/>
      <c r="H20" s="6"/>
      <c r="I20" s="6"/>
      <c r="J20" s="6">
        <v>84</v>
      </c>
      <c r="K20" s="6"/>
      <c r="L20" s="6"/>
      <c r="M20" s="6"/>
      <c r="N20" s="6"/>
      <c r="O20" s="5">
        <v>3</v>
      </c>
      <c r="P20" s="5">
        <v>8</v>
      </c>
      <c r="Q20" s="7"/>
    </row>
    <row r="21" spans="1:17" ht="20.25" customHeight="1">
      <c r="A21" s="5">
        <f t="shared" si="1"/>
        <v>16</v>
      </c>
      <c r="B21" s="5" t="s">
        <v>31</v>
      </c>
      <c r="C21" s="6">
        <v>50</v>
      </c>
      <c r="D21" s="6">
        <v>50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0</v>
      </c>
      <c r="P21" s="5">
        <v>0</v>
      </c>
      <c r="Q21" s="7" t="s">
        <v>32</v>
      </c>
    </row>
    <row r="22" spans="1:17" ht="15.75" customHeight="1">
      <c r="A22" s="5">
        <f t="shared" si="1"/>
        <v>17</v>
      </c>
      <c r="B22" s="5" t="s">
        <v>33</v>
      </c>
      <c r="C22" s="6">
        <f>SUM(D22:N22)</f>
        <v>368.5</v>
      </c>
      <c r="D22" s="6"/>
      <c r="E22" s="6"/>
      <c r="F22" s="6"/>
      <c r="G22" s="6"/>
      <c r="H22" s="6">
        <v>166.5</v>
      </c>
      <c r="I22" s="6"/>
      <c r="J22" s="6">
        <f>27+175</f>
        <v>202</v>
      </c>
      <c r="K22" s="6"/>
      <c r="L22" s="6"/>
      <c r="M22" s="6"/>
      <c r="N22" s="6"/>
      <c r="O22" s="5">
        <v>8</v>
      </c>
      <c r="P22" s="5">
        <v>7</v>
      </c>
      <c r="Q22" s="7"/>
    </row>
    <row r="23" spans="1:17" ht="39.75" customHeight="1">
      <c r="A23" s="10">
        <f t="shared" si="1"/>
        <v>18</v>
      </c>
      <c r="B23" s="5" t="s">
        <v>34</v>
      </c>
      <c r="C23" s="12">
        <f>SUM(D23:N23)</f>
        <v>643</v>
      </c>
      <c r="D23" s="12">
        <f>23+14.5+75+216.5</f>
        <v>329</v>
      </c>
      <c r="E23" s="12"/>
      <c r="F23" s="12"/>
      <c r="G23" s="12">
        <f>46+268</f>
        <v>314</v>
      </c>
      <c r="I23" s="12"/>
      <c r="J23" s="12"/>
      <c r="K23" s="12"/>
      <c r="L23" s="12"/>
      <c r="M23" s="12"/>
      <c r="N23" s="12"/>
      <c r="O23" s="10">
        <v>11</v>
      </c>
      <c r="P23" s="10">
        <v>3</v>
      </c>
      <c r="Q23" s="13"/>
    </row>
    <row r="24" spans="1:17" ht="34.5" customHeight="1">
      <c r="A24" s="10">
        <f t="shared" si="1"/>
        <v>19</v>
      </c>
      <c r="B24" s="5" t="s">
        <v>35</v>
      </c>
      <c r="C24" s="6">
        <v>450</v>
      </c>
      <c r="D24" s="6">
        <f>C24</f>
        <v>450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8</v>
      </c>
      <c r="P24" s="5"/>
      <c r="Q24" s="7" t="s">
        <v>36</v>
      </c>
    </row>
    <row r="25" spans="1:17" ht="20.25" customHeight="1">
      <c r="A25" s="10"/>
      <c r="B25" s="3" t="s">
        <v>37</v>
      </c>
      <c r="C25" s="14">
        <f aca="true" t="shared" si="2" ref="C25:P25">SUM(C6:C24)</f>
        <v>4004</v>
      </c>
      <c r="D25" s="14">
        <f t="shared" si="2"/>
        <v>1338</v>
      </c>
      <c r="E25" s="14">
        <f t="shared" si="2"/>
        <v>0</v>
      </c>
      <c r="F25" s="14">
        <f t="shared" si="2"/>
        <v>8</v>
      </c>
      <c r="G25" s="14">
        <f t="shared" si="2"/>
        <v>314</v>
      </c>
      <c r="H25" s="14">
        <f t="shared" si="2"/>
        <v>1166</v>
      </c>
      <c r="I25" s="14">
        <f t="shared" si="2"/>
        <v>0</v>
      </c>
      <c r="J25" s="14">
        <f t="shared" si="2"/>
        <v>460.5</v>
      </c>
      <c r="K25" s="14">
        <f t="shared" si="2"/>
        <v>61</v>
      </c>
      <c r="L25" s="14">
        <f t="shared" si="2"/>
        <v>554.5</v>
      </c>
      <c r="M25" s="14">
        <f t="shared" si="2"/>
        <v>102</v>
      </c>
      <c r="N25" s="14">
        <f t="shared" si="2"/>
        <v>0</v>
      </c>
      <c r="O25" s="14">
        <f t="shared" si="2"/>
        <v>84</v>
      </c>
      <c r="P25" s="14">
        <f t="shared" si="2"/>
        <v>78</v>
      </c>
      <c r="Q25" s="15"/>
    </row>
    <row r="26" spans="1:17" ht="15" customHeight="1">
      <c r="A26" s="10"/>
      <c r="B26" s="3" t="s">
        <v>38</v>
      </c>
      <c r="C26" s="14">
        <f>D10+F10+D17+D18+D19+D21+D23+G23+D24</f>
        <v>1660</v>
      </c>
      <c r="D26" s="14">
        <f>D10+D17+D18+D19+D21+D23+D24</f>
        <v>1338</v>
      </c>
      <c r="E26" s="14"/>
      <c r="F26" s="14">
        <f>F10</f>
        <v>8</v>
      </c>
      <c r="G26" s="14">
        <f>G23</f>
        <v>314</v>
      </c>
      <c r="H26" s="14"/>
      <c r="I26" s="14"/>
      <c r="J26" s="14"/>
      <c r="K26" s="14"/>
      <c r="L26" s="14"/>
      <c r="M26" s="14"/>
      <c r="N26" s="14"/>
      <c r="O26" s="14"/>
      <c r="P26" s="16"/>
      <c r="Q26" s="7"/>
    </row>
    <row r="27" spans="1:27" ht="6" customHeigh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17" ht="25.5" customHeight="1">
      <c r="A28" s="96" t="s">
        <v>1</v>
      </c>
      <c r="B28" s="96" t="s">
        <v>2</v>
      </c>
      <c r="C28" s="96" t="s">
        <v>3</v>
      </c>
      <c r="D28" s="96" t="s">
        <v>4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 t="s">
        <v>39</v>
      </c>
      <c r="P28" s="96" t="s">
        <v>6</v>
      </c>
      <c r="Q28" s="92" t="s">
        <v>7</v>
      </c>
    </row>
    <row r="29" spans="1:17" ht="27" customHeight="1">
      <c r="A29" s="96"/>
      <c r="B29" s="96"/>
      <c r="C29" s="96"/>
      <c r="D29" s="3" t="s">
        <v>40</v>
      </c>
      <c r="E29" s="3" t="s">
        <v>41</v>
      </c>
      <c r="F29" s="3">
        <v>200</v>
      </c>
      <c r="G29" s="3">
        <v>250</v>
      </c>
      <c r="H29" s="3">
        <v>300</v>
      </c>
      <c r="I29" s="3">
        <v>350</v>
      </c>
      <c r="J29" s="3">
        <v>400</v>
      </c>
      <c r="K29" s="3">
        <v>500</v>
      </c>
      <c r="L29" s="3">
        <v>600</v>
      </c>
      <c r="M29" s="3">
        <v>800</v>
      </c>
      <c r="N29" s="3" t="s">
        <v>8</v>
      </c>
      <c r="O29" s="96"/>
      <c r="P29" s="96"/>
      <c r="Q29" s="92"/>
    </row>
    <row r="30" spans="1:17" ht="15.75" customHeight="1">
      <c r="A30" s="5">
        <f>A24+1</f>
        <v>20</v>
      </c>
      <c r="B30" s="5" t="s">
        <v>42</v>
      </c>
      <c r="C30" s="6">
        <f>SUM(D30:N30)</f>
        <v>316.5</v>
      </c>
      <c r="D30" s="6"/>
      <c r="E30" s="6"/>
      <c r="F30" s="6"/>
      <c r="G30" s="6"/>
      <c r="H30" s="6">
        <v>316.5</v>
      </c>
      <c r="I30" s="6"/>
      <c r="J30" s="6"/>
      <c r="K30" s="6"/>
      <c r="L30" s="6"/>
      <c r="M30" s="6"/>
      <c r="N30" s="6"/>
      <c r="O30" s="5">
        <v>3</v>
      </c>
      <c r="P30" s="5">
        <v>0</v>
      </c>
      <c r="Q30" s="7"/>
    </row>
    <row r="31" spans="1:17" ht="27" customHeight="1">
      <c r="A31" s="5">
        <f aca="true" t="shared" si="3" ref="A31:A50">A30+1</f>
        <v>21</v>
      </c>
      <c r="B31" s="5" t="s">
        <v>43</v>
      </c>
      <c r="C31" s="6">
        <f>G31+K31+N31</f>
        <v>355</v>
      </c>
      <c r="D31" s="6"/>
      <c r="E31" s="6"/>
      <c r="F31" s="12"/>
      <c r="G31" s="12">
        <v>70</v>
      </c>
      <c r="H31" s="6"/>
      <c r="I31" s="6"/>
      <c r="J31" s="6"/>
      <c r="K31" s="6">
        <v>50</v>
      </c>
      <c r="L31" s="12"/>
      <c r="M31" s="12"/>
      <c r="N31" s="12">
        <f>156+20+59</f>
        <v>235</v>
      </c>
      <c r="O31" s="5">
        <v>4</v>
      </c>
      <c r="P31" s="5">
        <v>8</v>
      </c>
      <c r="Q31" s="7" t="s">
        <v>44</v>
      </c>
    </row>
    <row r="32" spans="1:17" ht="15" customHeight="1">
      <c r="A32" s="5">
        <f t="shared" si="3"/>
        <v>22</v>
      </c>
      <c r="B32" s="5" t="s">
        <v>45</v>
      </c>
      <c r="C32" s="6">
        <f>N32</f>
        <v>427.5</v>
      </c>
      <c r="D32" s="6"/>
      <c r="E32" s="6"/>
      <c r="F32" s="12"/>
      <c r="G32" s="12"/>
      <c r="H32" s="6"/>
      <c r="I32" s="6"/>
      <c r="J32" s="6"/>
      <c r="K32" s="6"/>
      <c r="L32" s="12"/>
      <c r="M32" s="6"/>
      <c r="N32" s="6">
        <v>427.5</v>
      </c>
      <c r="O32" s="5">
        <v>7</v>
      </c>
      <c r="P32" s="5">
        <v>8</v>
      </c>
      <c r="Q32" s="7" t="s">
        <v>46</v>
      </c>
    </row>
    <row r="33" spans="1:17" ht="25.5">
      <c r="A33" s="5">
        <f t="shared" si="3"/>
        <v>23</v>
      </c>
      <c r="B33" s="5" t="s">
        <v>47</v>
      </c>
      <c r="C33" s="6">
        <f>SUM(D33:N33)</f>
        <v>121.5</v>
      </c>
      <c r="D33" s="6"/>
      <c r="E33" s="6"/>
      <c r="F33" s="6">
        <v>97.5</v>
      </c>
      <c r="G33" s="12">
        <v>24</v>
      </c>
      <c r="H33" s="6"/>
      <c r="I33" s="6"/>
      <c r="J33" s="6"/>
      <c r="K33" s="6"/>
      <c r="L33" s="6"/>
      <c r="M33" s="6"/>
      <c r="N33" s="6"/>
      <c r="O33" s="5">
        <v>5</v>
      </c>
      <c r="P33" s="5">
        <v>1</v>
      </c>
      <c r="Q33" s="7"/>
    </row>
    <row r="34" spans="1:17" ht="25.5">
      <c r="A34" s="5">
        <f t="shared" si="3"/>
        <v>24</v>
      </c>
      <c r="B34" s="5" t="s">
        <v>48</v>
      </c>
      <c r="C34" s="6">
        <f>L34+K34+J34+H34+F34</f>
        <v>752.4000000000001</v>
      </c>
      <c r="D34" s="6"/>
      <c r="E34" s="6"/>
      <c r="F34" s="12">
        <v>10</v>
      </c>
      <c r="G34" s="12">
        <v>98.1</v>
      </c>
      <c r="H34" s="6">
        <v>11.2</v>
      </c>
      <c r="I34" s="6"/>
      <c r="J34" s="6">
        <f>15+14.6+15</f>
        <v>44.6</v>
      </c>
      <c r="K34" s="6">
        <v>178.8</v>
      </c>
      <c r="L34" s="6">
        <v>507.8</v>
      </c>
      <c r="M34" s="6"/>
      <c r="N34" s="6"/>
      <c r="O34" s="5">
        <v>13</v>
      </c>
      <c r="P34" s="5">
        <v>23</v>
      </c>
      <c r="Q34" s="7"/>
    </row>
    <row r="35" spans="1:17" ht="28.5" customHeight="1">
      <c r="A35" s="5">
        <f t="shared" si="3"/>
        <v>25</v>
      </c>
      <c r="B35" s="10" t="s">
        <v>49</v>
      </c>
      <c r="C35" s="6">
        <f>J35+N35</f>
        <v>745.5</v>
      </c>
      <c r="D35" s="6"/>
      <c r="E35" s="6"/>
      <c r="F35" s="6"/>
      <c r="G35" s="6"/>
      <c r="H35" s="6"/>
      <c r="I35" s="6"/>
      <c r="J35" s="6">
        <f>289+70</f>
        <v>359</v>
      </c>
      <c r="K35" s="6"/>
      <c r="L35" s="12"/>
      <c r="M35" s="6"/>
      <c r="N35" s="6">
        <f>187+199.5</f>
        <v>386.5</v>
      </c>
      <c r="O35" s="5">
        <f>2+6+5+2+4</f>
        <v>19</v>
      </c>
      <c r="P35" s="5">
        <f>10+1+2+2+3+4</f>
        <v>22</v>
      </c>
      <c r="Q35" s="7" t="s">
        <v>50</v>
      </c>
    </row>
    <row r="36" spans="1:17" ht="15.75" customHeight="1">
      <c r="A36" s="5">
        <f t="shared" si="3"/>
        <v>26</v>
      </c>
      <c r="B36" s="5" t="s">
        <v>51</v>
      </c>
      <c r="C36" s="6">
        <f>SUM(D36:N36)</f>
        <v>889.5</v>
      </c>
      <c r="D36" s="12"/>
      <c r="E36" s="12">
        <v>89</v>
      </c>
      <c r="F36" s="6">
        <v>554.5</v>
      </c>
      <c r="G36" s="6"/>
      <c r="H36" s="6">
        <f>108+95</f>
        <v>203</v>
      </c>
      <c r="I36" s="6"/>
      <c r="J36" s="6"/>
      <c r="K36" s="6">
        <v>43</v>
      </c>
      <c r="L36" s="6"/>
      <c r="M36" s="6"/>
      <c r="N36" s="6"/>
      <c r="O36" s="5">
        <f>4+2+5+7+8</f>
        <v>26</v>
      </c>
      <c r="P36" s="5">
        <f>5+3</f>
        <v>8</v>
      </c>
      <c r="Q36" s="112"/>
    </row>
    <row r="37" spans="1:17" ht="15.75" customHeight="1">
      <c r="A37" s="5">
        <f t="shared" si="3"/>
        <v>27</v>
      </c>
      <c r="B37" s="5" t="s">
        <v>52</v>
      </c>
      <c r="C37" s="6">
        <f>F37+G37+H37+J37+K37+L37</f>
        <v>2538.5</v>
      </c>
      <c r="D37" s="6"/>
      <c r="E37" s="6"/>
      <c r="F37" s="6">
        <f>61+66.5+48.5+61.5+87.5</f>
        <v>325</v>
      </c>
      <c r="G37" s="6">
        <f>45+133.5</f>
        <v>178.5</v>
      </c>
      <c r="H37" s="6">
        <f>52.5+200+112+65+116.5+201+32+178+66+140+158</f>
        <v>1321</v>
      </c>
      <c r="I37" s="6">
        <v>90</v>
      </c>
      <c r="J37" s="12"/>
      <c r="K37" s="6">
        <f>114</f>
        <v>114</v>
      </c>
      <c r="L37" s="6">
        <f>600</f>
        <v>600</v>
      </c>
      <c r="M37" s="6"/>
      <c r="N37" s="6"/>
      <c r="O37" s="5">
        <f>3+5+6+6+8+4+10+5+7+1</f>
        <v>55</v>
      </c>
      <c r="P37" s="5">
        <f>4+2+4+5+5</f>
        <v>20</v>
      </c>
      <c r="Q37" s="7"/>
    </row>
    <row r="38" spans="1:17" ht="15.75" customHeight="1">
      <c r="A38" s="5">
        <f t="shared" si="3"/>
        <v>28</v>
      </c>
      <c r="B38" s="5" t="s">
        <v>53</v>
      </c>
      <c r="C38" s="6">
        <f>K38+M38</f>
        <v>565.5</v>
      </c>
      <c r="D38" s="6"/>
      <c r="E38" s="6"/>
      <c r="F38" s="6"/>
      <c r="G38" s="6"/>
      <c r="H38" s="6"/>
      <c r="I38" s="6"/>
      <c r="J38" s="6"/>
      <c r="K38" s="6">
        <f>99.5+87</f>
        <v>186.5</v>
      </c>
      <c r="L38" s="8"/>
      <c r="M38" s="12">
        <f>200+179</f>
        <v>379</v>
      </c>
      <c r="N38" s="12"/>
      <c r="O38" s="5">
        <f>6+3+2+2</f>
        <v>13</v>
      </c>
      <c r="P38" s="5">
        <v>7</v>
      </c>
      <c r="Q38" s="7"/>
    </row>
    <row r="39" spans="1:17" ht="15.75" customHeight="1">
      <c r="A39" s="5">
        <f t="shared" si="3"/>
        <v>29</v>
      </c>
      <c r="B39" s="5" t="s">
        <v>54</v>
      </c>
      <c r="C39" s="6">
        <v>153</v>
      </c>
      <c r="D39" s="6"/>
      <c r="E39" s="6"/>
      <c r="F39" s="6"/>
      <c r="G39" s="6"/>
      <c r="H39" s="6"/>
      <c r="I39" s="6"/>
      <c r="J39" s="6"/>
      <c r="K39" s="6"/>
      <c r="L39" s="12"/>
      <c r="M39" s="6"/>
      <c r="N39" s="6">
        <v>153</v>
      </c>
      <c r="O39" s="5">
        <v>2</v>
      </c>
      <c r="P39" s="5">
        <v>0</v>
      </c>
      <c r="Q39" s="7" t="s">
        <v>55</v>
      </c>
    </row>
    <row r="40" spans="1:17" ht="15.75" customHeight="1">
      <c r="A40" s="5">
        <f t="shared" si="3"/>
        <v>30</v>
      </c>
      <c r="B40" s="5" t="s">
        <v>56</v>
      </c>
      <c r="C40" s="6">
        <f>D40+H40+K40+L40+M40+N40</f>
        <v>545</v>
      </c>
      <c r="D40" s="6"/>
      <c r="E40" s="6"/>
      <c r="F40" s="6"/>
      <c r="G40" s="6"/>
      <c r="H40" s="6">
        <f>20</f>
        <v>20</v>
      </c>
      <c r="I40" s="6"/>
      <c r="J40" s="8"/>
      <c r="K40" s="6">
        <v>190</v>
      </c>
      <c r="L40" s="6">
        <v>16</v>
      </c>
      <c r="M40" s="12">
        <v>155</v>
      </c>
      <c r="N40" s="12">
        <v>164</v>
      </c>
      <c r="O40" s="5">
        <v>4</v>
      </c>
      <c r="P40" s="5">
        <v>6</v>
      </c>
      <c r="Q40" s="7"/>
    </row>
    <row r="41" spans="1:17" ht="25.5" customHeight="1">
      <c r="A41" s="5">
        <f t="shared" si="3"/>
        <v>31</v>
      </c>
      <c r="B41" s="5" t="s">
        <v>57</v>
      </c>
      <c r="C41" s="8">
        <f>F41</f>
        <v>144</v>
      </c>
      <c r="D41" s="8"/>
      <c r="E41" s="8"/>
      <c r="F41" s="8">
        <v>144</v>
      </c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0</v>
      </c>
      <c r="Q41" s="7" t="s">
        <v>58</v>
      </c>
    </row>
    <row r="42" spans="1:17" ht="15.75" customHeight="1">
      <c r="A42" s="5">
        <f t="shared" si="3"/>
        <v>32</v>
      </c>
      <c r="B42" s="5" t="s">
        <v>59</v>
      </c>
      <c r="C42" s="6">
        <v>108</v>
      </c>
      <c r="D42" s="6"/>
      <c r="E42" s="6"/>
      <c r="F42" s="6"/>
      <c r="G42" s="6"/>
      <c r="H42" s="6">
        <v>108</v>
      </c>
      <c r="I42" s="6"/>
      <c r="J42" s="6"/>
      <c r="K42" s="6"/>
      <c r="L42" s="6"/>
      <c r="M42" s="6"/>
      <c r="N42" s="6"/>
      <c r="O42" s="5">
        <v>4</v>
      </c>
      <c r="P42" s="5">
        <v>4</v>
      </c>
      <c r="Q42" s="7"/>
    </row>
    <row r="43" spans="1:17" ht="15.75" customHeight="1">
      <c r="A43" s="5">
        <f t="shared" si="3"/>
        <v>33</v>
      </c>
      <c r="B43" s="5" t="s">
        <v>60</v>
      </c>
      <c r="C43" s="6">
        <v>123</v>
      </c>
      <c r="D43" s="12"/>
      <c r="E43" s="12">
        <v>123</v>
      </c>
      <c r="F43" s="6"/>
      <c r="G43" s="6"/>
      <c r="H43" s="6"/>
      <c r="I43" s="6"/>
      <c r="J43" s="6"/>
      <c r="K43" s="6"/>
      <c r="L43" s="6"/>
      <c r="M43" s="6"/>
      <c r="N43" s="6"/>
      <c r="O43" s="5">
        <v>8</v>
      </c>
      <c r="P43" s="5"/>
      <c r="Q43" s="7"/>
    </row>
    <row r="44" spans="1:17" ht="15.75" customHeight="1">
      <c r="A44" s="5">
        <f t="shared" si="3"/>
        <v>34</v>
      </c>
      <c r="B44" s="5" t="s">
        <v>61</v>
      </c>
      <c r="C44" s="8">
        <f>D44+F44+L44</f>
        <v>385.5</v>
      </c>
      <c r="D44" s="22"/>
      <c r="E44" s="22">
        <v>100</v>
      </c>
      <c r="F44" s="8">
        <v>45.5</v>
      </c>
      <c r="G44" s="8"/>
      <c r="H44" s="8"/>
      <c r="I44" s="8"/>
      <c r="J44" s="8"/>
      <c r="K44" s="8"/>
      <c r="L44" s="8">
        <f>164+176</f>
        <v>340</v>
      </c>
      <c r="M44" s="8"/>
      <c r="N44" s="8"/>
      <c r="O44" s="11">
        <f>4+4+3+4</f>
        <v>15</v>
      </c>
      <c r="P44" s="11">
        <v>2</v>
      </c>
      <c r="Q44" s="7"/>
    </row>
    <row r="45" spans="1:17" ht="15.75" customHeight="1">
      <c r="A45" s="5">
        <f t="shared" si="3"/>
        <v>35</v>
      </c>
      <c r="B45" s="5" t="s">
        <v>62</v>
      </c>
      <c r="C45" s="8">
        <v>115</v>
      </c>
      <c r="D45" s="8"/>
      <c r="E45" s="8"/>
      <c r="F45" s="8"/>
      <c r="G45" s="8"/>
      <c r="H45" s="8"/>
      <c r="I45" s="8"/>
      <c r="J45" s="8"/>
      <c r="K45" s="8"/>
      <c r="L45" s="8">
        <v>115</v>
      </c>
      <c r="M45" s="8"/>
      <c r="N45" s="8"/>
      <c r="O45" s="11">
        <v>3</v>
      </c>
      <c r="P45" s="11"/>
      <c r="Q45" s="7"/>
    </row>
    <row r="46" spans="1:17" ht="15.75" customHeight="1">
      <c r="A46" s="5">
        <f t="shared" si="3"/>
        <v>36</v>
      </c>
      <c r="B46" s="10" t="s">
        <v>63</v>
      </c>
      <c r="C46" s="8">
        <f>F46+H46+J46</f>
        <v>217.20000000000002</v>
      </c>
      <c r="D46" s="8"/>
      <c r="E46" s="8"/>
      <c r="F46" s="8">
        <v>16</v>
      </c>
      <c r="G46" s="8"/>
      <c r="H46" s="8">
        <v>49.9</v>
      </c>
      <c r="I46" s="8"/>
      <c r="J46" s="8">
        <v>151.3</v>
      </c>
      <c r="K46" s="8"/>
      <c r="L46" s="8"/>
      <c r="M46" s="8"/>
      <c r="N46" s="8"/>
      <c r="O46" s="11">
        <v>6</v>
      </c>
      <c r="P46" s="11">
        <v>8</v>
      </c>
      <c r="Q46" s="7"/>
    </row>
    <row r="47" spans="1:17" ht="23.25" customHeight="1">
      <c r="A47" s="5">
        <f t="shared" si="3"/>
        <v>37</v>
      </c>
      <c r="B47" s="10" t="s">
        <v>64</v>
      </c>
      <c r="C47" s="8">
        <f>16.4+76.16</f>
        <v>92.56</v>
      </c>
      <c r="D47" s="8"/>
      <c r="E47" s="8">
        <v>76.16</v>
      </c>
      <c r="F47" s="8">
        <v>16.4</v>
      </c>
      <c r="G47" s="8"/>
      <c r="H47" s="8"/>
      <c r="I47" s="8"/>
      <c r="J47" s="8"/>
      <c r="K47" s="8"/>
      <c r="L47" s="8"/>
      <c r="M47" s="8"/>
      <c r="N47" s="8"/>
      <c r="O47" s="11">
        <v>6</v>
      </c>
      <c r="P47" s="11">
        <v>0</v>
      </c>
      <c r="Q47" s="7" t="s">
        <v>65</v>
      </c>
    </row>
    <row r="48" spans="1:17" ht="25.5">
      <c r="A48" s="5">
        <f t="shared" si="3"/>
        <v>38</v>
      </c>
      <c r="B48" s="5" t="s">
        <v>66</v>
      </c>
      <c r="C48" s="8">
        <f>F48+H48+J48</f>
        <v>144.1</v>
      </c>
      <c r="D48" s="8"/>
      <c r="E48" s="8"/>
      <c r="F48" s="8">
        <v>14</v>
      </c>
      <c r="G48" s="8"/>
      <c r="H48" s="8">
        <f>9.5+7.2</f>
        <v>16.7</v>
      </c>
      <c r="I48" s="8"/>
      <c r="J48" s="8">
        <v>113.4</v>
      </c>
      <c r="K48" s="8"/>
      <c r="L48" s="8"/>
      <c r="M48" s="8"/>
      <c r="N48" s="8"/>
      <c r="O48" s="11">
        <v>2</v>
      </c>
      <c r="P48" s="11">
        <v>4</v>
      </c>
      <c r="Q48" s="7" t="s">
        <v>67</v>
      </c>
    </row>
    <row r="49" spans="1:17" ht="35.25" customHeight="1">
      <c r="A49" s="10">
        <f t="shared" si="3"/>
        <v>39</v>
      </c>
      <c r="B49" s="10" t="s">
        <v>68</v>
      </c>
      <c r="C49" s="8">
        <v>78.5</v>
      </c>
      <c r="D49" s="8"/>
      <c r="E49" s="8"/>
      <c r="F49" s="8">
        <f>C49</f>
        <v>78.5</v>
      </c>
      <c r="G49" s="8"/>
      <c r="H49" s="8"/>
      <c r="I49" s="8"/>
      <c r="J49" s="8"/>
      <c r="K49" s="8"/>
      <c r="L49" s="8"/>
      <c r="M49" s="8"/>
      <c r="N49" s="8"/>
      <c r="O49" s="23">
        <v>2</v>
      </c>
      <c r="P49" s="23">
        <v>5</v>
      </c>
      <c r="Q49" s="24" t="s">
        <v>69</v>
      </c>
    </row>
    <row r="50" spans="1:17" ht="15.75" customHeight="1">
      <c r="A50" s="10">
        <f t="shared" si="3"/>
        <v>40</v>
      </c>
      <c r="B50" s="25" t="s">
        <v>70</v>
      </c>
      <c r="C50" s="8">
        <f>H50+J50+F50</f>
        <v>205</v>
      </c>
      <c r="D50" s="8"/>
      <c r="E50" s="8"/>
      <c r="F50" s="8">
        <v>23</v>
      </c>
      <c r="G50" s="8"/>
      <c r="H50" s="8">
        <v>9</v>
      </c>
      <c r="I50" s="8"/>
      <c r="J50" s="8">
        <v>173</v>
      </c>
      <c r="K50" s="8"/>
      <c r="L50" s="11"/>
      <c r="M50" s="11"/>
      <c r="N50" s="11"/>
      <c r="O50" s="11">
        <v>4</v>
      </c>
      <c r="P50" s="11">
        <v>8</v>
      </c>
      <c r="Q50" s="7" t="s">
        <v>71</v>
      </c>
    </row>
    <row r="51" spans="1:17" s="30" customFormat="1" ht="21.75" customHeight="1">
      <c r="A51" s="26"/>
      <c r="B51" s="3" t="s">
        <v>72</v>
      </c>
      <c r="C51" s="27">
        <f aca="true" t="shared" si="4" ref="C51:P51">SUM(C30:C50)</f>
        <v>9022.76</v>
      </c>
      <c r="D51" s="27">
        <f t="shared" si="4"/>
        <v>0</v>
      </c>
      <c r="E51" s="27">
        <f t="shared" si="4"/>
        <v>388.15999999999997</v>
      </c>
      <c r="F51" s="27">
        <f t="shared" si="4"/>
        <v>1324.4</v>
      </c>
      <c r="G51" s="27">
        <f t="shared" si="4"/>
        <v>370.6</v>
      </c>
      <c r="H51" s="27">
        <f t="shared" si="4"/>
        <v>2055.3</v>
      </c>
      <c r="I51" s="27">
        <f t="shared" si="4"/>
        <v>90</v>
      </c>
      <c r="J51" s="27">
        <f t="shared" si="4"/>
        <v>841.3000000000001</v>
      </c>
      <c r="K51" s="27">
        <f t="shared" si="4"/>
        <v>762.3</v>
      </c>
      <c r="L51" s="27">
        <f t="shared" si="4"/>
        <v>1578.8</v>
      </c>
      <c r="M51" s="27">
        <f t="shared" si="4"/>
        <v>534</v>
      </c>
      <c r="N51" s="28">
        <f t="shared" si="4"/>
        <v>1366</v>
      </c>
      <c r="O51" s="27">
        <f t="shared" si="4"/>
        <v>201</v>
      </c>
      <c r="P51" s="27">
        <f t="shared" si="4"/>
        <v>134</v>
      </c>
      <c r="Q51" s="29"/>
    </row>
    <row r="52" spans="1:17" ht="14.25" customHeight="1">
      <c r="A52" s="10"/>
      <c r="B52" s="3" t="s">
        <v>38</v>
      </c>
      <c r="C52" s="27">
        <v>0</v>
      </c>
      <c r="D52" s="8"/>
      <c r="E52" s="8"/>
      <c r="F52" s="8"/>
      <c r="G52" s="8"/>
      <c r="H52" s="8"/>
      <c r="I52" s="8"/>
      <c r="J52" s="8"/>
      <c r="K52" s="8"/>
      <c r="L52" s="11"/>
      <c r="M52" s="11"/>
      <c r="N52" s="11"/>
      <c r="O52" s="11"/>
      <c r="P52" s="11"/>
      <c r="Q52" s="7"/>
    </row>
    <row r="53" spans="1:17" s="21" customFormat="1" ht="6.75" customHeight="1">
      <c r="A53" s="17"/>
      <c r="B53" s="31"/>
      <c r="C53" s="32"/>
      <c r="D53" s="32"/>
      <c r="E53" s="32"/>
      <c r="F53" s="32"/>
      <c r="G53" s="32"/>
      <c r="H53" s="32"/>
      <c r="I53" s="32"/>
      <c r="J53" s="32"/>
      <c r="K53" s="32"/>
      <c r="Q53" s="20"/>
    </row>
    <row r="54" spans="1:17" s="21" customFormat="1" ht="25.5" customHeight="1">
      <c r="A54" s="96" t="s">
        <v>1</v>
      </c>
      <c r="B54" s="96" t="s">
        <v>2</v>
      </c>
      <c r="C54" s="96" t="s">
        <v>3</v>
      </c>
      <c r="D54" s="96" t="s">
        <v>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 t="s">
        <v>73</v>
      </c>
      <c r="P54" s="96" t="s">
        <v>6</v>
      </c>
      <c r="Q54" s="92" t="s">
        <v>7</v>
      </c>
    </row>
    <row r="55" spans="1:17" s="21" customFormat="1" ht="26.25" customHeight="1">
      <c r="A55" s="96"/>
      <c r="B55" s="96"/>
      <c r="C55" s="96"/>
      <c r="D55" s="3">
        <v>100</v>
      </c>
      <c r="E55" s="3">
        <v>150</v>
      </c>
      <c r="F55" s="3">
        <v>200</v>
      </c>
      <c r="G55" s="3">
        <v>250</v>
      </c>
      <c r="H55" s="3">
        <v>300</v>
      </c>
      <c r="I55" s="3">
        <v>350</v>
      </c>
      <c r="J55" s="3">
        <v>400</v>
      </c>
      <c r="K55" s="3">
        <v>500</v>
      </c>
      <c r="L55" s="3">
        <v>600</v>
      </c>
      <c r="M55" s="3">
        <v>800</v>
      </c>
      <c r="N55" s="3" t="s">
        <v>8</v>
      </c>
      <c r="O55" s="96"/>
      <c r="P55" s="96"/>
      <c r="Q55" s="92"/>
    </row>
    <row r="56" spans="1:17" ht="33.75" customHeight="1">
      <c r="A56" s="33">
        <f>A50+1</f>
        <v>41</v>
      </c>
      <c r="B56" s="33" t="s">
        <v>74</v>
      </c>
      <c r="C56" s="34">
        <v>366.1</v>
      </c>
      <c r="D56" s="34"/>
      <c r="E56" s="34"/>
      <c r="F56" s="34">
        <f>C56</f>
        <v>366.1</v>
      </c>
      <c r="G56" s="34"/>
      <c r="H56" s="34"/>
      <c r="I56" s="34"/>
      <c r="J56" s="34"/>
      <c r="K56" s="34"/>
      <c r="L56" s="35"/>
      <c r="M56" s="35"/>
      <c r="N56" s="35"/>
      <c r="O56" s="35">
        <v>6</v>
      </c>
      <c r="P56" s="35"/>
      <c r="Q56" s="36" t="s">
        <v>75</v>
      </c>
    </row>
    <row r="57" spans="1:17" ht="23.25" customHeight="1">
      <c r="A57" s="10">
        <f aca="true" t="shared" si="5" ref="A57:A65">A56+1</f>
        <v>42</v>
      </c>
      <c r="B57" s="10" t="s">
        <v>76</v>
      </c>
      <c r="C57" s="8">
        <f>H57+F57</f>
        <v>376.34999999999997</v>
      </c>
      <c r="D57" s="8"/>
      <c r="E57" s="8"/>
      <c r="F57" s="8">
        <v>41.45</v>
      </c>
      <c r="G57" s="8"/>
      <c r="H57" s="8">
        <v>334.9</v>
      </c>
      <c r="I57" s="8"/>
      <c r="J57" s="8"/>
      <c r="K57" s="8"/>
      <c r="L57" s="11"/>
      <c r="M57" s="11"/>
      <c r="N57" s="11"/>
      <c r="O57" s="25">
        <v>8</v>
      </c>
      <c r="P57" s="11">
        <v>12</v>
      </c>
      <c r="Q57" s="7" t="s">
        <v>77</v>
      </c>
    </row>
    <row r="58" spans="1:17" ht="45" customHeight="1">
      <c r="A58" s="10">
        <f t="shared" si="5"/>
        <v>43</v>
      </c>
      <c r="B58" s="10" t="s">
        <v>78</v>
      </c>
      <c r="C58" s="22">
        <f>SUM(D58:N58)</f>
        <v>1406.29</v>
      </c>
      <c r="D58" s="37"/>
      <c r="E58" s="38"/>
      <c r="F58" s="39">
        <v>154.7</v>
      </c>
      <c r="G58" s="39">
        <v>75.21</v>
      </c>
      <c r="H58" s="39">
        <v>224.55</v>
      </c>
      <c r="I58" s="39"/>
      <c r="J58" s="39">
        <v>195.27</v>
      </c>
      <c r="K58" s="39"/>
      <c r="L58" s="39">
        <v>346.23</v>
      </c>
      <c r="M58" s="39">
        <v>410.33</v>
      </c>
      <c r="N58" s="39"/>
      <c r="O58" s="40">
        <v>22</v>
      </c>
      <c r="P58" s="40">
        <v>36</v>
      </c>
      <c r="Q58" s="13" t="s">
        <v>79</v>
      </c>
    </row>
    <row r="59" spans="1:17" s="43" customFormat="1" ht="28.5" customHeight="1">
      <c r="A59" s="10">
        <f t="shared" si="5"/>
        <v>44</v>
      </c>
      <c r="B59" s="41" t="s">
        <v>80</v>
      </c>
      <c r="C59" s="39">
        <f>M59</f>
        <v>444</v>
      </c>
      <c r="D59" s="40"/>
      <c r="E59" s="39"/>
      <c r="F59" s="39"/>
      <c r="G59" s="39"/>
      <c r="H59" s="39"/>
      <c r="I59" s="39"/>
      <c r="J59" s="39"/>
      <c r="K59" s="39"/>
      <c r="L59" s="39"/>
      <c r="M59" s="39">
        <f>360.5+83.5</f>
        <v>444</v>
      </c>
      <c r="N59" s="39"/>
      <c r="O59" s="40">
        <v>11</v>
      </c>
      <c r="P59" s="40">
        <v>20</v>
      </c>
      <c r="Q59" s="42" t="s">
        <v>81</v>
      </c>
    </row>
    <row r="60" spans="1:17" s="43" customFormat="1" ht="34.5" customHeight="1">
      <c r="A60" s="10">
        <f t="shared" si="5"/>
        <v>45</v>
      </c>
      <c r="B60" s="41" t="s">
        <v>82</v>
      </c>
      <c r="C60" s="39">
        <f>K60</f>
        <v>145</v>
      </c>
      <c r="D60" s="40"/>
      <c r="E60" s="39"/>
      <c r="F60" s="39"/>
      <c r="G60" s="39"/>
      <c r="H60" s="39"/>
      <c r="I60" s="39"/>
      <c r="J60" s="39"/>
      <c r="K60" s="39">
        <v>145</v>
      </c>
      <c r="L60" s="39"/>
      <c r="M60" s="39"/>
      <c r="N60" s="39"/>
      <c r="O60" s="40">
        <v>5</v>
      </c>
      <c r="P60" s="40">
        <v>0</v>
      </c>
      <c r="Q60" s="42"/>
    </row>
    <row r="61" spans="1:17" s="43" customFormat="1" ht="44.25" customHeight="1">
      <c r="A61" s="10">
        <f t="shared" si="5"/>
        <v>46</v>
      </c>
      <c r="B61" s="41" t="s">
        <v>83</v>
      </c>
      <c r="C61" s="39">
        <f>F61</f>
        <v>28</v>
      </c>
      <c r="D61" s="40"/>
      <c r="E61" s="39"/>
      <c r="F61" s="39">
        <v>28</v>
      </c>
      <c r="G61" s="39"/>
      <c r="H61" s="39"/>
      <c r="I61" s="39"/>
      <c r="J61" s="39"/>
      <c r="K61" s="39"/>
      <c r="L61" s="39"/>
      <c r="M61" s="39"/>
      <c r="N61" s="39"/>
      <c r="O61" s="40">
        <v>0</v>
      </c>
      <c r="P61" s="40">
        <v>2</v>
      </c>
      <c r="Q61" s="42" t="s">
        <v>84</v>
      </c>
    </row>
    <row r="62" spans="1:17" s="43" customFormat="1" ht="41.25" customHeight="1">
      <c r="A62" s="10">
        <f t="shared" si="5"/>
        <v>47</v>
      </c>
      <c r="B62" s="41" t="s">
        <v>85</v>
      </c>
      <c r="C62" s="39">
        <v>283</v>
      </c>
      <c r="D62" s="40"/>
      <c r="E62" s="39"/>
      <c r="F62" s="39"/>
      <c r="G62" s="39"/>
      <c r="H62" s="39">
        <v>28.5</v>
      </c>
      <c r="I62" s="39"/>
      <c r="J62" s="39">
        <v>124.9</v>
      </c>
      <c r="K62" s="39">
        <v>126.9</v>
      </c>
      <c r="L62" s="39"/>
      <c r="M62" s="39"/>
      <c r="N62" s="39"/>
      <c r="O62" s="93" t="s">
        <v>86</v>
      </c>
      <c r="P62" s="40">
        <v>0</v>
      </c>
      <c r="Q62" s="42" t="s">
        <v>87</v>
      </c>
    </row>
    <row r="63" spans="1:17" s="43" customFormat="1" ht="38.25" customHeight="1">
      <c r="A63" s="10">
        <f t="shared" si="5"/>
        <v>48</v>
      </c>
      <c r="B63" s="41" t="s">
        <v>88</v>
      </c>
      <c r="C63" s="39">
        <v>196.5</v>
      </c>
      <c r="D63" s="40">
        <v>196.5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93"/>
      <c r="P63" s="40">
        <v>2</v>
      </c>
      <c r="Q63" s="42" t="s">
        <v>89</v>
      </c>
    </row>
    <row r="64" spans="1:17" s="43" customFormat="1" ht="44.25" customHeight="1">
      <c r="A64" s="10">
        <f t="shared" si="5"/>
        <v>49</v>
      </c>
      <c r="B64" s="41" t="s">
        <v>90</v>
      </c>
      <c r="C64" s="39">
        <f>G64+F64</f>
        <v>299.36</v>
      </c>
      <c r="D64" s="40"/>
      <c r="E64" s="39"/>
      <c r="F64" s="39">
        <v>41.2</v>
      </c>
      <c r="G64" s="39">
        <v>258.16</v>
      </c>
      <c r="H64" s="39"/>
      <c r="I64" s="39"/>
      <c r="J64" s="39"/>
      <c r="K64" s="39"/>
      <c r="L64" s="39"/>
      <c r="M64" s="39"/>
      <c r="N64" s="39"/>
      <c r="O64" s="44" t="s">
        <v>91</v>
      </c>
      <c r="P64" s="40">
        <v>13</v>
      </c>
      <c r="Q64" s="42" t="s">
        <v>92</v>
      </c>
    </row>
    <row r="65" spans="1:17" s="43" customFormat="1" ht="46.5" customHeight="1">
      <c r="A65" s="10">
        <f t="shared" si="5"/>
        <v>50</v>
      </c>
      <c r="B65" s="41" t="s">
        <v>93</v>
      </c>
      <c r="C65" s="39">
        <f>E65+F65</f>
        <v>260.2</v>
      </c>
      <c r="D65" s="40"/>
      <c r="E65" s="39">
        <v>22.1</v>
      </c>
      <c r="F65" s="39">
        <f>124.1+114</f>
        <v>238.1</v>
      </c>
      <c r="G65" s="39"/>
      <c r="H65" s="39"/>
      <c r="I65" s="39"/>
      <c r="J65" s="39"/>
      <c r="K65" s="39"/>
      <c r="L65" s="39"/>
      <c r="M65" s="39"/>
      <c r="N65" s="39"/>
      <c r="O65" s="44">
        <v>4</v>
      </c>
      <c r="P65" s="40">
        <v>7</v>
      </c>
      <c r="Q65" s="42" t="s">
        <v>94</v>
      </c>
    </row>
    <row r="66" spans="1:17" s="30" customFormat="1" ht="19.5" customHeight="1">
      <c r="A66" s="26"/>
      <c r="B66" s="3" t="s">
        <v>95</v>
      </c>
      <c r="C66" s="27">
        <f>SUM(C56:C65)</f>
        <v>3804.7999999999997</v>
      </c>
      <c r="D66" s="27">
        <f aca="true" t="shared" si="6" ref="D66:N66">SUM(D56:D62)</f>
        <v>0</v>
      </c>
      <c r="E66" s="27">
        <f t="shared" si="6"/>
        <v>0</v>
      </c>
      <c r="F66" s="27">
        <f t="shared" si="6"/>
        <v>590.25</v>
      </c>
      <c r="G66" s="27">
        <f t="shared" si="6"/>
        <v>75.21</v>
      </c>
      <c r="H66" s="27">
        <f t="shared" si="6"/>
        <v>587.95</v>
      </c>
      <c r="I66" s="27">
        <f t="shared" si="6"/>
        <v>0</v>
      </c>
      <c r="J66" s="27">
        <f t="shared" si="6"/>
        <v>320.17</v>
      </c>
      <c r="K66" s="27">
        <f t="shared" si="6"/>
        <v>271.9</v>
      </c>
      <c r="L66" s="27">
        <f t="shared" si="6"/>
        <v>346.23</v>
      </c>
      <c r="M66" s="27">
        <f t="shared" si="6"/>
        <v>854.3299999999999</v>
      </c>
      <c r="N66" s="27">
        <f t="shared" si="6"/>
        <v>0</v>
      </c>
      <c r="O66" s="27">
        <f>SUM(O56:O61)+11</f>
        <v>63</v>
      </c>
      <c r="P66" s="27">
        <f>SUM(P56:P61)</f>
        <v>70</v>
      </c>
      <c r="Q66" s="29"/>
    </row>
    <row r="67" spans="1:17" s="30" customFormat="1" ht="15" customHeight="1">
      <c r="A67" s="26"/>
      <c r="B67" s="3" t="s">
        <v>38</v>
      </c>
      <c r="C67" s="27">
        <v>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9"/>
    </row>
    <row r="68" spans="1:17" ht="6.75" customHeight="1">
      <c r="A68" s="17"/>
      <c r="B68" s="17"/>
      <c r="C68" s="32"/>
      <c r="D68" s="2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1"/>
      <c r="P68" s="21"/>
      <c r="Q68" s="20"/>
    </row>
    <row r="69" spans="1:17" s="2" customFormat="1" ht="24.75" customHeight="1">
      <c r="A69" s="25"/>
      <c r="B69" s="45" t="s">
        <v>96</v>
      </c>
      <c r="C69" s="46">
        <f aca="true" t="shared" si="7" ref="C69:P69">C25+C51+C66</f>
        <v>16831.56</v>
      </c>
      <c r="D69" s="46">
        <f t="shared" si="7"/>
        <v>1338</v>
      </c>
      <c r="E69" s="46">
        <f t="shared" si="7"/>
        <v>388.15999999999997</v>
      </c>
      <c r="F69" s="47">
        <f t="shared" si="7"/>
        <v>1922.65</v>
      </c>
      <c r="G69" s="46">
        <f t="shared" si="7"/>
        <v>759.8100000000001</v>
      </c>
      <c r="H69" s="46">
        <f t="shared" si="7"/>
        <v>3809.25</v>
      </c>
      <c r="I69" s="46">
        <f t="shared" si="7"/>
        <v>90</v>
      </c>
      <c r="J69" s="47">
        <f t="shared" si="7"/>
        <v>1621.9700000000003</v>
      </c>
      <c r="K69" s="47">
        <f t="shared" si="7"/>
        <v>1095.1999999999998</v>
      </c>
      <c r="L69" s="47">
        <f t="shared" si="7"/>
        <v>2479.53</v>
      </c>
      <c r="M69" s="46">
        <f t="shared" si="7"/>
        <v>1490.33</v>
      </c>
      <c r="N69" s="47">
        <f t="shared" si="7"/>
        <v>1366</v>
      </c>
      <c r="O69" s="46">
        <f t="shared" si="7"/>
        <v>348</v>
      </c>
      <c r="P69" s="46">
        <f t="shared" si="7"/>
        <v>282</v>
      </c>
      <c r="Q69" s="13"/>
    </row>
    <row r="70" spans="1:17" ht="20.25" customHeight="1">
      <c r="A70" s="11"/>
      <c r="B70" s="48" t="s">
        <v>38</v>
      </c>
      <c r="C70" s="49">
        <f>C52+C26+C67</f>
        <v>1660</v>
      </c>
      <c r="D70" s="27">
        <f aca="true" t="shared" si="8" ref="D70:P70">D26+D52+D67</f>
        <v>1338</v>
      </c>
      <c r="E70" s="27">
        <f t="shared" si="8"/>
        <v>0</v>
      </c>
      <c r="F70" s="27">
        <f t="shared" si="8"/>
        <v>8</v>
      </c>
      <c r="G70" s="27">
        <f t="shared" si="8"/>
        <v>314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7">
        <f t="shared" si="8"/>
        <v>0</v>
      </c>
      <c r="Q70" s="9"/>
    </row>
    <row r="71" spans="2:17" s="21" customFormat="1" ht="44.25" customHeight="1">
      <c r="B71" s="50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/>
    </row>
    <row r="72" spans="1:6" ht="27.75" customHeight="1">
      <c r="A72" s="94" t="s">
        <v>97</v>
      </c>
      <c r="B72" s="94"/>
      <c r="C72" s="94"/>
      <c r="D72" s="94"/>
      <c r="E72" s="94"/>
      <c r="F72" s="94"/>
    </row>
    <row r="73" spans="1:7" ht="100.5" customHeight="1">
      <c r="A73" s="54"/>
      <c r="B73" s="95" t="s">
        <v>98</v>
      </c>
      <c r="C73" s="95"/>
      <c r="D73" s="95"/>
      <c r="E73" s="95"/>
      <c r="F73" s="95"/>
      <c r="G73" s="55"/>
    </row>
  </sheetData>
  <sheetProtection selectLockedCells="1" selectUnlockedCells="1"/>
  <mergeCells count="28">
    <mergeCell ref="A1:B1"/>
    <mergeCell ref="P1:Q1"/>
    <mergeCell ref="A2:Q2"/>
    <mergeCell ref="A3:Q3"/>
    <mergeCell ref="A4:A5"/>
    <mergeCell ref="B4:B5"/>
    <mergeCell ref="C4:C5"/>
    <mergeCell ref="D4:N4"/>
    <mergeCell ref="O4:O5"/>
    <mergeCell ref="P4:P5"/>
    <mergeCell ref="Q4:Q5"/>
    <mergeCell ref="A28:A29"/>
    <mergeCell ref="B28:B29"/>
    <mergeCell ref="C28:C29"/>
    <mergeCell ref="D28:N28"/>
    <mergeCell ref="O28:O29"/>
    <mergeCell ref="P28:P29"/>
    <mergeCell ref="Q28:Q29"/>
    <mergeCell ref="Q54:Q55"/>
    <mergeCell ref="O62:O63"/>
    <mergeCell ref="A72:F72"/>
    <mergeCell ref="B73:F73"/>
    <mergeCell ref="A54:A55"/>
    <mergeCell ref="B54:B55"/>
    <mergeCell ref="C54:C55"/>
    <mergeCell ref="D54:N54"/>
    <mergeCell ref="O54:O55"/>
    <mergeCell ref="P54:P55"/>
  </mergeCells>
  <printOptions horizontalCentered="1"/>
  <pageMargins left="0.19652777777777777" right="0" top="0.8270833333333333" bottom="0.27569444444444446" header="0.5118055555555555" footer="0.5118055555555555"/>
  <pageSetup horizontalDpi="300" verticalDpi="300" orientation="landscape" paperSize="9" scale="97" r:id="rId1"/>
  <rowBreaks count="3" manualBreakCount="3">
    <brk id="27" max="255" man="1"/>
    <brk id="53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0" zoomScaleSheetLayoutView="120" zoomScalePageLayoutView="0" workbookViewId="0" topLeftCell="A10">
      <selection activeCell="M4" sqref="M4"/>
    </sheetView>
  </sheetViews>
  <sheetFormatPr defaultColWidth="9.00390625" defaultRowHeight="12.75"/>
  <cols>
    <col min="1" max="1" width="3.375" style="56" customWidth="1"/>
    <col min="2" max="2" width="56.25390625" style="56" customWidth="1"/>
    <col min="3" max="3" width="8.875" style="56" customWidth="1"/>
    <col min="4" max="5" width="7.875" style="56" customWidth="1"/>
    <col min="6" max="6" width="8.75390625" style="56" customWidth="1"/>
    <col min="7" max="7" width="8.25390625" style="56" customWidth="1"/>
    <col min="8" max="8" width="8.375" style="56" customWidth="1"/>
    <col min="9" max="9" width="9.125" style="56" customWidth="1"/>
    <col min="10" max="10" width="9.75390625" style="56" customWidth="1"/>
    <col min="11" max="11" width="25.25390625" style="56" customWidth="1"/>
    <col min="12" max="16384" width="9.125" style="56" customWidth="1"/>
  </cols>
  <sheetData>
    <row r="1" spans="1:11" ht="50.25" customHeight="1">
      <c r="A1" s="106" t="s">
        <v>99</v>
      </c>
      <c r="B1" s="106"/>
      <c r="C1" s="106"/>
      <c r="D1" s="106"/>
      <c r="E1" s="106"/>
      <c r="F1" s="106"/>
      <c r="G1" s="106"/>
      <c r="H1" s="106"/>
      <c r="I1" s="57"/>
      <c r="J1" s="57"/>
      <c r="K1" s="58" t="s">
        <v>155</v>
      </c>
    </row>
    <row r="2" spans="1:11" ht="26.25" customHeight="1">
      <c r="A2" s="107" t="s">
        <v>1</v>
      </c>
      <c r="B2" s="103" t="s">
        <v>100</v>
      </c>
      <c r="C2" s="103" t="s">
        <v>3</v>
      </c>
      <c r="D2" s="103" t="s">
        <v>4</v>
      </c>
      <c r="E2" s="103"/>
      <c r="F2" s="103"/>
      <c r="G2" s="103"/>
      <c r="H2" s="103"/>
      <c r="I2" s="103" t="s">
        <v>73</v>
      </c>
      <c r="J2" s="103" t="s">
        <v>6</v>
      </c>
      <c r="K2" s="103" t="s">
        <v>7</v>
      </c>
    </row>
    <row r="3" spans="1:11" ht="29.25" customHeight="1">
      <c r="A3" s="107"/>
      <c r="B3" s="103"/>
      <c r="C3" s="103"/>
      <c r="D3" s="59" t="s">
        <v>40</v>
      </c>
      <c r="E3" s="59" t="s">
        <v>41</v>
      </c>
      <c r="F3" s="59">
        <v>200</v>
      </c>
      <c r="G3" s="59">
        <v>250</v>
      </c>
      <c r="H3" s="59">
        <v>300</v>
      </c>
      <c r="I3" s="103"/>
      <c r="J3" s="103"/>
      <c r="K3" s="103"/>
    </row>
    <row r="4" spans="1:11" ht="25.5" customHeight="1">
      <c r="A4" s="60">
        <v>1</v>
      </c>
      <c r="B4" s="61" t="s">
        <v>101</v>
      </c>
      <c r="C4" s="62">
        <v>280</v>
      </c>
      <c r="D4" s="63"/>
      <c r="E4" s="63"/>
      <c r="F4" s="64">
        <f>C4</f>
        <v>280</v>
      </c>
      <c r="G4" s="64"/>
      <c r="H4" s="64"/>
      <c r="I4" s="64">
        <v>9</v>
      </c>
      <c r="J4" s="64">
        <v>0</v>
      </c>
      <c r="K4" s="63"/>
    </row>
    <row r="5" spans="1:11" ht="23.25" customHeight="1">
      <c r="A5" s="104">
        <v>2</v>
      </c>
      <c r="B5" s="103" t="s">
        <v>102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5" customHeight="1">
      <c r="A6" s="104"/>
      <c r="B6" s="61" t="s">
        <v>103</v>
      </c>
      <c r="C6" s="62">
        <v>163</v>
      </c>
      <c r="D6" s="63"/>
      <c r="E6" s="63"/>
      <c r="F6" s="64">
        <f>C6</f>
        <v>163</v>
      </c>
      <c r="G6" s="63"/>
      <c r="H6" s="63"/>
      <c r="I6" s="65">
        <v>4</v>
      </c>
      <c r="J6" s="66"/>
      <c r="K6" s="63"/>
    </row>
    <row r="7" spans="1:11" ht="24.75" customHeight="1">
      <c r="A7" s="104"/>
      <c r="B7" s="61" t="s">
        <v>104</v>
      </c>
      <c r="C7" s="62">
        <v>205</v>
      </c>
      <c r="D7" s="63"/>
      <c r="E7" s="63"/>
      <c r="F7" s="64">
        <f>C7</f>
        <v>205</v>
      </c>
      <c r="G7" s="63"/>
      <c r="H7" s="63"/>
      <c r="I7" s="65">
        <v>9</v>
      </c>
      <c r="J7" s="66"/>
      <c r="K7" s="63"/>
    </row>
    <row r="8" spans="1:11" ht="25.5" customHeight="1">
      <c r="A8" s="104"/>
      <c r="B8" s="61" t="s">
        <v>105</v>
      </c>
      <c r="C8" s="62">
        <v>50</v>
      </c>
      <c r="D8" s="59"/>
      <c r="E8" s="59"/>
      <c r="F8" s="64">
        <f>C8</f>
        <v>50</v>
      </c>
      <c r="G8" s="59"/>
      <c r="H8" s="59"/>
      <c r="I8" s="67">
        <v>1</v>
      </c>
      <c r="J8" s="67">
        <v>0</v>
      </c>
      <c r="K8" s="61" t="s">
        <v>106</v>
      </c>
    </row>
    <row r="9" spans="1:11" ht="19.5" customHeight="1">
      <c r="A9" s="104"/>
      <c r="B9" s="61" t="s">
        <v>107</v>
      </c>
      <c r="C9" s="62">
        <v>159</v>
      </c>
      <c r="D9" s="61"/>
      <c r="E9" s="61"/>
      <c r="F9" s="61">
        <v>29</v>
      </c>
      <c r="G9" s="61"/>
      <c r="H9" s="61">
        <v>130</v>
      </c>
      <c r="I9" s="68">
        <v>4</v>
      </c>
      <c r="J9" s="68">
        <v>3</v>
      </c>
      <c r="K9" s="61"/>
    </row>
    <row r="10" spans="1:11" ht="25.5" customHeight="1">
      <c r="A10" s="104"/>
      <c r="B10" s="61" t="s">
        <v>108</v>
      </c>
      <c r="C10" s="62">
        <v>224</v>
      </c>
      <c r="D10" s="61"/>
      <c r="E10" s="61"/>
      <c r="F10" s="62">
        <f>C10</f>
        <v>224</v>
      </c>
      <c r="G10" s="61"/>
      <c r="H10" s="61"/>
      <c r="I10" s="68">
        <v>8</v>
      </c>
      <c r="J10" s="68">
        <v>1</v>
      </c>
      <c r="K10" s="61"/>
    </row>
    <row r="11" spans="1:11" ht="19.5" customHeight="1">
      <c r="A11" s="104"/>
      <c r="B11" s="61" t="s">
        <v>109</v>
      </c>
      <c r="C11" s="62">
        <v>230</v>
      </c>
      <c r="D11" s="61"/>
      <c r="E11" s="61"/>
      <c r="F11" s="62">
        <f>C11</f>
        <v>230</v>
      </c>
      <c r="G11" s="61"/>
      <c r="H11" s="61"/>
      <c r="I11" s="68">
        <v>7</v>
      </c>
      <c r="J11" s="68">
        <v>0</v>
      </c>
      <c r="K11" s="61"/>
    </row>
    <row r="12" spans="1:11" ht="22.5" customHeight="1">
      <c r="A12" s="104"/>
      <c r="B12" s="69" t="s">
        <v>110</v>
      </c>
      <c r="C12" s="62">
        <v>183</v>
      </c>
      <c r="D12" s="61"/>
      <c r="E12" s="61"/>
      <c r="F12" s="62">
        <f>C12</f>
        <v>183</v>
      </c>
      <c r="G12" s="61"/>
      <c r="H12" s="61"/>
      <c r="I12" s="68">
        <v>6</v>
      </c>
      <c r="J12" s="68">
        <v>0</v>
      </c>
      <c r="K12" s="61" t="s">
        <v>111</v>
      </c>
    </row>
    <row r="13" spans="1:11" ht="19.5" customHeight="1">
      <c r="A13" s="104"/>
      <c r="B13" s="70" t="s">
        <v>112</v>
      </c>
      <c r="C13" s="71">
        <f aca="true" t="shared" si="0" ref="C13:J13">C6+C7+C8+C9+C10+C11+C12</f>
        <v>1214</v>
      </c>
      <c r="D13" s="71">
        <f t="shared" si="0"/>
        <v>0</v>
      </c>
      <c r="E13" s="71">
        <f t="shared" si="0"/>
        <v>0</v>
      </c>
      <c r="F13" s="71">
        <f t="shared" si="0"/>
        <v>1084</v>
      </c>
      <c r="G13" s="71">
        <f t="shared" si="0"/>
        <v>0</v>
      </c>
      <c r="H13" s="71">
        <f t="shared" si="0"/>
        <v>130</v>
      </c>
      <c r="I13" s="72">
        <f t="shared" si="0"/>
        <v>39</v>
      </c>
      <c r="J13" s="72">
        <f t="shared" si="0"/>
        <v>4</v>
      </c>
      <c r="K13" s="61"/>
    </row>
    <row r="14" spans="1:11" ht="67.5" customHeight="1">
      <c r="A14" s="61">
        <v>3</v>
      </c>
      <c r="B14" s="61" t="s">
        <v>113</v>
      </c>
      <c r="C14" s="62">
        <v>2158</v>
      </c>
      <c r="D14" s="62">
        <v>1035</v>
      </c>
      <c r="E14" s="62">
        <v>1123</v>
      </c>
      <c r="F14" s="62"/>
      <c r="G14" s="62"/>
      <c r="H14" s="61"/>
      <c r="I14" s="68">
        <v>40</v>
      </c>
      <c r="J14" s="68">
        <v>0</v>
      </c>
      <c r="K14" s="73" t="s">
        <v>114</v>
      </c>
    </row>
    <row r="15" spans="1:11" ht="22.5" customHeight="1">
      <c r="A15" s="61">
        <v>4</v>
      </c>
      <c r="B15" s="61" t="s">
        <v>115</v>
      </c>
      <c r="C15" s="62">
        <v>241</v>
      </c>
      <c r="D15" s="61"/>
      <c r="E15" s="62">
        <v>19.5</v>
      </c>
      <c r="F15" s="62">
        <v>125.7</v>
      </c>
      <c r="G15" s="62">
        <v>109.8</v>
      </c>
      <c r="H15" s="61"/>
      <c r="I15" s="68">
        <v>10</v>
      </c>
      <c r="J15" s="68">
        <v>2</v>
      </c>
      <c r="K15" s="61" t="s">
        <v>116</v>
      </c>
    </row>
    <row r="16" spans="1:11" ht="22.5" customHeight="1">
      <c r="A16" s="61">
        <v>5</v>
      </c>
      <c r="B16" s="61" t="s">
        <v>117</v>
      </c>
      <c r="C16" s="62">
        <v>85</v>
      </c>
      <c r="D16" s="61"/>
      <c r="E16" s="61"/>
      <c r="F16" s="62">
        <v>2</v>
      </c>
      <c r="G16" s="62"/>
      <c r="H16" s="62">
        <v>83</v>
      </c>
      <c r="I16" s="68">
        <v>3</v>
      </c>
      <c r="J16" s="68"/>
      <c r="K16" s="61" t="s">
        <v>118</v>
      </c>
    </row>
    <row r="17" spans="1:11" ht="19.5" customHeight="1">
      <c r="A17" s="61">
        <v>6</v>
      </c>
      <c r="B17" s="61" t="s">
        <v>119</v>
      </c>
      <c r="C17" s="62">
        <f>D17+F17+G17</f>
        <v>411.5</v>
      </c>
      <c r="D17" s="61">
        <v>188</v>
      </c>
      <c r="E17" s="61"/>
      <c r="F17" s="62">
        <v>142</v>
      </c>
      <c r="G17" s="62">
        <v>81.5</v>
      </c>
      <c r="H17" s="62"/>
      <c r="I17" s="68">
        <v>10</v>
      </c>
      <c r="J17" s="68"/>
      <c r="K17" s="61" t="s">
        <v>120</v>
      </c>
    </row>
    <row r="18" spans="1:11" ht="19.5" customHeight="1">
      <c r="A18" s="61">
        <v>7</v>
      </c>
      <c r="B18" s="61" t="s">
        <v>121</v>
      </c>
      <c r="C18" s="62">
        <f>D18+F18+G18</f>
        <v>193.7</v>
      </c>
      <c r="D18" s="61">
        <v>59.1</v>
      </c>
      <c r="E18" s="61"/>
      <c r="F18" s="62">
        <v>59.1</v>
      </c>
      <c r="G18" s="62">
        <v>75.5</v>
      </c>
      <c r="H18" s="62"/>
      <c r="I18" s="68">
        <v>6</v>
      </c>
      <c r="J18" s="68"/>
      <c r="K18" s="61" t="s">
        <v>120</v>
      </c>
    </row>
    <row r="19" spans="1:11" ht="26.25" customHeight="1">
      <c r="A19" s="101" t="s">
        <v>122</v>
      </c>
      <c r="B19" s="101"/>
      <c r="C19" s="71">
        <f aca="true" t="shared" si="1" ref="C19:J19">C4+C13+C14+C15+C16+C17+C18</f>
        <v>4583.2</v>
      </c>
      <c r="D19" s="71">
        <f t="shared" si="1"/>
        <v>1282.1</v>
      </c>
      <c r="E19" s="71">
        <f t="shared" si="1"/>
        <v>1142.5</v>
      </c>
      <c r="F19" s="71">
        <f t="shared" si="1"/>
        <v>1692.8</v>
      </c>
      <c r="G19" s="71">
        <f t="shared" si="1"/>
        <v>266.8</v>
      </c>
      <c r="H19" s="71">
        <f t="shared" si="1"/>
        <v>213</v>
      </c>
      <c r="I19" s="71">
        <f t="shared" si="1"/>
        <v>117</v>
      </c>
      <c r="J19" s="71">
        <f t="shared" si="1"/>
        <v>6</v>
      </c>
      <c r="K19" s="61"/>
    </row>
    <row r="20" spans="1:11" ht="7.5" customHeight="1">
      <c r="A20" s="61"/>
      <c r="B20" s="61"/>
      <c r="C20" s="62"/>
      <c r="D20" s="62"/>
      <c r="E20" s="62"/>
      <c r="F20" s="61"/>
      <c r="G20" s="61"/>
      <c r="H20" s="61"/>
      <c r="I20" s="61"/>
      <c r="J20" s="61"/>
      <c r="K20" s="61"/>
    </row>
    <row r="21" spans="1:11" ht="15.75" customHeight="1">
      <c r="A21" s="105" t="s">
        <v>123</v>
      </c>
      <c r="B21" s="105"/>
      <c r="C21" s="105"/>
      <c r="D21" s="105"/>
      <c r="E21" s="105"/>
      <c r="F21" s="105"/>
      <c r="G21" s="105"/>
      <c r="H21" s="105"/>
      <c r="I21" s="105"/>
      <c r="J21" s="63" t="s">
        <v>124</v>
      </c>
      <c r="K21" s="61"/>
    </row>
    <row r="22" spans="1:11" ht="17.25" customHeight="1">
      <c r="A22" s="101" t="s">
        <v>125</v>
      </c>
      <c r="B22" s="101"/>
      <c r="C22" s="101"/>
      <c r="D22" s="101"/>
      <c r="E22" s="101"/>
      <c r="F22" s="101"/>
      <c r="G22" s="101"/>
      <c r="H22" s="101"/>
      <c r="I22" s="101"/>
      <c r="J22" s="59" t="s">
        <v>126</v>
      </c>
      <c r="K22" s="61"/>
    </row>
    <row r="23" spans="1:11" ht="16.5" customHeight="1">
      <c r="A23" s="101" t="s">
        <v>127</v>
      </c>
      <c r="B23" s="101"/>
      <c r="C23" s="101"/>
      <c r="D23" s="101"/>
      <c r="E23" s="101"/>
      <c r="F23" s="101"/>
      <c r="G23" s="101"/>
      <c r="H23" s="101"/>
      <c r="I23" s="101"/>
      <c r="J23" s="59" t="s">
        <v>124</v>
      </c>
      <c r="K23" s="61"/>
    </row>
    <row r="24" spans="1:11" ht="17.25" customHeight="1">
      <c r="A24" s="101" t="s">
        <v>128</v>
      </c>
      <c r="B24" s="101"/>
      <c r="C24" s="101"/>
      <c r="D24" s="101"/>
      <c r="E24" s="101"/>
      <c r="F24" s="101"/>
      <c r="G24" s="101"/>
      <c r="H24" s="101"/>
      <c r="I24" s="101"/>
      <c r="J24" s="59" t="s">
        <v>129</v>
      </c>
      <c r="K24" s="61"/>
    </row>
    <row r="25" spans="1:11" ht="15.75" customHeight="1">
      <c r="A25" s="102" t="s">
        <v>130</v>
      </c>
      <c r="B25" s="102"/>
      <c r="C25" s="102"/>
      <c r="D25" s="102"/>
      <c r="E25" s="102"/>
      <c r="F25" s="102"/>
      <c r="G25" s="102"/>
      <c r="H25" s="102"/>
      <c r="I25" s="102"/>
      <c r="J25" s="74" t="s">
        <v>124</v>
      </c>
      <c r="K25" s="75"/>
    </row>
  </sheetData>
  <sheetProtection selectLockedCells="1" selectUnlockedCells="1"/>
  <mergeCells count="16">
    <mergeCell ref="A1:H1"/>
    <mergeCell ref="A2:A3"/>
    <mergeCell ref="B2:B3"/>
    <mergeCell ref="C2:C3"/>
    <mergeCell ref="D2:H2"/>
    <mergeCell ref="I2:I3"/>
    <mergeCell ref="A22:I22"/>
    <mergeCell ref="A23:I23"/>
    <mergeCell ref="A24:I24"/>
    <mergeCell ref="A25:I25"/>
    <mergeCell ref="J2:J3"/>
    <mergeCell ref="K2:K3"/>
    <mergeCell ref="A5:A13"/>
    <mergeCell ref="B5:K5"/>
    <mergeCell ref="A19:B19"/>
    <mergeCell ref="A21:I21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81" zoomScaleSheetLayoutView="81" zoomScalePageLayoutView="0" workbookViewId="0" topLeftCell="A1">
      <selection activeCell="K11" sqref="K11"/>
    </sheetView>
  </sheetViews>
  <sheetFormatPr defaultColWidth="9.00390625" defaultRowHeight="12.75"/>
  <cols>
    <col min="1" max="1" width="6.75390625" style="0" customWidth="1"/>
    <col min="2" max="2" width="57.125" style="0" customWidth="1"/>
    <col min="3" max="3" width="13.625" style="0" customWidth="1"/>
    <col min="4" max="4" width="23.00390625" style="0" customWidth="1"/>
    <col min="5" max="5" width="9.00390625" style="0" customWidth="1"/>
  </cols>
  <sheetData>
    <row r="1" ht="23.25" customHeight="1">
      <c r="D1" s="76" t="s">
        <v>156</v>
      </c>
    </row>
    <row r="2" spans="1:4" ht="57" customHeight="1">
      <c r="A2" s="108" t="s">
        <v>131</v>
      </c>
      <c r="B2" s="108"/>
      <c r="C2" s="108"/>
      <c r="D2" s="108"/>
    </row>
    <row r="3" spans="1:4" ht="12.75">
      <c r="A3" s="77"/>
      <c r="B3" s="77"/>
      <c r="C3" s="77"/>
      <c r="D3" s="77"/>
    </row>
    <row r="4" spans="1:10" ht="60.75" customHeight="1">
      <c r="A4" s="78" t="s">
        <v>1</v>
      </c>
      <c r="B4" s="78" t="s">
        <v>132</v>
      </c>
      <c r="C4" s="79" t="s">
        <v>133</v>
      </c>
      <c r="D4" s="79" t="s">
        <v>134</v>
      </c>
      <c r="E4" s="80"/>
      <c r="H4" s="81"/>
      <c r="J4" s="82"/>
    </row>
    <row r="5" spans="1:5" ht="50.25" customHeight="1">
      <c r="A5" s="83">
        <v>1</v>
      </c>
      <c r="B5" s="84" t="s">
        <v>135</v>
      </c>
      <c r="C5" s="85" t="s">
        <v>136</v>
      </c>
      <c r="D5" s="86">
        <v>250</v>
      </c>
      <c r="E5" s="109">
        <f>D5+D6+D7+D8+D9+D10</f>
        <v>2608</v>
      </c>
    </row>
    <row r="6" spans="1:5" ht="50.25" customHeight="1">
      <c r="A6" s="83">
        <f aca="true" t="shared" si="0" ref="A6:A14">1+A5</f>
        <v>2</v>
      </c>
      <c r="B6" s="84" t="s">
        <v>137</v>
      </c>
      <c r="C6" s="85" t="s">
        <v>136</v>
      </c>
      <c r="D6" s="86">
        <v>680</v>
      </c>
      <c r="E6" s="109"/>
    </row>
    <row r="7" spans="1:5" ht="50.25" customHeight="1">
      <c r="A7" s="83">
        <f t="shared" si="0"/>
        <v>3</v>
      </c>
      <c r="B7" s="84" t="s">
        <v>138</v>
      </c>
      <c r="C7" s="85" t="s">
        <v>139</v>
      </c>
      <c r="D7" s="86">
        <v>500</v>
      </c>
      <c r="E7" s="109"/>
    </row>
    <row r="8" spans="1:5" ht="50.25" customHeight="1">
      <c r="A8" s="87">
        <f t="shared" si="0"/>
        <v>4</v>
      </c>
      <c r="B8" s="84" t="s">
        <v>140</v>
      </c>
      <c r="C8" s="85" t="s">
        <v>141</v>
      </c>
      <c r="D8" s="88">
        <v>710</v>
      </c>
      <c r="E8" s="109"/>
    </row>
    <row r="9" spans="1:5" ht="37.5" customHeight="1">
      <c r="A9" s="83">
        <f t="shared" si="0"/>
        <v>5</v>
      </c>
      <c r="B9" s="84" t="s">
        <v>142</v>
      </c>
      <c r="C9" s="85" t="s">
        <v>143</v>
      </c>
      <c r="D9" s="88">
        <v>330</v>
      </c>
      <c r="E9" s="109"/>
    </row>
    <row r="10" spans="1:5" ht="37.5" customHeight="1">
      <c r="A10" s="83">
        <f t="shared" si="0"/>
        <v>6</v>
      </c>
      <c r="B10" s="84" t="s">
        <v>144</v>
      </c>
      <c r="C10" s="85" t="s">
        <v>145</v>
      </c>
      <c r="D10" s="88">
        <v>138</v>
      </c>
      <c r="E10" s="109"/>
    </row>
    <row r="11" spans="1:5" ht="37.5" customHeight="1">
      <c r="A11" s="83">
        <f t="shared" si="0"/>
        <v>7</v>
      </c>
      <c r="B11" s="84" t="s">
        <v>146</v>
      </c>
      <c r="C11" s="85" t="s">
        <v>147</v>
      </c>
      <c r="D11" s="88">
        <v>300</v>
      </c>
      <c r="E11" s="110">
        <f>D11+D12+D13+D14</f>
        <v>975</v>
      </c>
    </row>
    <row r="12" spans="1:5" ht="44.25" customHeight="1">
      <c r="A12" s="83">
        <f t="shared" si="0"/>
        <v>8</v>
      </c>
      <c r="B12" s="89" t="s">
        <v>148</v>
      </c>
      <c r="C12" s="85" t="s">
        <v>149</v>
      </c>
      <c r="D12" s="88">
        <v>252</v>
      </c>
      <c r="E12" s="110"/>
    </row>
    <row r="13" spans="1:5" ht="44.25" customHeight="1">
      <c r="A13" s="83">
        <f t="shared" si="0"/>
        <v>9</v>
      </c>
      <c r="B13" s="89" t="s">
        <v>150</v>
      </c>
      <c r="C13" s="85" t="s">
        <v>151</v>
      </c>
      <c r="D13" s="88">
        <v>323</v>
      </c>
      <c r="E13" s="110"/>
    </row>
    <row r="14" spans="1:5" ht="44.25" customHeight="1">
      <c r="A14" s="83">
        <f t="shared" si="0"/>
        <v>10</v>
      </c>
      <c r="B14" s="89" t="s">
        <v>152</v>
      </c>
      <c r="C14" s="85" t="s">
        <v>149</v>
      </c>
      <c r="D14" s="88">
        <v>100</v>
      </c>
      <c r="E14" s="110"/>
    </row>
    <row r="15" spans="1:5" ht="37.5" customHeight="1">
      <c r="A15" s="90"/>
      <c r="B15" s="111" t="s">
        <v>153</v>
      </c>
      <c r="C15" s="111"/>
      <c r="D15" s="91">
        <f>D5+D6+D7+D8+D9+D10+D11+D12+D13+D14</f>
        <v>3583</v>
      </c>
      <c r="E15" s="80">
        <f>E5+E11</f>
        <v>3583</v>
      </c>
    </row>
  </sheetData>
  <sheetProtection selectLockedCells="1" selectUnlockedCells="1"/>
  <mergeCells count="4">
    <mergeCell ref="A2:D2"/>
    <mergeCell ref="E5:E10"/>
    <mergeCell ref="E11:E14"/>
    <mergeCell ref="B15:C15"/>
  </mergeCells>
  <printOptions/>
  <pageMargins left="1.18125" right="0.5902777777777778" top="1.18125" bottom="0.9840277777777777" header="0.5118055555555555" footer="0.5118055555555555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Kozińska</cp:lastModifiedBy>
  <dcterms:modified xsi:type="dcterms:W3CDTF">2018-06-11T07:39:07Z</dcterms:modified>
  <cp:category/>
  <cp:version/>
  <cp:contentType/>
  <cp:contentStatus/>
</cp:coreProperties>
</file>