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s02\users\bsawa\Moje dokumenty\Środki trwałe\Hakowiec 3-osiowy\"/>
    </mc:Choice>
  </mc:AlternateContent>
  <xr:revisionPtr revIDLastSave="0" documentId="13_ncr:1_{3F2BCA33-17DC-4407-95B5-EE291BAF5316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Bilans i a. wskaźnikowa" sheetId="3" r:id="rId1"/>
    <sheet name="Analiza wrażliwości" sheetId="24" state="hidden" r:id="rId2"/>
    <sheet name="RZiS" sheetId="1" r:id="rId3"/>
    <sheet name="RPP" sheetId="4" r:id="rId4"/>
    <sheet name=" VAT i KON" sheetId="9" state="hidden" r:id="rId5"/>
    <sheet name="IRR i NPV Projekt 1" sheetId="25" state="hidden" r:id="rId6"/>
    <sheet name="IRR i NPV Projekt 2-4" sheetId="21" state="hidden" r:id="rId7"/>
    <sheet name="Przy. i koszty-proj wnioskowany" sheetId="26" state="hidden" r:id="rId8"/>
    <sheet name="Pożyczka-projekt wnioskowany" sheetId="27" state="hidden" r:id="rId9"/>
    <sheet name="Przychody i koszty projektu 1" sheetId="5" state="hidden" r:id="rId10"/>
    <sheet name="Projekt 1 - majątek" sheetId="10" state="hidden" r:id="rId11"/>
    <sheet name="Pożyczka - projekt 1" sheetId="11" state="hidden" r:id="rId12"/>
    <sheet name="Przychody i koszty projekt 2-4" sheetId="18" state="hidden" r:id="rId13"/>
    <sheet name="Projekt 2-4 - majątek" sheetId="22" state="hidden" r:id="rId14"/>
    <sheet name="Pożyczka - projekt 2-4" sheetId="23" state="hidden" r:id="rId15"/>
    <sheet name="Amortyzacja obecna i projektowa" sheetId="8" state="hidden" r:id="rId16"/>
    <sheet name="Leasingi - obecnie" sheetId="7" state="hidden" r:id="rId17"/>
    <sheet name="Kredyty - obecnie" sheetId="6" state="hidden" r:id="rId18"/>
    <sheet name="Analityka" sheetId="13" state="hidden" r:id="rId19"/>
    <sheet name="Aktywa 2020" sheetId="14" state="hidden" r:id="rId20"/>
    <sheet name="Pasywa 2020" sheetId="15" state="hidden" r:id="rId21"/>
    <sheet name="RZiS_p 2020" sheetId="16" state="hidden" r:id="rId22"/>
    <sheet name="RMK" sheetId="17" state="hidden" r:id="rId23"/>
    <sheet name="Transze" sheetId="12" state="hidden" r:id="rId24"/>
    <sheet name="Fields" sheetId="2" state="hidden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G" localSheetId="11">[1]ADV!#REF!</definedName>
    <definedName name="\G" localSheetId="14">[1]ADV!#REF!</definedName>
    <definedName name="\G" localSheetId="8">[1]ADV!#REF!</definedName>
    <definedName name="\G">[1]ADV!#REF!</definedName>
    <definedName name="\I">#N/A</definedName>
    <definedName name="\P" localSheetId="11">[1]ADV!#REF!</definedName>
    <definedName name="\P" localSheetId="14">[1]ADV!#REF!</definedName>
    <definedName name="\P" localSheetId="8">[1]ADV!#REF!</definedName>
    <definedName name="\P">[1]ADV!#REF!</definedName>
    <definedName name="_c" localSheetId="11">#REF!</definedName>
    <definedName name="_c" localSheetId="14">#REF!</definedName>
    <definedName name="_c" localSheetId="8">#REF!</definedName>
    <definedName name="_c">#REF!</definedName>
    <definedName name="_DAT13" localSheetId="11">[2]Arkusz1!#REF!</definedName>
    <definedName name="_DAT13" localSheetId="14">[2]Arkusz1!#REF!</definedName>
    <definedName name="_DAT13" localSheetId="8">[2]Arkusz1!#REF!</definedName>
    <definedName name="_DAT13">[2]Arkusz1!#REF!</definedName>
    <definedName name="_xlnm._FilterDatabase" localSheetId="22" hidden="1">RMK!$A$1:$AD$90</definedName>
    <definedName name="_MAG1" localSheetId="11">#REF!</definedName>
    <definedName name="_MAG1" localSheetId="14">#REF!</definedName>
    <definedName name="_MAG1" localSheetId="8">#REF!</definedName>
    <definedName name="_MAG1">#REF!</definedName>
    <definedName name="_MAG11" localSheetId="11">[3]Zap!#REF!</definedName>
    <definedName name="_MAG11" localSheetId="14">[3]Zap!#REF!</definedName>
    <definedName name="_MAG11" localSheetId="8">[3]Zap!#REF!</definedName>
    <definedName name="_MAG11">[3]Zap!#REF!</definedName>
    <definedName name="_pog1" localSheetId="11">#REF!</definedName>
    <definedName name="_pog1" localSheetId="14">#REF!</definedName>
    <definedName name="_pog1" localSheetId="8">#REF!</definedName>
    <definedName name="_pog1">#REF!</definedName>
    <definedName name="_pog10" localSheetId="11">#REF!</definedName>
    <definedName name="_pog10" localSheetId="14">#REF!</definedName>
    <definedName name="_pog10" localSheetId="8">#REF!</definedName>
    <definedName name="_pog10">#REF!</definedName>
    <definedName name="_pog2" localSheetId="11">#REF!</definedName>
    <definedName name="_pog2" localSheetId="14">#REF!</definedName>
    <definedName name="_pog2" localSheetId="8">#REF!</definedName>
    <definedName name="_pog2">#REF!</definedName>
    <definedName name="_pog3" localSheetId="11">#REF!</definedName>
    <definedName name="_pog3" localSheetId="14">#REF!</definedName>
    <definedName name="_pog3" localSheetId="8">#REF!</definedName>
    <definedName name="_pog3">#REF!</definedName>
    <definedName name="_pog4" localSheetId="11">#REF!</definedName>
    <definedName name="_pog4" localSheetId="14">#REF!</definedName>
    <definedName name="_pog4" localSheetId="8">#REF!</definedName>
    <definedName name="_pog4">#REF!</definedName>
    <definedName name="_pog5" localSheetId="11">#REF!</definedName>
    <definedName name="_pog5" localSheetId="14">#REF!</definedName>
    <definedName name="_pog5" localSheetId="8">#REF!</definedName>
    <definedName name="_pog5">#REF!</definedName>
    <definedName name="_pog6" localSheetId="11">#REF!</definedName>
    <definedName name="_pog6" localSheetId="14">#REF!</definedName>
    <definedName name="_pog6" localSheetId="8">#REF!</definedName>
    <definedName name="_pog6">#REF!</definedName>
    <definedName name="_pog7" localSheetId="11">#REF!</definedName>
    <definedName name="_pog7" localSheetId="14">#REF!</definedName>
    <definedName name="_pog7" localSheetId="8">#REF!</definedName>
    <definedName name="_pog7">#REF!</definedName>
    <definedName name="_pog8" localSheetId="11">#REF!</definedName>
    <definedName name="_pog8" localSheetId="14">#REF!</definedName>
    <definedName name="_pog8" localSheetId="8">#REF!</definedName>
    <definedName name="_pog8">#REF!</definedName>
    <definedName name="_pog9" localSheetId="11">#REF!</definedName>
    <definedName name="_pog9" localSheetId="14">#REF!</definedName>
    <definedName name="_pog9" localSheetId="8">#REF!</definedName>
    <definedName name="_pog9">#REF!</definedName>
    <definedName name="_r">[4]Wykończeniówka!$J$1:$K$2</definedName>
    <definedName name="_reg2" localSheetId="11" hidden="1">#REF!</definedName>
    <definedName name="_reg2" localSheetId="14" hidden="1">#REF!</definedName>
    <definedName name="_reg2" localSheetId="8" hidden="1">#REF!</definedName>
    <definedName name="_reg2" hidden="1">#REF!</definedName>
    <definedName name="_Regression_Out" localSheetId="11" hidden="1">#REF!</definedName>
    <definedName name="_Regression_Out" localSheetId="14" hidden="1">#REF!</definedName>
    <definedName name="_Regression_Out" localSheetId="8" hidden="1">#REF!</definedName>
    <definedName name="_Regression_Out" hidden="1">#REF!</definedName>
    <definedName name="_Regression_X" localSheetId="11" hidden="1">#REF!</definedName>
    <definedName name="_Regression_X" localSheetId="14" hidden="1">#REF!</definedName>
    <definedName name="_Regression_X" localSheetId="8" hidden="1">#REF!</definedName>
    <definedName name="_Regression_X" hidden="1">#REF!</definedName>
    <definedName name="_Regression_Y" localSheetId="11" hidden="1">#REF!</definedName>
    <definedName name="_Regression_Y" localSheetId="14" hidden="1">#REF!</definedName>
    <definedName name="_Regression_Y" localSheetId="8" hidden="1">#REF!</definedName>
    <definedName name="_Regression_Y" hidden="1">#REF!</definedName>
    <definedName name="a" localSheetId="11">'[5]Loan Schedule USD'!$B$5</definedName>
    <definedName name="a" localSheetId="14">'[5]Loan Schedule USD'!$B$5</definedName>
    <definedName name="a" localSheetId="8">'[5]Loan Schedule USD'!$B$5</definedName>
    <definedName name="a">'[5]Loan Schedule USD'!$B$5</definedName>
    <definedName name="aa">[6]Budżet!#REF!</definedName>
    <definedName name="aaa" localSheetId="11" hidden="1">#REF!</definedName>
    <definedName name="aaa" localSheetId="14" hidden="1">#REF!</definedName>
    <definedName name="aaa" localSheetId="8" hidden="1">#REF!</definedName>
    <definedName name="aaa" hidden="1">#REF!</definedName>
    <definedName name="aaaa" localSheetId="11">#REF!</definedName>
    <definedName name="aaaa" localSheetId="14">#REF!</definedName>
    <definedName name="aaaa" localSheetId="8">#REF!</definedName>
    <definedName name="aaaa">#REF!</definedName>
    <definedName name="aaaaa" localSheetId="11">#REF!</definedName>
    <definedName name="aaaaa" localSheetId="14">#REF!</definedName>
    <definedName name="aaaaa" localSheetId="8">#REF!</definedName>
    <definedName name="aaaaa">#REF!</definedName>
    <definedName name="aaaaaaa" localSheetId="11">#REF!</definedName>
    <definedName name="aaaaaaa" localSheetId="14">#REF!</definedName>
    <definedName name="aaaaaaa" localSheetId="8">#REF!</definedName>
    <definedName name="aaaaaaa">#REF!</definedName>
    <definedName name="aaasss" localSheetId="11">#REF!</definedName>
    <definedName name="aaasss" localSheetId="14">#REF!</definedName>
    <definedName name="aaasss" localSheetId="8">#REF!</definedName>
    <definedName name="aaasss">#REF!</definedName>
    <definedName name="aef">[7]AEF!$G$17:$R$75</definedName>
    <definedName name="aefbilans">[8]AOEF!$G$20:$T$61</definedName>
    <definedName name="aefwyniki">[8]AOEF!$G$63:$T$99</definedName>
    <definedName name="aiec" localSheetId="11">#REF!</definedName>
    <definedName name="aiec" localSheetId="14">#REF!</definedName>
    <definedName name="aiec" localSheetId="8">#REF!</definedName>
    <definedName name="aiec">#REF!</definedName>
    <definedName name="AIFC" localSheetId="11">#REF!</definedName>
    <definedName name="AIFC" localSheetId="14">#REF!</definedName>
    <definedName name="AIFC" localSheetId="8">#REF!</definedName>
    <definedName name="AIFC">#REF!</definedName>
    <definedName name="amortyzacja_bilansowa_od_początku_roku">'[9]krosno -&gt; grupę, amortyzację'!$M$2:$M$16384</definedName>
    <definedName name="anscount" hidden="1">1</definedName>
    <definedName name="as" localSheetId="11" hidden="1">#REF!</definedName>
    <definedName name="as" localSheetId="14" hidden="1">#REF!</definedName>
    <definedName name="as" localSheetId="8" hidden="1">#REF!</definedName>
    <definedName name="as" hidden="1">#REF!</definedName>
    <definedName name="ascas" localSheetId="11">[10]Wykończeniówka!#REF!</definedName>
    <definedName name="ascas" localSheetId="14">[10]Wykończeniówka!#REF!</definedName>
    <definedName name="ascas" localSheetId="8">[10]Wykończeniówka!#REF!</definedName>
    <definedName name="ascas">[10]Wykończeniówka!#REF!</definedName>
    <definedName name="B" localSheetId="11">#REF!</definedName>
    <definedName name="B" localSheetId="14">#REF!</definedName>
    <definedName name="B" localSheetId="8">#REF!</definedName>
    <definedName name="B">#REF!</definedName>
    <definedName name="base" localSheetId="11">#REF!</definedName>
    <definedName name="base" localSheetId="14">#REF!</definedName>
    <definedName name="base" localSheetId="8">#REF!</definedName>
    <definedName name="base">#REF!</definedName>
    <definedName name="_xlnm.Database" localSheetId="11">#REF!</definedName>
    <definedName name="_xlnm.Database" localSheetId="14">#REF!</definedName>
    <definedName name="_xlnm.Database" localSheetId="8">#REF!</definedName>
    <definedName name="_xlnm.Database">#REF!</definedName>
    <definedName name="BE_ec_tar" localSheetId="11">#REF!</definedName>
    <definedName name="BE_ec_tar" localSheetId="14">#REF!</definedName>
    <definedName name="BE_ec_tar" localSheetId="8">#REF!</definedName>
    <definedName name="BE_ec_tar">#REF!</definedName>
    <definedName name="BE_tariff" localSheetId="11">#REF!</definedName>
    <definedName name="BE_tariff" localSheetId="14">#REF!</definedName>
    <definedName name="BE_tariff" localSheetId="8">#REF!</definedName>
    <definedName name="BE_tariff">#REF!</definedName>
    <definedName name="bh">[6]Budżet!#REF!</definedName>
    <definedName name="bledy">[11]Wniosek!#REF!</definedName>
    <definedName name="bledyaef">[8]AOEF!$G$235:$T$242</definedName>
    <definedName name="blok">[11]Wniosek!#REF!</definedName>
    <definedName name="CF_other" localSheetId="11">#REF!</definedName>
    <definedName name="CF_other" localSheetId="14">#REF!</definedName>
    <definedName name="CF_other" localSheetId="8">#REF!</definedName>
    <definedName name="CF_other">#REF!</definedName>
    <definedName name="Commitment_fee">'[12]Loan Schedule1'!$B$8</definedName>
    <definedName name="conn" localSheetId="11">#REF!</definedName>
    <definedName name="conn" localSheetId="14">#REF!</definedName>
    <definedName name="conn" localSheetId="8">#REF!</definedName>
    <definedName name="conn">#REF!</definedName>
    <definedName name="coverage" localSheetId="11">#REF!</definedName>
    <definedName name="coverage" localSheetId="14">#REF!</definedName>
    <definedName name="coverage" localSheetId="8">#REF!</definedName>
    <definedName name="coverage">#REF!</definedName>
    <definedName name="coverage2005" localSheetId="11">#REF!</definedName>
    <definedName name="coverage2005" localSheetId="14">#REF!</definedName>
    <definedName name="coverage2005" localSheetId="8">#REF!</definedName>
    <definedName name="coverage2005">#REF!</definedName>
    <definedName name="Cykl_p_acenia_zobowi_zań_w_dniach">[13]FO1NOWE!$G$1:$G$65536,[13]FO1NOWE!$B$90:$AZ$90,[13]FO1NOWE!$B$92:$AZ$92,[13]FO1NOWE!$B$94:$AZ$94</definedName>
    <definedName name="Cykl_ści_gania_nale_ności_w_dniach">[13]FO1NOWE!$G$1:$G$65536,[13]FO1NOWE!$B$90:$AZ$90,[13]FO1NOWE!$B$92:$AZ$92</definedName>
    <definedName name="Cykl_zapasów__w_dniach">[13]FO1NOWE!$G$1:$G$65536,[13]FO1NOWE!$B$90:$AZ$90</definedName>
    <definedName name="czasw">#REF!</definedName>
    <definedName name="d">#REF!</definedName>
    <definedName name="DANE">#REF!</definedName>
    <definedName name="Dane_3">#REF!</definedName>
    <definedName name="daty">OFFSET(#REF!,0,0,1,COUNT(#REF!))</definedName>
    <definedName name="dd" localSheetId="11">#REF!</definedName>
    <definedName name="dd" localSheetId="14">#REF!</definedName>
    <definedName name="dd" localSheetId="8">#REF!</definedName>
    <definedName name="dd">#REF!</definedName>
    <definedName name="ddddd" localSheetId="11">#REF!</definedName>
    <definedName name="ddddd" localSheetId="14">#REF!</definedName>
    <definedName name="ddddd" localSheetId="8">#REF!</definedName>
    <definedName name="ddddd">#REF!</definedName>
    <definedName name="ddfdfff" localSheetId="11">#REF!</definedName>
    <definedName name="ddfdfff" localSheetId="14">#REF!</definedName>
    <definedName name="ddfdfff" localSheetId="8">#REF!</definedName>
    <definedName name="ddfdfff">#REF!</definedName>
    <definedName name="delay" localSheetId="11">#REF!</definedName>
    <definedName name="delay" localSheetId="14">#REF!</definedName>
    <definedName name="delay" localSheetId="8">#REF!</definedName>
    <definedName name="delay">#REF!</definedName>
    <definedName name="DEMAND" localSheetId="11">#REF!</definedName>
    <definedName name="DEMAND" localSheetId="14">#REF!</definedName>
    <definedName name="DEMAND" localSheetId="8">#REF!</definedName>
    <definedName name="DEMAND">#REF!</definedName>
    <definedName name="dep" localSheetId="11">[14]Jaroszow1!#REF!</definedName>
    <definedName name="dep" localSheetId="14">[14]Jaroszow1!#REF!</definedName>
    <definedName name="dep" localSheetId="8">[14]Jaroszow1!#REF!</definedName>
    <definedName name="dep">[14]Jaroszow1!#REF!</definedName>
    <definedName name="dolar">[15]PANIEROWNICE!$I$4</definedName>
    <definedName name="e">#REF!</definedName>
    <definedName name="E_BENEFITS" localSheetId="11">#REF!</definedName>
    <definedName name="E_BENEFITS" localSheetId="14">#REF!</definedName>
    <definedName name="E_BENEFITS" localSheetId="8">#REF!</definedName>
    <definedName name="E_BENEFITS">#REF!</definedName>
    <definedName name="e_i" localSheetId="11">#REF!</definedName>
    <definedName name="e_i" localSheetId="14">#REF!</definedName>
    <definedName name="e_i" localSheetId="8">#REF!</definedName>
    <definedName name="e_i">#REF!</definedName>
    <definedName name="e_p" localSheetId="11">#REF!</definedName>
    <definedName name="e_p" localSheetId="14">#REF!</definedName>
    <definedName name="e_p" localSheetId="8">#REF!</definedName>
    <definedName name="e_p">#REF!</definedName>
    <definedName name="EBCA" localSheetId="11">#REF!</definedName>
    <definedName name="EBCA" localSheetId="14">#REF!</definedName>
    <definedName name="EBCA" localSheetId="8">#REF!</definedName>
    <definedName name="EBCA">#REF!</definedName>
    <definedName name="EC_COST" localSheetId="11">#REF!</definedName>
    <definedName name="EC_COST" localSheetId="14">#REF!</definedName>
    <definedName name="EC_COST" localSheetId="8">#REF!</definedName>
    <definedName name="EC_COST">#REF!</definedName>
    <definedName name="ec_subs" localSheetId="11">#REF!</definedName>
    <definedName name="ec_subs" localSheetId="14">#REF!</definedName>
    <definedName name="ec_subs" localSheetId="8">#REF!</definedName>
    <definedName name="ec_subs">#REF!</definedName>
    <definedName name="eeeeee" localSheetId="11">#REF!</definedName>
    <definedName name="eeeeee" localSheetId="14">#REF!</definedName>
    <definedName name="eeeeee" localSheetId="8">#REF!</definedName>
    <definedName name="eeeeee">#REF!</definedName>
    <definedName name="eirr" localSheetId="11">#REF!</definedName>
    <definedName name="eirr" localSheetId="14">#REF!</definedName>
    <definedName name="eirr" localSheetId="8">#REF!</definedName>
    <definedName name="eirr">#REF!</definedName>
    <definedName name="enpv" localSheetId="11">#REF!</definedName>
    <definedName name="enpv" localSheetId="14">#REF!</definedName>
    <definedName name="enpv" localSheetId="8">#REF!</definedName>
    <definedName name="enpv">#REF!</definedName>
    <definedName name="eocc" localSheetId="11">#REF!</definedName>
    <definedName name="eocc" localSheetId="14">#REF!</definedName>
    <definedName name="eocc" localSheetId="8">#REF!</definedName>
    <definedName name="eocc">#REF!</definedName>
    <definedName name="euro">[15]PANIEROWNICE!$J$4</definedName>
    <definedName name="Excel_BuiltIn_Database_0" localSheetId="11">#REF!</definedName>
    <definedName name="Excel_BuiltIn_Database_0" localSheetId="14">#REF!</definedName>
    <definedName name="Excel_BuiltIn_Database_0" localSheetId="8">#REF!</definedName>
    <definedName name="Excel_BuiltIn_Database_0">#REF!</definedName>
    <definedName name="Excel_BuiltIn_Print_Area_9_1">"([$Bilans.$E$1:.$AD$96];[$Bilans.$E$1:.$AE$96])"</definedName>
    <definedName name="Excel_BuiltIn_Recorder_0" localSheetId="11">#REF!</definedName>
    <definedName name="Excel_BuiltIn_Recorder_0" localSheetId="14">#REF!</definedName>
    <definedName name="Excel_BuiltIn_Recorder_0" localSheetId="8">#REF!</definedName>
    <definedName name="Excel_BuiltIn_Recorder_0">#REF!</definedName>
    <definedName name="FBCA" localSheetId="11">#REF!</definedName>
    <definedName name="FBCA" localSheetId="14">#REF!</definedName>
    <definedName name="FBCA" localSheetId="8">#REF!</definedName>
    <definedName name="FBCA">#REF!</definedName>
    <definedName name="FC" localSheetId="11">[16]BILANF!#REF!</definedName>
    <definedName name="FC" localSheetId="14">[16]BILANF!#REF!</definedName>
    <definedName name="FC" localSheetId="8">[16]BILANF!#REF!</definedName>
    <definedName name="FC">[16]BILANF!#REF!</definedName>
    <definedName name="FCC" localSheetId="11">#REF!</definedName>
    <definedName name="FCC" localSheetId="14">#REF!</definedName>
    <definedName name="FCC" localSheetId="8">#REF!</definedName>
    <definedName name="FCC">#REF!</definedName>
    <definedName name="fff" localSheetId="11">#REF!</definedName>
    <definedName name="fff" localSheetId="14">#REF!</definedName>
    <definedName name="fff" localSheetId="8">#REF!</definedName>
    <definedName name="fff">#REF!</definedName>
    <definedName name="FINCOST" localSheetId="11">#REF!</definedName>
    <definedName name="FINCOST" localSheetId="14">#REF!</definedName>
    <definedName name="FINCOST" localSheetId="8">#REF!</definedName>
    <definedName name="FINCOST">#REF!</definedName>
    <definedName name="firr" localSheetId="11">#REF!</definedName>
    <definedName name="firr" localSheetId="14">#REF!</definedName>
    <definedName name="firr" localSheetId="8">#REF!</definedName>
    <definedName name="firr">#REF!</definedName>
    <definedName name="fnpv" localSheetId="11">#REF!</definedName>
    <definedName name="fnpv" localSheetId="14">#REF!</definedName>
    <definedName name="fnpv" localSheetId="8">#REF!</definedName>
    <definedName name="fnpv">#REF!</definedName>
    <definedName name="g">#REF!</definedName>
    <definedName name="gdp" localSheetId="11">#REF!</definedName>
    <definedName name="gdp" localSheetId="14">#REF!</definedName>
    <definedName name="gdp" localSheetId="8">#REF!</definedName>
    <definedName name="gdp">#REF!</definedName>
    <definedName name="gr_ryz">[17]parametry!$D$2:$D$6</definedName>
    <definedName name="growth" localSheetId="11">#REF!</definedName>
    <definedName name="growth" localSheetId="14">#REF!</definedName>
    <definedName name="growth" localSheetId="8">#REF!</definedName>
    <definedName name="growth">#REF!</definedName>
    <definedName name="ie" localSheetId="11">#REF!</definedName>
    <definedName name="ie" localSheetId="14">#REF!</definedName>
    <definedName name="ie" localSheetId="8">#REF!</definedName>
    <definedName name="ie">#REF!</definedName>
    <definedName name="jump" localSheetId="11">[14]Jaroszow1!#REF!</definedName>
    <definedName name="jump" localSheetId="14">[14]Jaroszow1!#REF!</definedName>
    <definedName name="jump" localSheetId="8">[14]Jaroszow1!#REF!</definedName>
    <definedName name="jump">[14]Jaroszow1!#REF!</definedName>
    <definedName name="KAPITA_Y_W_ASNE">[13]FO1NOWE!$B$60,[13]FO1NOWE!$B$60:$AZ$60</definedName>
    <definedName name="kasa" localSheetId="11">#REF!</definedName>
    <definedName name="kasa" localSheetId="14">#REF!</definedName>
    <definedName name="kasa" localSheetId="8">#REF!</definedName>
    <definedName name="kasa">#REF!</definedName>
    <definedName name="kasa_w" localSheetId="11">#REF!</definedName>
    <definedName name="kasa_w" localSheetId="14">#REF!</definedName>
    <definedName name="kasa_w" localSheetId="8">#REF!</definedName>
    <definedName name="kasa_w">#REF!</definedName>
    <definedName name="kasa_w2" localSheetId="11">#REF!</definedName>
    <definedName name="kasa_w2" localSheetId="14">#REF!</definedName>
    <definedName name="kasa_w2" localSheetId="8">#REF!</definedName>
    <definedName name="kasa_w2">#REF!</definedName>
    <definedName name="kasa1" localSheetId="11">#REF!</definedName>
    <definedName name="kasa1" localSheetId="14">#REF!</definedName>
    <definedName name="kasa1" localSheetId="8">#REF!</definedName>
    <definedName name="kasa1">#REF!</definedName>
    <definedName name="kasa1_w" localSheetId="11">#REF!</definedName>
    <definedName name="kasa1_w" localSheetId="14">#REF!</definedName>
    <definedName name="kasa1_w" localSheetId="8">#REF!</definedName>
    <definedName name="kasa1_w">#REF!</definedName>
    <definedName name="kasa1_w2" localSheetId="11">#REF!</definedName>
    <definedName name="kasa1_w2" localSheetId="14">#REF!</definedName>
    <definedName name="kasa1_w2" localSheetId="8">#REF!</definedName>
    <definedName name="kasa1_w2">#REF!</definedName>
    <definedName name="kasa10" localSheetId="11">#REF!</definedName>
    <definedName name="kasa10" localSheetId="14">#REF!</definedName>
    <definedName name="kasa10" localSheetId="8">#REF!</definedName>
    <definedName name="kasa10">#REF!</definedName>
    <definedName name="kasa2" localSheetId="11">#REF!</definedName>
    <definedName name="kasa2" localSheetId="14">#REF!</definedName>
    <definedName name="kasa2" localSheetId="8">#REF!</definedName>
    <definedName name="kasa2">#REF!</definedName>
    <definedName name="kasa2_w" localSheetId="11">#REF!</definedName>
    <definedName name="kasa2_w" localSheetId="14">#REF!</definedName>
    <definedName name="kasa2_w" localSheetId="8">#REF!</definedName>
    <definedName name="kasa2_w">#REF!</definedName>
    <definedName name="kasa2_w2" localSheetId="11">#REF!</definedName>
    <definedName name="kasa2_w2" localSheetId="14">#REF!</definedName>
    <definedName name="kasa2_w2" localSheetId="8">#REF!</definedName>
    <definedName name="kasa2_w2">#REF!</definedName>
    <definedName name="kasa3" localSheetId="11">#REF!</definedName>
    <definedName name="kasa3" localSheetId="14">#REF!</definedName>
    <definedName name="kasa3" localSheetId="8">#REF!</definedName>
    <definedName name="kasa3">#REF!</definedName>
    <definedName name="kasa3_w" localSheetId="11">#REF!</definedName>
    <definedName name="kasa3_w" localSheetId="14">#REF!</definedName>
    <definedName name="kasa3_w" localSheetId="8">#REF!</definedName>
    <definedName name="kasa3_w">#REF!</definedName>
    <definedName name="kasa3_w2" localSheetId="11">#REF!</definedName>
    <definedName name="kasa3_w2" localSheetId="14">#REF!</definedName>
    <definedName name="kasa3_w2" localSheetId="8">#REF!</definedName>
    <definedName name="kasa3_w2">#REF!</definedName>
    <definedName name="kasa4" localSheetId="11">#REF!</definedName>
    <definedName name="kasa4" localSheetId="14">#REF!</definedName>
    <definedName name="kasa4" localSheetId="8">#REF!</definedName>
    <definedName name="kasa4">#REF!</definedName>
    <definedName name="kasa4_w" localSheetId="11">#REF!</definedName>
    <definedName name="kasa4_w" localSheetId="14">#REF!</definedName>
    <definedName name="kasa4_w" localSheetId="8">#REF!</definedName>
    <definedName name="kasa4_w">#REF!</definedName>
    <definedName name="kasa4_w2" localSheetId="11">#REF!</definedName>
    <definedName name="kasa4_w2" localSheetId="14">#REF!</definedName>
    <definedName name="kasa4_w2" localSheetId="8">#REF!</definedName>
    <definedName name="kasa4_w2">#REF!</definedName>
    <definedName name="kasa5" localSheetId="11">#REF!</definedName>
    <definedName name="kasa5" localSheetId="14">#REF!</definedName>
    <definedName name="kasa5" localSheetId="8">#REF!</definedName>
    <definedName name="kasa5">#REF!</definedName>
    <definedName name="kasa5_w" localSheetId="11">#REF!</definedName>
    <definedName name="kasa5_w" localSheetId="14">#REF!</definedName>
    <definedName name="kasa5_w" localSheetId="8">#REF!</definedName>
    <definedName name="kasa5_w">#REF!</definedName>
    <definedName name="kasa5_w2" localSheetId="11">#REF!</definedName>
    <definedName name="kasa5_w2" localSheetId="14">#REF!</definedName>
    <definedName name="kasa5_w2" localSheetId="8">#REF!</definedName>
    <definedName name="kasa5_w2">#REF!</definedName>
    <definedName name="kasa6" localSheetId="11">#REF!</definedName>
    <definedName name="kasa6" localSheetId="14">#REF!</definedName>
    <definedName name="kasa6" localSheetId="8">#REF!</definedName>
    <definedName name="kasa6">#REF!</definedName>
    <definedName name="kasa6_w" localSheetId="11">#REF!</definedName>
    <definedName name="kasa6_w" localSheetId="14">#REF!</definedName>
    <definedName name="kasa6_w" localSheetId="8">#REF!</definedName>
    <definedName name="kasa6_w">#REF!</definedName>
    <definedName name="kasa6_w2" localSheetId="11">#REF!</definedName>
    <definedName name="kasa6_w2" localSheetId="14">#REF!</definedName>
    <definedName name="kasa6_w2" localSheetId="8">#REF!</definedName>
    <definedName name="kasa6_w2">#REF!</definedName>
    <definedName name="kasa7" localSheetId="11">#REF!</definedName>
    <definedName name="kasa7" localSheetId="14">#REF!</definedName>
    <definedName name="kasa7" localSheetId="8">#REF!</definedName>
    <definedName name="kasa7">#REF!</definedName>
    <definedName name="kasa8" localSheetId="11">#REF!</definedName>
    <definedName name="kasa8" localSheetId="14">#REF!</definedName>
    <definedName name="kasa8" localSheetId="8">#REF!</definedName>
    <definedName name="kasa8">#REF!</definedName>
    <definedName name="kasa9" localSheetId="11">#REF!</definedName>
    <definedName name="kasa9" localSheetId="14">#REF!</definedName>
    <definedName name="kasa9" localSheetId="8">#REF!</definedName>
    <definedName name="kasa9">#REF!</definedName>
    <definedName name="klasyfikacja_NBP">[8]Parametry!$G$84:$H$88</definedName>
    <definedName name="konstrukcja.spr" localSheetId="11">#REF!</definedName>
    <definedName name="konstrukcja.spr" localSheetId="14">#REF!</definedName>
    <definedName name="konstrukcja.spr" localSheetId="8">#REF!</definedName>
    <definedName name="konstrukcja.spr">#REF!</definedName>
    <definedName name="kor" localSheetId="11">#REF!</definedName>
    <definedName name="kor" localSheetId="14">#REF!</definedName>
    <definedName name="kor" localSheetId="8">#REF!</definedName>
    <definedName name="kor">#REF!</definedName>
    <definedName name="korekta_dzwignia">[8]Parametry!$B$29:$C$31</definedName>
    <definedName name="korekta_plynnosc">[8]Parametry!$B$33:$C$34</definedName>
    <definedName name="korekta_zysk">[8]Parametry!$B$24:$C$26</definedName>
    <definedName name="Koszty">[18]Koszty!$A$1:$J$253</definedName>
    <definedName name="kredyt" localSheetId="11">#REF!</definedName>
    <definedName name="kredyt" localSheetId="14">#REF!</definedName>
    <definedName name="kredyt" localSheetId="8">#REF!</definedName>
    <definedName name="kredyt">#REF!</definedName>
    <definedName name="kredyt_w" localSheetId="11">#REF!</definedName>
    <definedName name="kredyt_w" localSheetId="14">#REF!</definedName>
    <definedName name="kredyt_w" localSheetId="8">#REF!</definedName>
    <definedName name="kredyt_w">#REF!</definedName>
    <definedName name="kredyt_w2" localSheetId="11">#REF!</definedName>
    <definedName name="kredyt_w2" localSheetId="14">#REF!</definedName>
    <definedName name="kredyt_w2" localSheetId="8">#REF!</definedName>
    <definedName name="kredyt_w2">#REF!</definedName>
    <definedName name="kredyt1" localSheetId="11">#REF!</definedName>
    <definedName name="kredyt1" localSheetId="14">#REF!</definedName>
    <definedName name="kredyt1" localSheetId="8">#REF!</definedName>
    <definedName name="kredyt1">#REF!</definedName>
    <definedName name="kredyt1_w" localSheetId="11">#REF!</definedName>
    <definedName name="kredyt1_w" localSheetId="14">#REF!</definedName>
    <definedName name="kredyt1_w" localSheetId="8">#REF!</definedName>
    <definedName name="kredyt1_w">#REF!</definedName>
    <definedName name="kredyt1_w2" localSheetId="11">#REF!</definedName>
    <definedName name="kredyt1_w2" localSheetId="14">#REF!</definedName>
    <definedName name="kredyt1_w2" localSheetId="8">#REF!</definedName>
    <definedName name="kredyt1_w2">#REF!</definedName>
    <definedName name="kredyt10" localSheetId="11">#REF!</definedName>
    <definedName name="kredyt10" localSheetId="14">#REF!</definedName>
    <definedName name="kredyt10" localSheetId="8">#REF!</definedName>
    <definedName name="kredyt10">#REF!</definedName>
    <definedName name="kredyt2" localSheetId="11">#REF!</definedName>
    <definedName name="kredyt2" localSheetId="14">#REF!</definedName>
    <definedName name="kredyt2" localSheetId="8">#REF!</definedName>
    <definedName name="kredyt2">#REF!</definedName>
    <definedName name="kredyt2_w" localSheetId="11">#REF!</definedName>
    <definedName name="kredyt2_w" localSheetId="14">#REF!</definedName>
    <definedName name="kredyt2_w" localSheetId="8">#REF!</definedName>
    <definedName name="kredyt2_w">#REF!</definedName>
    <definedName name="kredyt2_w2" localSheetId="11">#REF!</definedName>
    <definedName name="kredyt2_w2" localSheetId="14">#REF!</definedName>
    <definedName name="kredyt2_w2" localSheetId="8">#REF!</definedName>
    <definedName name="kredyt2_w2">#REF!</definedName>
    <definedName name="kredyt3" localSheetId="11">#REF!</definedName>
    <definedName name="kredyt3" localSheetId="14">#REF!</definedName>
    <definedName name="kredyt3" localSheetId="8">#REF!</definedName>
    <definedName name="kredyt3">#REF!</definedName>
    <definedName name="kredyt3_w" localSheetId="11">#REF!</definedName>
    <definedName name="kredyt3_w" localSheetId="14">#REF!</definedName>
    <definedName name="kredyt3_w" localSheetId="8">#REF!</definedName>
    <definedName name="kredyt3_w">#REF!</definedName>
    <definedName name="kredyt3_w2" localSheetId="11">#REF!</definedName>
    <definedName name="kredyt3_w2" localSheetId="14">#REF!</definedName>
    <definedName name="kredyt3_w2" localSheetId="8">#REF!</definedName>
    <definedName name="kredyt3_w2">#REF!</definedName>
    <definedName name="kredyt4" localSheetId="11">#REF!</definedName>
    <definedName name="kredyt4" localSheetId="14">#REF!</definedName>
    <definedName name="kredyt4" localSheetId="8">#REF!</definedName>
    <definedName name="kredyt4">#REF!</definedName>
    <definedName name="kredyt4_w" localSheetId="11">#REF!</definedName>
    <definedName name="kredyt4_w" localSheetId="14">#REF!</definedName>
    <definedName name="kredyt4_w" localSheetId="8">#REF!</definedName>
    <definedName name="kredyt4_w">#REF!</definedName>
    <definedName name="kredyt4_w2" localSheetId="11">#REF!</definedName>
    <definedName name="kredyt4_w2" localSheetId="14">#REF!</definedName>
    <definedName name="kredyt4_w2" localSheetId="8">#REF!</definedName>
    <definedName name="kredyt4_w2">#REF!</definedName>
    <definedName name="kredyt5" localSheetId="11">#REF!</definedName>
    <definedName name="kredyt5" localSheetId="14">#REF!</definedName>
    <definedName name="kredyt5" localSheetId="8">#REF!</definedName>
    <definedName name="kredyt5">#REF!</definedName>
    <definedName name="kredyt5_w" localSheetId="11">#REF!</definedName>
    <definedName name="kredyt5_w" localSheetId="14">#REF!</definedName>
    <definedName name="kredyt5_w" localSheetId="8">#REF!</definedName>
    <definedName name="kredyt5_w">#REF!</definedName>
    <definedName name="kredyt5_w2" localSheetId="11">#REF!</definedName>
    <definedName name="kredyt5_w2" localSheetId="14">#REF!</definedName>
    <definedName name="kredyt5_w2" localSheetId="8">#REF!</definedName>
    <definedName name="kredyt5_w2">#REF!</definedName>
    <definedName name="kredyt6" localSheetId="11">#REF!</definedName>
    <definedName name="kredyt6" localSheetId="14">#REF!</definedName>
    <definedName name="kredyt6" localSheetId="8">#REF!</definedName>
    <definedName name="kredyt6">#REF!</definedName>
    <definedName name="kredyt6_w" localSheetId="11">#REF!</definedName>
    <definedName name="kredyt6_w" localSheetId="14">#REF!</definedName>
    <definedName name="kredyt6_w" localSheetId="8">#REF!</definedName>
    <definedName name="kredyt6_w">#REF!</definedName>
    <definedName name="kredyt6_w2" localSheetId="11">#REF!</definedName>
    <definedName name="kredyt6_w2" localSheetId="14">#REF!</definedName>
    <definedName name="kredyt6_w2" localSheetId="8">#REF!</definedName>
    <definedName name="kredyt6_w2">#REF!</definedName>
    <definedName name="kredyt7" localSheetId="11">#REF!</definedName>
    <definedName name="kredyt7" localSheetId="14">#REF!</definedName>
    <definedName name="kredyt7" localSheetId="8">#REF!</definedName>
    <definedName name="kredyt7">#REF!</definedName>
    <definedName name="kredyt8" localSheetId="11">#REF!</definedName>
    <definedName name="kredyt8" localSheetId="14">#REF!</definedName>
    <definedName name="kredyt8" localSheetId="8">#REF!</definedName>
    <definedName name="kredyt8">#REF!</definedName>
    <definedName name="kredyt9" localSheetId="11">#REF!</definedName>
    <definedName name="kredyt9" localSheetId="14">#REF!</definedName>
    <definedName name="kredyt9" localSheetId="8">#REF!</definedName>
    <definedName name="kredyt9">#REF!</definedName>
    <definedName name="ktp.KtTyp" localSheetId="17">1</definedName>
    <definedName name="ktp.KtWM" localSheetId="17">2</definedName>
    <definedName name="lata">[8]Parametry!$B$95:$C$102</definedName>
    <definedName name="lata1">[8]Parametry!$B$94:$C$102</definedName>
    <definedName name="lcd" localSheetId="11">#REF!</definedName>
    <definedName name="lcd" localSheetId="14">#REF!</definedName>
    <definedName name="lcd" localSheetId="8">#REF!</definedName>
    <definedName name="lcd">#REF!</definedName>
    <definedName name="life" localSheetId="11">#REF!</definedName>
    <definedName name="life" localSheetId="14">#REF!</definedName>
    <definedName name="life" localSheetId="8">#REF!</definedName>
    <definedName name="life">#REF!</definedName>
    <definedName name="lista1" localSheetId="11">[19]Arkusz2!$B$4:$B$6</definedName>
    <definedName name="lista1" localSheetId="14">[19]Arkusz2!$B$4:$B$6</definedName>
    <definedName name="lista1" localSheetId="8">[19]Arkusz2!$B$4:$B$6</definedName>
    <definedName name="lista1">[20]Arkusz2!$B$4:$B$6</definedName>
    <definedName name="loan1" localSheetId="11">[14]Jaroszow1!#REF!</definedName>
    <definedName name="loan1" localSheetId="14">[14]Jaroszow1!#REF!</definedName>
    <definedName name="loan1" localSheetId="8">[14]Jaroszow1!#REF!</definedName>
    <definedName name="loan1">[14]Jaroszow1!#REF!</definedName>
    <definedName name="loan2" localSheetId="11">[14]Jaroszow1!#REF!</definedName>
    <definedName name="loan2" localSheetId="14">[14]Jaroszow1!#REF!</definedName>
    <definedName name="loan2" localSheetId="8">[14]Jaroszow1!#REF!</definedName>
    <definedName name="loan2">[14]Jaroszow1!#REF!</definedName>
    <definedName name="loan3" localSheetId="11">[14]Jaroszow1!#REF!</definedName>
    <definedName name="loan3" localSheetId="14">[14]Jaroszow1!#REF!</definedName>
    <definedName name="loan3" localSheetId="8">[14]Jaroszow1!#REF!</definedName>
    <definedName name="loan3">[14]Jaroszow1!#REF!</definedName>
    <definedName name="mnow">#REF!</definedName>
    <definedName name="Nazwa" localSheetId="11">[11]Wniosek!#REF!</definedName>
    <definedName name="Nazwa" localSheetId="14">[11]Wniosek!#REF!</definedName>
    <definedName name="Nazwa" localSheetId="8">[11]Wniosek!#REF!</definedName>
    <definedName name="Nazwa">[11]Wniosek!#REF!</definedName>
    <definedName name="obszar" localSheetId="11">#REF!</definedName>
    <definedName name="obszar" localSheetId="14">#REF!</definedName>
    <definedName name="obszar" localSheetId="8">#REF!</definedName>
    <definedName name="obszar">#REF!</definedName>
    <definedName name="ocena">[8]Parametry!$B$14:$C$19</definedName>
    <definedName name="ocena_rachunku">[8]Parametry!$B$64:$C$66</definedName>
    <definedName name="okresy">[11]Wniosek!#REF!</definedName>
    <definedName name="Okresy_planowane">[21]Gantt!A$4=MEDIAN([21]Gantt!A$4,[21]Gantt!$C1,[21]Gantt!$C1+[21]Gantt!$D1-1)</definedName>
    <definedName name="Okresy_rzeczywiste">[21]Gantt!A$4=MEDIAN([21]Gantt!A$4,[21]Gantt!$E1,[21]Gantt!$E1+[21]Gantt!$F1-1)</definedName>
    <definedName name="opoznienie">[17]parametry!$J$2:$J$11</definedName>
    <definedName name="Oprocentowanie2" localSheetId="11">[22]koszty!#REF!</definedName>
    <definedName name="Oprocentowanie2" localSheetId="14">[22]koszty!#REF!</definedName>
    <definedName name="Oprocentowanie2" localSheetId="8">[22]koszty!#REF!</definedName>
    <definedName name="Oprocentowanie2">[22]koszty!#REF!</definedName>
    <definedName name="p" localSheetId="11">#REF!</definedName>
    <definedName name="p" localSheetId="14">#REF!</definedName>
    <definedName name="p" localSheetId="8">#REF!</definedName>
    <definedName name="p">#REF!</definedName>
    <definedName name="P_USERS" localSheetId="11">#REF!</definedName>
    <definedName name="P_USERS" localSheetId="14">#REF!</definedName>
    <definedName name="P_USERS" localSheetId="8">#REF!</definedName>
    <definedName name="P_USERS">#REF!</definedName>
    <definedName name="piped_water_1996" localSheetId="11">#REF!</definedName>
    <definedName name="piped_water_1996" localSheetId="14">#REF!</definedName>
    <definedName name="piped_water_1996" localSheetId="8">#REF!</definedName>
    <definedName name="piped_water_1996">#REF!</definedName>
    <definedName name="PKD">[17]PKD!$A$2:$A$910</definedName>
    <definedName name="pkf.KtNazwa" localSheetId="17">"NIE"</definedName>
    <definedName name="pkf.Parametry" localSheetId="17">"TAK"</definedName>
    <definedName name="pkf.rok" localSheetId="17">2020</definedName>
    <definedName name="Plan" localSheetId="11">Okresy_planowane*([21]Gantt!$C1&gt;0)</definedName>
    <definedName name="Plan" localSheetId="14">[0]!Okresy_planowane*([21]Gantt!$C1&gt;0)</definedName>
    <definedName name="Plan" localSheetId="8">[0]!Okresy_planowane*([21]Gantt!$C1&gt;0)</definedName>
    <definedName name="Plan">Okresy_planowane*([21]Gantt!$C1&gt;0)</definedName>
    <definedName name="pog" localSheetId="11">#REF!</definedName>
    <definedName name="pog" localSheetId="14">#REF!</definedName>
    <definedName name="pog" localSheetId="8">#REF!</definedName>
    <definedName name="pog">#REF!</definedName>
    <definedName name="pog_w" localSheetId="11">#REF!</definedName>
    <definedName name="pog_w" localSheetId="14">#REF!</definedName>
    <definedName name="pog_w" localSheetId="8">#REF!</definedName>
    <definedName name="pog_w">#REF!</definedName>
    <definedName name="pog_w2" localSheetId="11">#REF!</definedName>
    <definedName name="pog_w2" localSheetId="14">#REF!</definedName>
    <definedName name="pog_w2" localSheetId="8">#REF!</definedName>
    <definedName name="pog_w2">#REF!</definedName>
    <definedName name="pog1_w" localSheetId="11">#REF!</definedName>
    <definedName name="pog1_w" localSheetId="14">#REF!</definedName>
    <definedName name="pog1_w" localSheetId="8">#REF!</definedName>
    <definedName name="pog1_w">#REF!</definedName>
    <definedName name="pog1_w2" localSheetId="11">#REF!</definedName>
    <definedName name="pog1_w2" localSheetId="14">#REF!</definedName>
    <definedName name="pog1_w2" localSheetId="8">#REF!</definedName>
    <definedName name="pog1_w2">#REF!</definedName>
    <definedName name="pog2_w" localSheetId="11">#REF!</definedName>
    <definedName name="pog2_w" localSheetId="14">#REF!</definedName>
    <definedName name="pog2_w" localSheetId="8">#REF!</definedName>
    <definedName name="pog2_w">#REF!</definedName>
    <definedName name="pog2_w2" localSheetId="11">#REF!</definedName>
    <definedName name="pog2_w2" localSheetId="14">#REF!</definedName>
    <definedName name="pog2_w2" localSheetId="8">#REF!</definedName>
    <definedName name="pog2_w2">#REF!</definedName>
    <definedName name="pog3_w" localSheetId="11">#REF!</definedName>
    <definedName name="pog3_w" localSheetId="14">#REF!</definedName>
    <definedName name="pog3_w" localSheetId="8">#REF!</definedName>
    <definedName name="pog3_w">#REF!</definedName>
    <definedName name="pog3_w2" localSheetId="11">#REF!</definedName>
    <definedName name="pog3_w2" localSheetId="14">#REF!</definedName>
    <definedName name="pog3_w2" localSheetId="8">#REF!</definedName>
    <definedName name="pog3_w2">#REF!</definedName>
    <definedName name="pog4_w" localSheetId="11">#REF!</definedName>
    <definedName name="pog4_w" localSheetId="14">#REF!</definedName>
    <definedName name="pog4_w" localSheetId="8">#REF!</definedName>
    <definedName name="pog4_w">#REF!</definedName>
    <definedName name="pog4_w2" localSheetId="11">#REF!</definedName>
    <definedName name="pog4_w2" localSheetId="14">#REF!</definedName>
    <definedName name="pog4_w2" localSheetId="8">#REF!</definedName>
    <definedName name="pog4_w2">#REF!</definedName>
    <definedName name="pog5_w" localSheetId="11">#REF!</definedName>
    <definedName name="pog5_w" localSheetId="14">#REF!</definedName>
    <definedName name="pog5_w" localSheetId="8">#REF!</definedName>
    <definedName name="pog5_w">#REF!</definedName>
    <definedName name="pog5_w2" localSheetId="11">#REF!</definedName>
    <definedName name="pog5_w2" localSheetId="14">#REF!</definedName>
    <definedName name="pog5_w2" localSheetId="8">#REF!</definedName>
    <definedName name="pog5_w2">#REF!</definedName>
    <definedName name="pog6_w" localSheetId="11">#REF!</definedName>
    <definedName name="pog6_w" localSheetId="14">#REF!</definedName>
    <definedName name="pog6_w" localSheetId="8">#REF!</definedName>
    <definedName name="pog6_w">#REF!</definedName>
    <definedName name="pog6_w2" localSheetId="11">#REF!</definedName>
    <definedName name="pog6_w2" localSheetId="14">#REF!</definedName>
    <definedName name="pog6_w2" localSheetId="8">#REF!</definedName>
    <definedName name="pog6_w2">#REF!</definedName>
    <definedName name="POINT">#N/A</definedName>
    <definedName name="POW">[23]POW!$A$2:$D$6</definedName>
    <definedName name="pr">[6]Budżet!#REF!</definedName>
    <definedName name="Procent_wykonania" localSheetId="11">Procent_wykonania_poza*Okresy_planowane</definedName>
    <definedName name="Procent_wykonania" localSheetId="14">[0]!Procent_wykonania_poza*[0]!Okresy_planowane</definedName>
    <definedName name="Procent_wykonania" localSheetId="8">[0]!Procent_wykonania_poza*[0]!Okresy_planowane</definedName>
    <definedName name="Procent_wykonania">Procent_wykonania_poza*Okresy_planowane</definedName>
    <definedName name="Procent_wykonania_poza">([21]Gantt!A$4=MEDIAN([21]Gantt!A$4,[21]Gantt!$E1,[21]Gantt!$E1+[21]Gantt!$F1)*([21]Gantt!$E1&gt;0))*(([21]Gantt!A$4&lt;(INT([21]Gantt!$E1+[21]Gantt!$F1*[21]Gantt!$G1)))+([21]Gantt!A$4=[21]Gantt!$E1))*([21]Gantt!$G1&gt;0)</definedName>
    <definedName name="produkt">[17]parametry!#REF!</definedName>
    <definedName name="prowizja" localSheetId="11">[22]Założenia!#REF!</definedName>
    <definedName name="prowizja" localSheetId="14">[22]Założenia!#REF!</definedName>
    <definedName name="prowizja" localSheetId="8">[22]Założenia!#REF!</definedName>
    <definedName name="prowizja">[22]Założenia!#REF!</definedName>
    <definedName name="przeterminowanie">[8]Parametry!XEW$69:XEX$73</definedName>
    <definedName name="punktacja_dzwignia">[8]Parametry!$B$37:$C$43</definedName>
    <definedName name="punktacja_odsetki">[8]Parametry!$B$46:$C$52</definedName>
    <definedName name="punktacja_zadluzenie">[8]Parametry!$B$55:$C$61</definedName>
    <definedName name="qq" localSheetId="11">#REF!</definedName>
    <definedName name="qq" localSheetId="14">#REF!</definedName>
    <definedName name="qq" localSheetId="8">#REF!</definedName>
    <definedName name="qq">#REF!</definedName>
    <definedName name="qqqqq" localSheetId="11">#REF!</definedName>
    <definedName name="qqqqq" localSheetId="14">#REF!</definedName>
    <definedName name="qqqqq" localSheetId="8">#REF!</definedName>
    <definedName name="qqqqq">#REF!</definedName>
    <definedName name="rat" localSheetId="11">[22]Założenia!#REF!</definedName>
    <definedName name="rat" localSheetId="14">[22]Założenia!#REF!</definedName>
    <definedName name="rat" localSheetId="8">[22]Założenia!#REF!</definedName>
    <definedName name="rat">[22]Założenia!#REF!</definedName>
    <definedName name="RECAL">#N/A</definedName>
    <definedName name="Regon" localSheetId="11">[11]Wniosek!#REF!</definedName>
    <definedName name="Regon" localSheetId="14">[11]Wniosek!#REF!</definedName>
    <definedName name="Regon" localSheetId="8">[11]Wniosek!#REF!</definedName>
    <definedName name="Regon">[11]Wniosek!#REF!</definedName>
    <definedName name="regx2" localSheetId="11" hidden="1">#REF!</definedName>
    <definedName name="regx2" localSheetId="14" hidden="1">#REF!</definedName>
    <definedName name="regx2" localSheetId="8" hidden="1">#REF!</definedName>
    <definedName name="regx2" hidden="1">#REF!</definedName>
    <definedName name="_xlnm.Recorder" localSheetId="11">#REF!</definedName>
    <definedName name="_xlnm.Recorder" localSheetId="14">#REF!</definedName>
    <definedName name="_xlnm.Recorder" localSheetId="8">#REF!</definedName>
    <definedName name="_xlnm.Recorder">#REF!</definedName>
    <definedName name="Rentowność_dzia_alności_podstawowej">[13]FO1NOWE!$B$104:$AZ$104,[13]FO1NOWE!$B$105:$AZ$105</definedName>
    <definedName name="repay1" localSheetId="11">[14]Jaroszow1!#REF!</definedName>
    <definedName name="repay1" localSheetId="14">[14]Jaroszow1!#REF!</definedName>
    <definedName name="repay1" localSheetId="8">[14]Jaroszow1!#REF!</definedName>
    <definedName name="repay1">[14]Jaroszow1!#REF!</definedName>
    <definedName name="repay2" localSheetId="11">[14]Jaroszow1!#REF!</definedName>
    <definedName name="repay2" localSheetId="14">[14]Jaroszow1!#REF!</definedName>
    <definedName name="repay2" localSheetId="8">[14]Jaroszow1!#REF!</definedName>
    <definedName name="repay2">[14]Jaroszow1!#REF!</definedName>
    <definedName name="repay3" localSheetId="11">[14]Jaroszow1!#REF!</definedName>
    <definedName name="repay3" localSheetId="14">[14]Jaroszow1!#REF!</definedName>
    <definedName name="repay3" localSheetId="8">[14]Jaroszow1!#REF!</definedName>
    <definedName name="repay3">[14]Jaroszow1!#REF!</definedName>
    <definedName name="REVAL">#N/A</definedName>
    <definedName name="REVENUES" localSheetId="11">#REF!</definedName>
    <definedName name="REVENUES" localSheetId="14">#REF!</definedName>
    <definedName name="REVENUES" localSheetId="8">#REF!</definedName>
    <definedName name="REVENUES">#REF!</definedName>
    <definedName name="RGK">'[9]krosno -&gt; grupę, amortyzację'!$J$2:$J$16384</definedName>
    <definedName name="rofa">[14]Jaroszow1!#REF!</definedName>
    <definedName name="Rok1_w" localSheetId="11">#REF!</definedName>
    <definedName name="Rok1_w" localSheetId="14">#REF!</definedName>
    <definedName name="Rok1_w" localSheetId="8">#REF!</definedName>
    <definedName name="Rok1_w">#REF!</definedName>
    <definedName name="Rok1_w2" localSheetId="11">#REF!</definedName>
    <definedName name="Rok1_w2" localSheetId="14">#REF!</definedName>
    <definedName name="Rok1_w2" localSheetId="8">#REF!</definedName>
    <definedName name="Rok1_w2">#REF!</definedName>
    <definedName name="Rok10_w" localSheetId="11">#REF!</definedName>
    <definedName name="Rok10_w" localSheetId="14">#REF!</definedName>
    <definedName name="Rok10_w" localSheetId="8">#REF!</definedName>
    <definedName name="Rok10_w">#REF!</definedName>
    <definedName name="Rok2_w" localSheetId="11">#REF!</definedName>
    <definedName name="Rok2_w" localSheetId="14">#REF!</definedName>
    <definedName name="Rok2_w" localSheetId="8">#REF!</definedName>
    <definedName name="Rok2_w">#REF!</definedName>
    <definedName name="Rok2_w2" localSheetId="11">#REF!</definedName>
    <definedName name="Rok2_w2" localSheetId="14">#REF!</definedName>
    <definedName name="Rok2_w2" localSheetId="8">#REF!</definedName>
    <definedName name="Rok2_w2">#REF!</definedName>
    <definedName name="Rok3_w" localSheetId="11">#REF!</definedName>
    <definedName name="Rok3_w" localSheetId="14">#REF!</definedName>
    <definedName name="Rok3_w" localSheetId="8">#REF!</definedName>
    <definedName name="Rok3_w">#REF!</definedName>
    <definedName name="Rok3_w2" localSheetId="11">#REF!</definedName>
    <definedName name="Rok3_w2" localSheetId="14">#REF!</definedName>
    <definedName name="Rok3_w2" localSheetId="8">#REF!</definedName>
    <definedName name="Rok3_w2">#REF!</definedName>
    <definedName name="Rok4_w" localSheetId="11">#REF!</definedName>
    <definedName name="Rok4_w" localSheetId="14">#REF!</definedName>
    <definedName name="Rok4_w" localSheetId="8">#REF!</definedName>
    <definedName name="Rok4_w">#REF!</definedName>
    <definedName name="Rok4_w2" localSheetId="11">#REF!</definedName>
    <definedName name="Rok4_w2" localSheetId="14">#REF!</definedName>
    <definedName name="Rok4_w2" localSheetId="8">#REF!</definedName>
    <definedName name="Rok4_w2">#REF!</definedName>
    <definedName name="Rok5_w" localSheetId="11">#REF!</definedName>
    <definedName name="Rok5_w" localSheetId="14">#REF!</definedName>
    <definedName name="Rok5_w" localSheetId="8">#REF!</definedName>
    <definedName name="Rok5_w">#REF!</definedName>
    <definedName name="Rok5_w2" localSheetId="11">#REF!</definedName>
    <definedName name="Rok5_w2" localSheetId="14">#REF!</definedName>
    <definedName name="Rok5_w2" localSheetId="8">#REF!</definedName>
    <definedName name="Rok5_w2">#REF!</definedName>
    <definedName name="Rok6_w" localSheetId="11">#REF!</definedName>
    <definedName name="Rok6_w" localSheetId="14">#REF!</definedName>
    <definedName name="Rok6_w" localSheetId="8">#REF!</definedName>
    <definedName name="Rok6_w">#REF!</definedName>
    <definedName name="Rok6_w2" localSheetId="11">#REF!</definedName>
    <definedName name="Rok6_w2" localSheetId="14">#REF!</definedName>
    <definedName name="Rok6_w2" localSheetId="8">#REF!</definedName>
    <definedName name="Rok6_w2">#REF!</definedName>
    <definedName name="Rok7_w" localSheetId="11">#REF!</definedName>
    <definedName name="Rok7_w" localSheetId="14">#REF!</definedName>
    <definedName name="Rok7_w" localSheetId="8">#REF!</definedName>
    <definedName name="Rok7_w">#REF!</definedName>
    <definedName name="Rok8_w" localSheetId="11">#REF!</definedName>
    <definedName name="Rok8_w" localSheetId="14">#REF!</definedName>
    <definedName name="Rok8_w" localSheetId="8">#REF!</definedName>
    <definedName name="Rok8_w">#REF!</definedName>
    <definedName name="Rok9_w" localSheetId="11">#REF!</definedName>
    <definedName name="Rok9_w" localSheetId="14">#REF!</definedName>
    <definedName name="Rok9_w" localSheetId="8">#REF!</definedName>
    <definedName name="Rok9_w">#REF!</definedName>
    <definedName name="rr">[6]Budżet!#REF!</definedName>
    <definedName name="rrr" localSheetId="11">#REF!</definedName>
    <definedName name="rrr" localSheetId="14">#REF!</definedName>
    <definedName name="rrr" localSheetId="8">#REF!</definedName>
    <definedName name="rrr">#REF!</definedName>
    <definedName name="ryzyko_sektorowe">[8]Parametry!$A$107:$C$609</definedName>
    <definedName name="Rzeczywiste" localSheetId="11">(Okresy_rzeczywiste*([21]Gantt!$E1&gt;0))*Okresy_planowane</definedName>
    <definedName name="Rzeczywiste" localSheetId="14">([0]!Okresy_rzeczywiste*([21]Gantt!$E1&gt;0))*[0]!Okresy_planowane</definedName>
    <definedName name="Rzeczywiste" localSheetId="8">([0]!Okresy_rzeczywiste*([21]Gantt!$E1&gt;0))*[0]!Okresy_planowane</definedName>
    <definedName name="Rzeczywiste">(Okresy_rzeczywiste*([21]Gantt!$E1&gt;0))*Okresy_planowane</definedName>
    <definedName name="Rzeczywiste_poza" localSheetId="11">Okresy_rzeczywiste*([21]Gantt!$E1&gt;0)</definedName>
    <definedName name="Rzeczywiste_poza" localSheetId="14">[0]!Okresy_rzeczywiste*([21]Gantt!$E1&gt;0)</definedName>
    <definedName name="Rzeczywiste_poza" localSheetId="8">[0]!Okresy_rzeczywiste*([21]Gantt!$E1&gt;0)</definedName>
    <definedName name="Rzeczywiste_poza">Okresy_rzeczywiste*([21]Gantt!$E1&gt;0)</definedName>
    <definedName name="s">[24]Areas!$O$9</definedName>
    <definedName name="SA" localSheetId="11">#REF!</definedName>
    <definedName name="SA" localSheetId="14">#REF!</definedName>
    <definedName name="SA" localSheetId="8">#REF!</definedName>
    <definedName name="SA">#REF!</definedName>
    <definedName name="sa_eb" localSheetId="11">#REF!</definedName>
    <definedName name="sa_eb" localSheetId="14">#REF!</definedName>
    <definedName name="sa_eb" localSheetId="8">#REF!</definedName>
    <definedName name="sa_eb">#REF!</definedName>
    <definedName name="sa_inv" localSheetId="11">#REF!</definedName>
    <definedName name="sa_inv" localSheetId="14">#REF!</definedName>
    <definedName name="sa_inv" localSheetId="8">#REF!</definedName>
    <definedName name="sa_inv">#REF!</definedName>
    <definedName name="SD" localSheetId="11">#REF!</definedName>
    <definedName name="SD" localSheetId="14">#REF!</definedName>
    <definedName name="SD" localSheetId="8">#REF!</definedName>
    <definedName name="SD">#REF!</definedName>
    <definedName name="SDD" localSheetId="11">#REF!</definedName>
    <definedName name="SDD" localSheetId="14">#REF!</definedName>
    <definedName name="SDD" localSheetId="8">#REF!</definedName>
    <definedName name="SDD">#REF!</definedName>
    <definedName name="SERF" localSheetId="11">#REF!</definedName>
    <definedName name="SERF" localSheetId="14">#REF!</definedName>
    <definedName name="SERF" localSheetId="8">#REF!</definedName>
    <definedName name="SERF">#REF!</definedName>
    <definedName name="ss" localSheetId="11" hidden="1">#REF!</definedName>
    <definedName name="ss" localSheetId="14" hidden="1">#REF!</definedName>
    <definedName name="ss" localSheetId="8" hidden="1">#REF!</definedName>
    <definedName name="ss" hidden="1">#REF!</definedName>
    <definedName name="ssssss" localSheetId="11">#REF!</definedName>
    <definedName name="ssssss" localSheetId="14">#REF!</definedName>
    <definedName name="ssssss" localSheetId="8">#REF!</definedName>
    <definedName name="ssssss">#REF!</definedName>
    <definedName name="SUMA" localSheetId="11">#REF!</definedName>
    <definedName name="SUMA" localSheetId="14">#REF!</definedName>
    <definedName name="SUMA" localSheetId="8">#REF!</definedName>
    <definedName name="SUMA">#REF!</definedName>
    <definedName name="SUMA_GBA" localSheetId="11">#REF!</definedName>
    <definedName name="SUMA_GBA" localSheetId="14">#REF!</definedName>
    <definedName name="SUMA_GBA" localSheetId="8">#REF!</definedName>
    <definedName name="SUMA_GBA">#REF!</definedName>
    <definedName name="SUMA_KK" localSheetId="11">#REF!</definedName>
    <definedName name="SUMA_KK" localSheetId="14">#REF!</definedName>
    <definedName name="SUMA_KK" localSheetId="8">#REF!</definedName>
    <definedName name="SUMA_KK">#REF!</definedName>
    <definedName name="SUMMA" localSheetId="11">#REF!</definedName>
    <definedName name="SUMMA" localSheetId="14">#REF!</definedName>
    <definedName name="SUMMA" localSheetId="8">#REF!</definedName>
    <definedName name="SUMMA">#REF!</definedName>
    <definedName name="SWR" localSheetId="11">#REF!</definedName>
    <definedName name="SWR" localSheetId="14">#REF!</definedName>
    <definedName name="SWR" localSheetId="8">#REF!</definedName>
    <definedName name="SWR">#REF!</definedName>
    <definedName name="SWRF" localSheetId="11">#REF!</definedName>
    <definedName name="SWRF" localSheetId="14">#REF!</definedName>
    <definedName name="SWRF" localSheetId="8">#REF!</definedName>
    <definedName name="SWRF">#REF!</definedName>
    <definedName name="TAB.4" localSheetId="11">#REF!</definedName>
    <definedName name="TAB.4" localSheetId="14">#REF!</definedName>
    <definedName name="TAB.4" localSheetId="8">#REF!</definedName>
    <definedName name="TAB.4">#REF!</definedName>
    <definedName name="tax" localSheetId="11">[14]Jaroszow1!#REF!</definedName>
    <definedName name="tax" localSheetId="14">[14]Jaroszow1!#REF!</definedName>
    <definedName name="tax" localSheetId="8">[14]Jaroszow1!#REF!</definedName>
    <definedName name="tax">[14]Jaroszow1!#REF!</definedName>
    <definedName name="total_water_ec_1996" localSheetId="11">#REF!</definedName>
    <definedName name="total_water_ec_1996" localSheetId="14">#REF!</definedName>
    <definedName name="total_water_ec_1996" localSheetId="8">#REF!</definedName>
    <definedName name="total_water_ec_1996">#REF!</definedName>
    <definedName name="TS">#N/A</definedName>
    <definedName name="ttt" localSheetId="11">#REF!</definedName>
    <definedName name="ttt" localSheetId="14">#REF!</definedName>
    <definedName name="ttt" localSheetId="8">#REF!</definedName>
    <definedName name="ttt">#REF!</definedName>
    <definedName name="tttttt" localSheetId="11">#REF!</definedName>
    <definedName name="tttttt" localSheetId="14">#REF!</definedName>
    <definedName name="tttttt" localSheetId="8">#REF!</definedName>
    <definedName name="tttttt">#REF!</definedName>
    <definedName name="tttttttt" localSheetId="11">#REF!</definedName>
    <definedName name="tttttttt" localSheetId="14">#REF!</definedName>
    <definedName name="tttttttt" localSheetId="8">#REF!</definedName>
    <definedName name="tttttttt">#REF!</definedName>
    <definedName name="tyyu" localSheetId="11">#REF!</definedName>
    <definedName name="tyyu" localSheetId="14">#REF!</definedName>
    <definedName name="tyyu" localSheetId="8">#REF!</definedName>
    <definedName name="tyyu">#REF!</definedName>
    <definedName name="wariant">[25]wariant!$B$3</definedName>
    <definedName name="warunki3">[8]Parametry!$B$76:$C$77</definedName>
    <definedName name="warunki4">[8]Parametry!$B$80:$C$81</definedName>
    <definedName name="ws" localSheetId="11">#REF!</definedName>
    <definedName name="ws" localSheetId="14">#REF!</definedName>
    <definedName name="ws" localSheetId="8">#REF!</definedName>
    <definedName name="ws">#REF!</definedName>
    <definedName name="wsi" localSheetId="11">#REF!</definedName>
    <definedName name="wsi" localSheetId="14">#REF!</definedName>
    <definedName name="wsi" localSheetId="8">#REF!</definedName>
    <definedName name="wsi">#REF!</definedName>
    <definedName name="wsk" localSheetId="11">#REF!</definedName>
    <definedName name="wsk" localSheetId="14">#REF!</definedName>
    <definedName name="wsk" localSheetId="8">#REF!</definedName>
    <definedName name="wsk">#REF!</definedName>
    <definedName name="Wskaźnik_bie__cej_p_ynności">[13]FO1NOWE!$B$85,[13]FO1NOWE!$B$85:$AZ$85</definedName>
    <definedName name="Wskaźnik_p_ynności_szybki">[13]FO1NOWE!$B$85,[13]FO1NOWE!$B$85:$AZ$85,[13]FO1NOWE!$B$86:$AZ$86</definedName>
    <definedName name="www" localSheetId="11">#REF!</definedName>
    <definedName name="www" localSheetId="14">#REF!</definedName>
    <definedName name="www" localSheetId="8">#REF!</definedName>
    <definedName name="www">#REF!</definedName>
    <definedName name="wwww" localSheetId="11">#REF!</definedName>
    <definedName name="wwww" localSheetId="14">#REF!</definedName>
    <definedName name="wwww" localSheetId="8">#REF!</definedName>
    <definedName name="wwww">#REF!</definedName>
    <definedName name="wwwwww" localSheetId="11">#REF!</definedName>
    <definedName name="wwwwww" localSheetId="14">#REF!</definedName>
    <definedName name="wwwwww" localSheetId="8">#REF!</definedName>
    <definedName name="wwwwww">#REF!</definedName>
    <definedName name="wybrany_okres">[21]Gantt!$H$2</definedName>
    <definedName name="x">[6]Budżet!#REF!</definedName>
    <definedName name="xxx" localSheetId="11" hidden="1">#REF!</definedName>
    <definedName name="xxx" localSheetId="14" hidden="1">#REF!</definedName>
    <definedName name="xxx" localSheetId="8" hidden="1">#REF!</definedName>
    <definedName name="xxx" hidden="1">#REF!</definedName>
    <definedName name="year2000" localSheetId="11">#REF!</definedName>
    <definedName name="year2000" localSheetId="14">#REF!</definedName>
    <definedName name="year2000" localSheetId="8">#REF!</definedName>
    <definedName name="year2000">#REF!</definedName>
    <definedName name="year2005" localSheetId="11">#REF!</definedName>
    <definedName name="year2005" localSheetId="14">#REF!</definedName>
    <definedName name="year2005" localSheetId="8">#REF!</definedName>
    <definedName name="year2005">#REF!</definedName>
    <definedName name="years" localSheetId="11">#REF!</definedName>
    <definedName name="years" localSheetId="14">#REF!</definedName>
    <definedName name="years" localSheetId="8">#REF!</definedName>
    <definedName name="years">#REF!</definedName>
    <definedName name="Z_9823FC40_2CCD_11D4_96C6_00C0F02765DE_.wvu.PrintArea" hidden="1">#REF!</definedName>
    <definedName name="Z_9823FC40_2CCD_11D4_96C6_00C0F02765DE_.wvu.PrintTitles" hidden="1">#REF!</definedName>
    <definedName name="Z_9823FC40_2CCD_11D4_96C6_00C0F02765DE_.wvu.Rows" localSheetId="11" hidden="1">#REF!,#REF!,#REF!,#REF!,#REF!,#REF!,#REF!,#REF!,#REF!,#REF!,#REF!,#REF!,#REF!,#REF!,#REF!,#REF!,#REF!,#REF!,#REF!,#REF!</definedName>
    <definedName name="Z_9823FC40_2CCD_11D4_96C6_00C0F02765DE_.wvu.Rows" localSheetId="14" hidden="1">#REF!,#REF!,#REF!,#REF!,#REF!,#REF!,#REF!,#REF!,#REF!,#REF!,#REF!,#REF!,#REF!,#REF!,#REF!,#REF!,#REF!,#REF!,#REF!,#REF!</definedName>
    <definedName name="Z_9823FC40_2CCD_11D4_96C6_00C0F02765DE_.wvu.Rows" localSheetId="8" hidden="1">#REF!,#REF!,#REF!,#REF!,#REF!,#REF!,#REF!,#REF!,#REF!,#REF!,#REF!,#REF!,#REF!,#REF!,#REF!,#REF!,#REF!,#REF!,#REF!,#REF!</definedName>
    <definedName name="Z_9823FC40_2CCD_11D4_96C6_00C0F02765DE_.wvu.Rows" hidden="1">#REF!,#REF!,#REF!,#REF!,#REF!,#REF!,#REF!,#REF!,#REF!,#REF!,#REF!,#REF!,#REF!,#REF!,#REF!,#REF!,#REF!,#REF!,#REF!,#REF!</definedName>
    <definedName name="Zobowi_zania_biezace__F_01_dz.3_poz_04">[13]FO1NOWE!$B$53:$AZ$53,[13]FO1NOWE!$B$55:$AZ$55</definedName>
    <definedName name="Zobowi_zania_d_ugoterminowe__F_01_dz3_poz_01">[13]FO1NOWE!$B$53:$AZ$53,[13]FO1NOWE!$B$55:$AZ$55,[13]FO1NOWE!$B$53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1" l="1"/>
  <c r="O42" i="1" s="1"/>
  <c r="O3" i="1" s="1"/>
  <c r="O31" i="3"/>
  <c r="N31" i="3"/>
  <c r="M31" i="3"/>
  <c r="M30" i="3"/>
  <c r="L31" i="3"/>
  <c r="K31" i="3"/>
  <c r="J31" i="3"/>
  <c r="J33" i="3"/>
  <c r="M26" i="4"/>
  <c r="L26" i="4"/>
  <c r="K26" i="4"/>
  <c r="J26" i="4"/>
  <c r="J23" i="4"/>
  <c r="I30" i="3" l="1"/>
  <c r="O5" i="1"/>
  <c r="N5" i="1"/>
  <c r="M5" i="1"/>
  <c r="L5" i="1"/>
  <c r="K5" i="1"/>
  <c r="J5" i="1"/>
  <c r="K19" i="4"/>
  <c r="K42" i="1"/>
  <c r="L42" i="1" s="1"/>
  <c r="M42" i="1" s="1"/>
  <c r="K43" i="1"/>
  <c r="K48" i="1"/>
  <c r="K47" i="1"/>
  <c r="K46" i="1"/>
  <c r="J10" i="1"/>
  <c r="J30" i="3" l="1"/>
  <c r="I31" i="3"/>
  <c r="I34" i="3"/>
  <c r="J34" i="3" s="1"/>
  <c r="I43" i="1"/>
  <c r="K22" i="22" l="1"/>
  <c r="K28" i="22" l="1"/>
  <c r="AB276" i="8"/>
  <c r="AC276" i="8"/>
  <c r="AD276" i="8"/>
  <c r="AE276" i="8"/>
  <c r="AA276" i="8"/>
  <c r="J20" i="4"/>
  <c r="H25" i="26"/>
  <c r="I23" i="26"/>
  <c r="J23" i="26"/>
  <c r="K23" i="26"/>
  <c r="L23" i="26"/>
  <c r="L22" i="26" s="1"/>
  <c r="I22" i="26"/>
  <c r="J22" i="26"/>
  <c r="K22" i="26"/>
  <c r="H23" i="26"/>
  <c r="AA274" i="8"/>
  <c r="I17" i="26"/>
  <c r="I16" i="26" s="1"/>
  <c r="J17" i="26"/>
  <c r="J16" i="26" s="1"/>
  <c r="K17" i="26"/>
  <c r="K16" i="26" s="1"/>
  <c r="L17" i="26"/>
  <c r="L16" i="26" s="1"/>
  <c r="M17" i="26"/>
  <c r="M16" i="26" s="1"/>
  <c r="N17" i="26"/>
  <c r="N16" i="26" s="1"/>
  <c r="O17" i="26"/>
  <c r="O16" i="26" s="1"/>
  <c r="P17" i="26"/>
  <c r="P16" i="26" s="1"/>
  <c r="Q17" i="26"/>
  <c r="Q16" i="26" s="1"/>
  <c r="R17" i="26"/>
  <c r="R16" i="26" s="1"/>
  <c r="S17" i="26"/>
  <c r="S16" i="26" s="1"/>
  <c r="T17" i="26"/>
  <c r="T16" i="26" s="1"/>
  <c r="I18" i="26"/>
  <c r="J18" i="26"/>
  <c r="K18" i="26"/>
  <c r="L18" i="26"/>
  <c r="M18" i="26"/>
  <c r="N18" i="26"/>
  <c r="O18" i="26"/>
  <c r="P18" i="26"/>
  <c r="Q18" i="26"/>
  <c r="R18" i="26"/>
  <c r="S18" i="26"/>
  <c r="T18" i="26"/>
  <c r="I20" i="26"/>
  <c r="I19" i="26" s="1"/>
  <c r="J20" i="26"/>
  <c r="J19" i="26" s="1"/>
  <c r="K20" i="26"/>
  <c r="K19" i="26" s="1"/>
  <c r="L20" i="26"/>
  <c r="L19" i="26" s="1"/>
  <c r="M20" i="26"/>
  <c r="M19" i="26" s="1"/>
  <c r="N20" i="26"/>
  <c r="N19" i="26" s="1"/>
  <c r="O20" i="26"/>
  <c r="O19" i="26" s="1"/>
  <c r="P20" i="26"/>
  <c r="P19" i="26" s="1"/>
  <c r="Q20" i="26"/>
  <c r="Q19" i="26" s="1"/>
  <c r="R20" i="26"/>
  <c r="R19" i="26" s="1"/>
  <c r="S20" i="26"/>
  <c r="S19" i="26" s="1"/>
  <c r="T20" i="26"/>
  <c r="T19" i="26" s="1"/>
  <c r="I21" i="26"/>
  <c r="J21" i="26"/>
  <c r="K21" i="26"/>
  <c r="L21" i="26"/>
  <c r="M21" i="26"/>
  <c r="N21" i="26"/>
  <c r="O21" i="26"/>
  <c r="P21" i="26"/>
  <c r="Q21" i="26"/>
  <c r="R21" i="26"/>
  <c r="S21" i="26"/>
  <c r="T21" i="26"/>
  <c r="H21" i="26"/>
  <c r="H20" i="26"/>
  <c r="H19" i="26"/>
  <c r="H16" i="26"/>
  <c r="H18" i="26"/>
  <c r="H17" i="26"/>
  <c r="H15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G15" i="26" s="1"/>
  <c r="F11" i="26"/>
  <c r="K12" i="26"/>
  <c r="R12" i="26"/>
  <c r="J12" i="26"/>
  <c r="M12" i="26"/>
  <c r="S12" i="26"/>
  <c r="Q12" i="26"/>
  <c r="I12" i="26"/>
  <c r="H12" i="26"/>
  <c r="L12" i="26"/>
  <c r="N12" i="26"/>
  <c r="O12" i="26"/>
  <c r="P12" i="26"/>
  <c r="T12" i="26"/>
  <c r="E15" i="26"/>
  <c r="E19" i="26"/>
  <c r="F19" i="26"/>
  <c r="N22" i="26"/>
  <c r="O22" i="26"/>
  <c r="H22" i="26"/>
  <c r="M23" i="26"/>
  <c r="M22" i="26" s="1"/>
  <c r="N23" i="26"/>
  <c r="O23" i="26"/>
  <c r="P23" i="26"/>
  <c r="P22" i="26" s="1"/>
  <c r="F15" i="26" l="1"/>
  <c r="F12" i="26"/>
  <c r="G12" i="26"/>
  <c r="H7" i="26" l="1"/>
  <c r="I3" i="26"/>
  <c r="J3" i="26"/>
  <c r="K3" i="26"/>
  <c r="L3" i="26"/>
  <c r="H3" i="26"/>
  <c r="J48" i="26"/>
  <c r="H48" i="26"/>
  <c r="H45" i="26"/>
  <c r="H44" i="26"/>
  <c r="H40" i="26"/>
  <c r="H39" i="26"/>
  <c r="I39" i="26" s="1"/>
  <c r="H34" i="26"/>
  <c r="H33" i="26"/>
  <c r="I99" i="26"/>
  <c r="J99" i="26" s="1"/>
  <c r="K99" i="26" s="1"/>
  <c r="H98" i="26"/>
  <c r="I97" i="26"/>
  <c r="J97" i="26" s="1"/>
  <c r="I95" i="26"/>
  <c r="J95" i="26" s="1"/>
  <c r="H109" i="26"/>
  <c r="J107" i="26"/>
  <c r="I107" i="26"/>
  <c r="H107" i="26"/>
  <c r="H106" i="26"/>
  <c r="I105" i="26"/>
  <c r="H105" i="26"/>
  <c r="H103" i="26"/>
  <c r="I80" i="26"/>
  <c r="H77" i="26"/>
  <c r="I76" i="26"/>
  <c r="J76" i="26" s="1"/>
  <c r="K76" i="26" s="1"/>
  <c r="L76" i="26" s="1"/>
  <c r="H75" i="26"/>
  <c r="I74" i="26"/>
  <c r="J74" i="26" s="1"/>
  <c r="K74" i="26" s="1"/>
  <c r="K80" i="26" s="1"/>
  <c r="H83" i="26"/>
  <c r="J82" i="26"/>
  <c r="I82" i="26"/>
  <c r="H82" i="26"/>
  <c r="H47" i="26"/>
  <c r="H80" i="26"/>
  <c r="I59" i="26"/>
  <c r="J59" i="26" s="1"/>
  <c r="K59" i="26" s="1"/>
  <c r="I58" i="26"/>
  <c r="J58" i="26" s="1"/>
  <c r="K58" i="26" s="1"/>
  <c r="H57" i="26"/>
  <c r="H56" i="26"/>
  <c r="J54" i="26"/>
  <c r="I54" i="26"/>
  <c r="I64" i="26" s="1"/>
  <c r="H54" i="26"/>
  <c r="H64" i="26" s="1"/>
  <c r="J53" i="26"/>
  <c r="I53" i="26"/>
  <c r="H53" i="26"/>
  <c r="H63" i="26" s="1"/>
  <c r="J52" i="26"/>
  <c r="I52" i="26"/>
  <c r="H52" i="26"/>
  <c r="L51" i="26"/>
  <c r="J51" i="26"/>
  <c r="I51" i="26"/>
  <c r="H51" i="26"/>
  <c r="I48" i="26"/>
  <c r="I40" i="26"/>
  <c r="J40" i="26" s="1"/>
  <c r="H41" i="26"/>
  <c r="I34" i="26"/>
  <c r="I33" i="26"/>
  <c r="J33" i="26" s="1"/>
  <c r="J35" i="26" s="1"/>
  <c r="H35" i="26"/>
  <c r="G25" i="26"/>
  <c r="F25" i="26"/>
  <c r="E25" i="26"/>
  <c r="X13" i="26"/>
  <c r="G4" i="26"/>
  <c r="F4" i="26"/>
  <c r="E4" i="26"/>
  <c r="T3" i="26"/>
  <c r="S3" i="26"/>
  <c r="R3" i="26"/>
  <c r="Q3" i="26"/>
  <c r="P3" i="26"/>
  <c r="O3" i="26"/>
  <c r="N3" i="26"/>
  <c r="M3" i="26"/>
  <c r="G3" i="26"/>
  <c r="F3" i="26"/>
  <c r="E3" i="26"/>
  <c r="K95" i="26" l="1"/>
  <c r="J103" i="26"/>
  <c r="K97" i="26"/>
  <c r="J105" i="26"/>
  <c r="I103" i="26"/>
  <c r="L74" i="26"/>
  <c r="L80" i="26" s="1"/>
  <c r="H6" i="26"/>
  <c r="J39" i="26"/>
  <c r="I41" i="26"/>
  <c r="K40" i="26"/>
  <c r="F26" i="26"/>
  <c r="H42" i="26"/>
  <c r="K64" i="26"/>
  <c r="L59" i="26"/>
  <c r="I96" i="26"/>
  <c r="J96" i="26" s="1"/>
  <c r="K96" i="26" s="1"/>
  <c r="L96" i="26" s="1"/>
  <c r="M96" i="26" s="1"/>
  <c r="N96" i="26" s="1"/>
  <c r="O96" i="26" s="1"/>
  <c r="P96" i="26" s="1"/>
  <c r="Q96" i="26" s="1"/>
  <c r="R96" i="26" s="1"/>
  <c r="S96" i="26" s="1"/>
  <c r="T96" i="26" s="1"/>
  <c r="I101" i="26"/>
  <c r="J101" i="26" s="1"/>
  <c r="K101" i="26" s="1"/>
  <c r="I100" i="26"/>
  <c r="J100" i="26" s="1"/>
  <c r="K100" i="26" s="1"/>
  <c r="L100" i="26" s="1"/>
  <c r="M100" i="26" s="1"/>
  <c r="N100" i="26" s="1"/>
  <c r="O100" i="26" s="1"/>
  <c r="P100" i="26" s="1"/>
  <c r="Q100" i="26" s="1"/>
  <c r="R100" i="26" s="1"/>
  <c r="S100" i="26" s="1"/>
  <c r="T100" i="26" s="1"/>
  <c r="I98" i="26"/>
  <c r="J98" i="26" s="1"/>
  <c r="K98" i="26" s="1"/>
  <c r="I46" i="26"/>
  <c r="I57" i="26"/>
  <c r="J57" i="26" s="1"/>
  <c r="K57" i="26" s="1"/>
  <c r="G26" i="26"/>
  <c r="I45" i="26"/>
  <c r="J45" i="26" s="1"/>
  <c r="K45" i="26" s="1"/>
  <c r="L45" i="26" s="1"/>
  <c r="M45" i="26" s="1"/>
  <c r="N45" i="26" s="1"/>
  <c r="O45" i="26" s="1"/>
  <c r="P45" i="26" s="1"/>
  <c r="Q45" i="26" s="1"/>
  <c r="R45" i="26" s="1"/>
  <c r="S45" i="26" s="1"/>
  <c r="T45" i="26" s="1"/>
  <c r="J34" i="26"/>
  <c r="H36" i="26"/>
  <c r="K48" i="26"/>
  <c r="L48" i="26" s="1"/>
  <c r="M48" i="26" s="1"/>
  <c r="N48" i="26" s="1"/>
  <c r="O48" i="26" s="1"/>
  <c r="P48" i="26" s="1"/>
  <c r="Q48" i="26" s="1"/>
  <c r="R48" i="26" s="1"/>
  <c r="S48" i="26" s="1"/>
  <c r="T48" i="26" s="1"/>
  <c r="I56" i="26"/>
  <c r="J56" i="26" s="1"/>
  <c r="K56" i="26" s="1"/>
  <c r="E26" i="26"/>
  <c r="K33" i="26"/>
  <c r="I35" i="26"/>
  <c r="I36" i="26" s="1"/>
  <c r="I42" i="26"/>
  <c r="I44" i="26"/>
  <c r="K63" i="26"/>
  <c r="L58" i="26"/>
  <c r="H113" i="26"/>
  <c r="H61" i="26"/>
  <c r="H112" i="26" s="1"/>
  <c r="H9" i="26" s="1"/>
  <c r="I63" i="26"/>
  <c r="M74" i="26"/>
  <c r="M76" i="26"/>
  <c r="L82" i="26"/>
  <c r="J106" i="26"/>
  <c r="M51" i="26"/>
  <c r="H62" i="26"/>
  <c r="J64" i="26"/>
  <c r="J80" i="26"/>
  <c r="L97" i="26"/>
  <c r="K105" i="26"/>
  <c r="J63" i="26"/>
  <c r="J113" i="26" s="1"/>
  <c r="J25" i="26" s="1"/>
  <c r="H81" i="26"/>
  <c r="K82" i="26"/>
  <c r="I75" i="26"/>
  <c r="J75" i="26" s="1"/>
  <c r="K75" i="26" s="1"/>
  <c r="I77" i="26"/>
  <c r="J77" i="26" s="1"/>
  <c r="K77" i="26" s="1"/>
  <c r="I106" i="26"/>
  <c r="K103" i="26"/>
  <c r="L95" i="26"/>
  <c r="L99" i="26"/>
  <c r="K107" i="26"/>
  <c r="C28" i="27"/>
  <c r="C16" i="27"/>
  <c r="C14" i="27"/>
  <c r="L25" i="22"/>
  <c r="M25" i="22"/>
  <c r="N25" i="22"/>
  <c r="O25" i="22"/>
  <c r="P25" i="22"/>
  <c r="Q25" i="22"/>
  <c r="L28" i="22"/>
  <c r="M28" i="22"/>
  <c r="M30" i="22" s="1"/>
  <c r="N28" i="22"/>
  <c r="O28" i="22"/>
  <c r="P28" i="22"/>
  <c r="Q28" i="22"/>
  <c r="Q30" i="22" s="1"/>
  <c r="L30" i="22"/>
  <c r="N30" i="22"/>
  <c r="O30" i="22"/>
  <c r="P30" i="22"/>
  <c r="L32" i="22"/>
  <c r="M32" i="22"/>
  <c r="N32" i="22"/>
  <c r="O32" i="22"/>
  <c r="P32" i="22"/>
  <c r="Q32" i="22"/>
  <c r="K32" i="22"/>
  <c r="K30" i="22"/>
  <c r="K25" i="22"/>
  <c r="L22" i="22"/>
  <c r="M22" i="22"/>
  <c r="N22" i="22"/>
  <c r="O22" i="22"/>
  <c r="P22" i="22"/>
  <c r="Q22" i="22"/>
  <c r="N29" i="4"/>
  <c r="N20" i="1" s="1"/>
  <c r="M29" i="4"/>
  <c r="M20" i="1" s="1"/>
  <c r="L29" i="4"/>
  <c r="L20" i="1" s="1"/>
  <c r="J24" i="4"/>
  <c r="S22" i="22"/>
  <c r="S28" i="22" s="1"/>
  <c r="K20" i="4"/>
  <c r="K24" i="4" s="1"/>
  <c r="O24" i="4"/>
  <c r="O15" i="1" s="1"/>
  <c r="M24" i="4"/>
  <c r="M15" i="1" s="1"/>
  <c r="L24" i="4"/>
  <c r="L15" i="1" s="1"/>
  <c r="L35" i="3" s="1"/>
  <c r="N24" i="4"/>
  <c r="N15" i="1" s="1"/>
  <c r="N35" i="3" s="1"/>
  <c r="J29" i="4"/>
  <c r="J20" i="1" s="1"/>
  <c r="K29" i="4"/>
  <c r="K20" i="1" s="1"/>
  <c r="O29" i="4"/>
  <c r="O20" i="1" s="1"/>
  <c r="I20" i="4"/>
  <c r="I24" i="4" s="1"/>
  <c r="E2790" i="27"/>
  <c r="E2789" i="27"/>
  <c r="E2788" i="27"/>
  <c r="E2787" i="27"/>
  <c r="E2786" i="27"/>
  <c r="E2785" i="27"/>
  <c r="E2784" i="27"/>
  <c r="E2783" i="27"/>
  <c r="E2782" i="27"/>
  <c r="E2781" i="27"/>
  <c r="E2780" i="27"/>
  <c r="E2779" i="27"/>
  <c r="E2778" i="27"/>
  <c r="E2777" i="27"/>
  <c r="E2776" i="27"/>
  <c r="E2775" i="27"/>
  <c r="E2774" i="27"/>
  <c r="E2773" i="27"/>
  <c r="E2772" i="27"/>
  <c r="E2771" i="27"/>
  <c r="E2770" i="27"/>
  <c r="E2769" i="27"/>
  <c r="E2768" i="27"/>
  <c r="E2767" i="27"/>
  <c r="E2766" i="27"/>
  <c r="E2765" i="27"/>
  <c r="E2764" i="27"/>
  <c r="E2763" i="27"/>
  <c r="E2762" i="27"/>
  <c r="E2761" i="27"/>
  <c r="E2760" i="27"/>
  <c r="E2759" i="27"/>
  <c r="E2758" i="27"/>
  <c r="E2757" i="27"/>
  <c r="E2756" i="27"/>
  <c r="E2755" i="27"/>
  <c r="E2754" i="27"/>
  <c r="E2753" i="27"/>
  <c r="E2752" i="27"/>
  <c r="E2751" i="27"/>
  <c r="E2750" i="27"/>
  <c r="E2749" i="27"/>
  <c r="E2748" i="27"/>
  <c r="E2747" i="27"/>
  <c r="E2746" i="27"/>
  <c r="E2745" i="27"/>
  <c r="E2744" i="27"/>
  <c r="E2743" i="27"/>
  <c r="E2742" i="27"/>
  <c r="E2741" i="27"/>
  <c r="E2740" i="27"/>
  <c r="E2739" i="27"/>
  <c r="E2738" i="27"/>
  <c r="E2737" i="27"/>
  <c r="E2736" i="27"/>
  <c r="E2735" i="27"/>
  <c r="E2734" i="27"/>
  <c r="E2733" i="27"/>
  <c r="E2732" i="27"/>
  <c r="E2731" i="27"/>
  <c r="E2730" i="27"/>
  <c r="E2729" i="27"/>
  <c r="J15" i="27"/>
  <c r="I15" i="27"/>
  <c r="K15" i="27" s="1"/>
  <c r="F15" i="27"/>
  <c r="C15" i="27"/>
  <c r="G15" i="27" s="1"/>
  <c r="J8" i="27"/>
  <c r="H45" i="18"/>
  <c r="I45" i="18" s="1"/>
  <c r="Y270" i="8"/>
  <c r="K8" i="12"/>
  <c r="K7" i="12"/>
  <c r="J8" i="12"/>
  <c r="J7" i="12"/>
  <c r="K21" i="12"/>
  <c r="J21" i="12"/>
  <c r="J14" i="12"/>
  <c r="K14" i="12"/>
  <c r="I14" i="12"/>
  <c r="K13" i="12"/>
  <c r="J13" i="12"/>
  <c r="I13" i="12"/>
  <c r="H7" i="12"/>
  <c r="G7" i="12"/>
  <c r="H8" i="12"/>
  <c r="G8" i="12"/>
  <c r="G21" i="12"/>
  <c r="H21" i="12"/>
  <c r="F21" i="12"/>
  <c r="F8" i="12"/>
  <c r="AB270" i="8"/>
  <c r="I4" i="3"/>
  <c r="I61" i="26" l="1"/>
  <c r="J62" i="26"/>
  <c r="J61" i="26"/>
  <c r="I62" i="26"/>
  <c r="I109" i="26"/>
  <c r="J109" i="26"/>
  <c r="I113" i="26"/>
  <c r="I25" i="26" s="1"/>
  <c r="J83" i="26"/>
  <c r="H114" i="26"/>
  <c r="H4" i="26" s="1"/>
  <c r="H26" i="26" s="1"/>
  <c r="H8" i="26"/>
  <c r="I8" i="26"/>
  <c r="J41" i="26"/>
  <c r="J42" i="26" s="1"/>
  <c r="K39" i="26"/>
  <c r="E27" i="26"/>
  <c r="E28" i="26" s="1"/>
  <c r="E29" i="26" s="1"/>
  <c r="F27" i="26"/>
  <c r="F28" i="26" s="1"/>
  <c r="F29" i="26" s="1"/>
  <c r="J81" i="26"/>
  <c r="J114" i="26" s="1"/>
  <c r="G27" i="26"/>
  <c r="G28" i="26" s="1"/>
  <c r="G29" i="26" s="1"/>
  <c r="L107" i="26"/>
  <c r="M99" i="26"/>
  <c r="J112" i="26"/>
  <c r="J9" i="26" s="1"/>
  <c r="N74" i="26"/>
  <c r="M80" i="26"/>
  <c r="K113" i="26"/>
  <c r="K25" i="26" s="1"/>
  <c r="I47" i="26"/>
  <c r="J46" i="26"/>
  <c r="K81" i="26"/>
  <c r="L75" i="26"/>
  <c r="L33" i="26"/>
  <c r="K35" i="26"/>
  <c r="M95" i="26"/>
  <c r="L103" i="26"/>
  <c r="L77" i="26"/>
  <c r="K83" i="26"/>
  <c r="J44" i="26"/>
  <c r="I6" i="26"/>
  <c r="K61" i="26"/>
  <c r="L56" i="26"/>
  <c r="K34" i="26"/>
  <c r="J36" i="26"/>
  <c r="L98" i="26"/>
  <c r="K106" i="26"/>
  <c r="I81" i="26"/>
  <c r="M97" i="26"/>
  <c r="L105" i="26"/>
  <c r="I83" i="26"/>
  <c r="I112" i="26" s="1"/>
  <c r="I9" i="26" s="1"/>
  <c r="N51" i="26"/>
  <c r="N76" i="26"/>
  <c r="M82" i="26"/>
  <c r="L63" i="26"/>
  <c r="M58" i="26"/>
  <c r="K62" i="26"/>
  <c r="L57" i="26"/>
  <c r="K109" i="26"/>
  <c r="L101" i="26"/>
  <c r="L64" i="26"/>
  <c r="M59" i="26"/>
  <c r="L40" i="26"/>
  <c r="I32" i="3"/>
  <c r="S30" i="22"/>
  <c r="S32" i="22"/>
  <c r="S25" i="22"/>
  <c r="S27" i="22" s="1"/>
  <c r="I7" i="3"/>
  <c r="J7" i="3" s="1"/>
  <c r="K7" i="3" s="1"/>
  <c r="M35" i="3"/>
  <c r="O35" i="3"/>
  <c r="E110" i="27"/>
  <c r="E80" i="27"/>
  <c r="E50" i="27"/>
  <c r="E33" i="27"/>
  <c r="E17" i="27"/>
  <c r="E62" i="27"/>
  <c r="E42" i="27"/>
  <c r="E87" i="27"/>
  <c r="E36" i="27"/>
  <c r="E24" i="27"/>
  <c r="E96" i="27"/>
  <c r="E71" i="27"/>
  <c r="E45" i="27"/>
  <c r="E28" i="27"/>
  <c r="E16" i="27"/>
  <c r="G16" i="27" s="1"/>
  <c r="C17" i="27" s="1"/>
  <c r="E89" i="27"/>
  <c r="E27" i="27"/>
  <c r="E117" i="27"/>
  <c r="E54" i="27"/>
  <c r="E119" i="27"/>
  <c r="D16" i="27"/>
  <c r="E23" i="27"/>
  <c r="E32" i="27"/>
  <c r="E41" i="27"/>
  <c r="E49" i="27"/>
  <c r="E58" i="27"/>
  <c r="E97" i="27"/>
  <c r="E192" i="27"/>
  <c r="E188" i="27"/>
  <c r="E184" i="27"/>
  <c r="E183" i="27"/>
  <c r="E179" i="27"/>
  <c r="E175" i="27"/>
  <c r="E170" i="27"/>
  <c r="E166" i="27"/>
  <c r="E162" i="27"/>
  <c r="E157" i="27"/>
  <c r="E153" i="27"/>
  <c r="E149" i="27"/>
  <c r="E144" i="27"/>
  <c r="E140" i="27"/>
  <c r="E136" i="27"/>
  <c r="E135" i="27"/>
  <c r="E195" i="27"/>
  <c r="E191" i="27"/>
  <c r="E187" i="27"/>
  <c r="E182" i="27"/>
  <c r="E178" i="27"/>
  <c r="E174" i="27"/>
  <c r="E169" i="27"/>
  <c r="E165" i="27"/>
  <c r="E161" i="27"/>
  <c r="E156" i="27"/>
  <c r="E152" i="27"/>
  <c r="E148" i="27"/>
  <c r="E147" i="27"/>
  <c r="E143" i="27"/>
  <c r="E139" i="27"/>
  <c r="E134" i="27"/>
  <c r="E194" i="27"/>
  <c r="E186" i="27"/>
  <c r="E177" i="27"/>
  <c r="E168" i="27"/>
  <c r="E160" i="27"/>
  <c r="E159" i="27"/>
  <c r="E151" i="27"/>
  <c r="E142" i="27"/>
  <c r="E133" i="27"/>
  <c r="E129" i="27"/>
  <c r="E125" i="27"/>
  <c r="E120" i="27"/>
  <c r="E116" i="27"/>
  <c r="E112" i="27"/>
  <c r="E111" i="27"/>
  <c r="E107" i="27"/>
  <c r="E103" i="27"/>
  <c r="E190" i="27"/>
  <c r="E181" i="27"/>
  <c r="E173" i="27"/>
  <c r="E164" i="27"/>
  <c r="E155" i="27"/>
  <c r="E146" i="27"/>
  <c r="E138" i="27"/>
  <c r="E131" i="27"/>
  <c r="E127" i="27"/>
  <c r="E122" i="27"/>
  <c r="E118" i="27"/>
  <c r="E114" i="27"/>
  <c r="E109" i="27"/>
  <c r="E105" i="27"/>
  <c r="E101" i="27"/>
  <c r="E193" i="27"/>
  <c r="E185" i="27"/>
  <c r="E176" i="27"/>
  <c r="E167" i="27"/>
  <c r="E158" i="27"/>
  <c r="E150" i="27"/>
  <c r="E141" i="27"/>
  <c r="E132" i="27"/>
  <c r="E130" i="27"/>
  <c r="E180" i="27"/>
  <c r="E137" i="27"/>
  <c r="E128" i="27"/>
  <c r="E189" i="27"/>
  <c r="E171" i="27"/>
  <c r="E124" i="27"/>
  <c r="E123" i="27"/>
  <c r="E115" i="27"/>
  <c r="E106" i="27"/>
  <c r="E99" i="27"/>
  <c r="E95" i="27"/>
  <c r="E91" i="27"/>
  <c r="E86" i="27"/>
  <c r="E82" i="27"/>
  <c r="E78" i="27"/>
  <c r="E73" i="27"/>
  <c r="E69" i="27"/>
  <c r="E65" i="27"/>
  <c r="E60" i="27"/>
  <c r="E163" i="27"/>
  <c r="E145" i="27"/>
  <c r="E121" i="27"/>
  <c r="E113" i="27"/>
  <c r="E104" i="27"/>
  <c r="E98" i="27"/>
  <c r="E94" i="27"/>
  <c r="E90" i="27"/>
  <c r="E85" i="27"/>
  <c r="E81" i="27"/>
  <c r="E77" i="27"/>
  <c r="E72" i="27"/>
  <c r="E68" i="27"/>
  <c r="E64" i="27"/>
  <c r="E63" i="27"/>
  <c r="E59" i="27"/>
  <c r="E154" i="27"/>
  <c r="E100" i="27"/>
  <c r="E92" i="27"/>
  <c r="E83" i="27"/>
  <c r="E74" i="27"/>
  <c r="E66" i="27"/>
  <c r="E57" i="27"/>
  <c r="E53" i="27"/>
  <c r="E48" i="27"/>
  <c r="E44" i="27"/>
  <c r="E40" i="27"/>
  <c r="E39" i="27"/>
  <c r="E35" i="27"/>
  <c r="E31" i="27"/>
  <c r="E26" i="27"/>
  <c r="E22" i="27"/>
  <c r="E18" i="27"/>
  <c r="E172" i="27"/>
  <c r="E102" i="27"/>
  <c r="E93" i="27"/>
  <c r="E84" i="27"/>
  <c r="E76" i="27"/>
  <c r="E75" i="27"/>
  <c r="E67" i="27"/>
  <c r="E56" i="27"/>
  <c r="E52" i="27"/>
  <c r="E51" i="27"/>
  <c r="E47" i="27"/>
  <c r="E43" i="27"/>
  <c r="E38" i="27"/>
  <c r="E34" i="27"/>
  <c r="E30" i="27"/>
  <c r="E25" i="27"/>
  <c r="E19" i="27"/>
  <c r="E20" i="27"/>
  <c r="E21" i="27"/>
  <c r="E29" i="27"/>
  <c r="E37" i="27"/>
  <c r="E46" i="27"/>
  <c r="E55" i="27"/>
  <c r="E61" i="27"/>
  <c r="E70" i="27"/>
  <c r="E79" i="27"/>
  <c r="E88" i="27"/>
  <c r="E108" i="27"/>
  <c r="E126" i="27"/>
  <c r="I114" i="26" l="1"/>
  <c r="K114" i="26"/>
  <c r="J8" i="26"/>
  <c r="L39" i="26"/>
  <c r="K41" i="26"/>
  <c r="K42" i="26" s="1"/>
  <c r="M56" i="26"/>
  <c r="L61" i="26"/>
  <c r="H27" i="26"/>
  <c r="H28" i="26" s="1"/>
  <c r="H29" i="26" s="1"/>
  <c r="L35" i="26"/>
  <c r="M33" i="26"/>
  <c r="M40" i="26"/>
  <c r="M101" i="26"/>
  <c r="L109" i="26"/>
  <c r="M63" i="26"/>
  <c r="N58" i="26"/>
  <c r="N82" i="26"/>
  <c r="O76" i="26"/>
  <c r="L106" i="26"/>
  <c r="M98" i="26"/>
  <c r="K112" i="26"/>
  <c r="K9" i="26" s="1"/>
  <c r="M103" i="26"/>
  <c r="N95" i="26"/>
  <c r="M75" i="26"/>
  <c r="L81" i="26"/>
  <c r="L113" i="26"/>
  <c r="L25" i="26" s="1"/>
  <c r="O51" i="26"/>
  <c r="M105" i="26"/>
  <c r="N97" i="26"/>
  <c r="O74" i="26"/>
  <c r="N80" i="26"/>
  <c r="I7" i="26"/>
  <c r="I4" i="26" s="1"/>
  <c r="M64" i="26"/>
  <c r="N59" i="26"/>
  <c r="L62" i="26"/>
  <c r="M57" i="26"/>
  <c r="K36" i="26"/>
  <c r="K8" i="26" s="1"/>
  <c r="L34" i="26"/>
  <c r="K44" i="26"/>
  <c r="J6" i="26"/>
  <c r="M77" i="26"/>
  <c r="L83" i="26"/>
  <c r="J47" i="26"/>
  <c r="J7" i="26" s="1"/>
  <c r="K46" i="26"/>
  <c r="N99" i="26"/>
  <c r="M107" i="26"/>
  <c r="J39" i="27"/>
  <c r="K27" i="4" s="1"/>
  <c r="J27" i="27"/>
  <c r="J27" i="4" s="1"/>
  <c r="J171" i="27"/>
  <c r="J99" i="27"/>
  <c r="J159" i="27"/>
  <c r="E196" i="27"/>
  <c r="J51" i="27"/>
  <c r="L27" i="4" s="1"/>
  <c r="M27" i="4" s="1"/>
  <c r="N27" i="4" s="1"/>
  <c r="O27" i="4" s="1"/>
  <c r="J135" i="27"/>
  <c r="J147" i="27"/>
  <c r="J195" i="27"/>
  <c r="F16" i="27"/>
  <c r="J63" i="27"/>
  <c r="J87" i="27"/>
  <c r="J183" i="27"/>
  <c r="J111" i="27"/>
  <c r="J75" i="27"/>
  <c r="J123" i="27"/>
  <c r="D17" i="27"/>
  <c r="F17" i="27" s="1"/>
  <c r="G17" i="27"/>
  <c r="C18" i="27" s="1"/>
  <c r="I15" i="26" l="1"/>
  <c r="I26" i="26" s="1"/>
  <c r="I27" i="26" s="1"/>
  <c r="I28" i="26" s="1"/>
  <c r="I29" i="26" s="1"/>
  <c r="L114" i="26"/>
  <c r="J4" i="26"/>
  <c r="L41" i="26"/>
  <c r="L42" i="26" s="1"/>
  <c r="M39" i="26"/>
  <c r="O99" i="26"/>
  <c r="N107" i="26"/>
  <c r="M83" i="26"/>
  <c r="N77" i="26"/>
  <c r="N75" i="26"/>
  <c r="M81" i="26"/>
  <c r="M62" i="26"/>
  <c r="N57" i="26"/>
  <c r="N105" i="26"/>
  <c r="O97" i="26"/>
  <c r="N103" i="26"/>
  <c r="O95" i="26"/>
  <c r="M113" i="26"/>
  <c r="M25" i="26" s="1"/>
  <c r="N40" i="26"/>
  <c r="M106" i="26"/>
  <c r="N98" i="26"/>
  <c r="N63" i="26"/>
  <c r="O58" i="26"/>
  <c r="K47" i="26"/>
  <c r="K7" i="26" s="1"/>
  <c r="L46" i="26"/>
  <c r="L44" i="26"/>
  <c r="K6" i="26"/>
  <c r="N33" i="26"/>
  <c r="M35" i="26"/>
  <c r="L112" i="26"/>
  <c r="L9" i="26" s="1"/>
  <c r="P76" i="26"/>
  <c r="O82" i="26"/>
  <c r="M34" i="26"/>
  <c r="L36" i="26"/>
  <c r="L8" i="26" s="1"/>
  <c r="N64" i="26"/>
  <c r="O59" i="26"/>
  <c r="O80" i="26"/>
  <c r="P74" i="26"/>
  <c r="P51" i="26"/>
  <c r="N101" i="26"/>
  <c r="M109" i="26"/>
  <c r="N56" i="26"/>
  <c r="M61" i="26"/>
  <c r="D18" i="27"/>
  <c r="F18" i="27" s="1"/>
  <c r="G18" i="27"/>
  <c r="C19" i="27" s="1"/>
  <c r="H45" i="5"/>
  <c r="H44" i="5"/>
  <c r="H98" i="18"/>
  <c r="H77" i="18"/>
  <c r="H75" i="18"/>
  <c r="H57" i="18"/>
  <c r="H56" i="18"/>
  <c r="H56" i="5"/>
  <c r="H57" i="5"/>
  <c r="H34" i="5"/>
  <c r="I34" i="5" s="1"/>
  <c r="H40" i="5"/>
  <c r="H34" i="18"/>
  <c r="H40" i="18"/>
  <c r="J55" i="5"/>
  <c r="K55" i="5" s="1"/>
  <c r="L55" i="5" s="1"/>
  <c r="M55" i="5" s="1"/>
  <c r="N55" i="5" s="1"/>
  <c r="O55" i="5" s="1"/>
  <c r="P55" i="5" s="1"/>
  <c r="Q55" i="5" s="1"/>
  <c r="R55" i="5" s="1"/>
  <c r="S55" i="5" s="1"/>
  <c r="T55" i="5" s="1"/>
  <c r="I55" i="5"/>
  <c r="I50" i="1"/>
  <c r="I49" i="1"/>
  <c r="I48" i="1"/>
  <c r="I47" i="1"/>
  <c r="I46" i="1"/>
  <c r="L46" i="1" s="1"/>
  <c r="M46" i="1" s="1"/>
  <c r="I45" i="1"/>
  <c r="I44" i="1"/>
  <c r="I42" i="1"/>
  <c r="J3" i="1" s="1"/>
  <c r="K8" i="22"/>
  <c r="L47" i="1" l="1"/>
  <c r="K10" i="1"/>
  <c r="N46" i="1"/>
  <c r="O46" i="1" s="1"/>
  <c r="K3" i="1"/>
  <c r="K12" i="1"/>
  <c r="L12" i="1" s="1"/>
  <c r="M12" i="1" s="1"/>
  <c r="N12" i="1" s="1"/>
  <c r="O12" i="1" s="1"/>
  <c r="J15" i="26"/>
  <c r="J26" i="26" s="1"/>
  <c r="J27" i="26" s="1"/>
  <c r="J28" i="26" s="1"/>
  <c r="J29" i="26" s="1"/>
  <c r="K4" i="26"/>
  <c r="M41" i="26"/>
  <c r="M42" i="26" s="1"/>
  <c r="N39" i="26"/>
  <c r="O56" i="26"/>
  <c r="N61" i="26"/>
  <c r="O63" i="26"/>
  <c r="P58" i="26"/>
  <c r="P97" i="26"/>
  <c r="O105" i="26"/>
  <c r="O77" i="26"/>
  <c r="N83" i="26"/>
  <c r="P80" i="26"/>
  <c r="Q74" i="26"/>
  <c r="N113" i="26"/>
  <c r="N25" i="26" s="1"/>
  <c r="O103" i="26"/>
  <c r="P95" i="26"/>
  <c r="O101" i="26"/>
  <c r="N109" i="26"/>
  <c r="M36" i="26"/>
  <c r="M8" i="26" s="1"/>
  <c r="N34" i="26"/>
  <c r="Q76" i="26"/>
  <c r="P82" i="26"/>
  <c r="L47" i="26"/>
  <c r="L7" i="26" s="1"/>
  <c r="M46" i="26"/>
  <c r="O98" i="26"/>
  <c r="N106" i="26"/>
  <c r="O40" i="26"/>
  <c r="N62" i="26"/>
  <c r="O57" i="26"/>
  <c r="N35" i="26"/>
  <c r="O33" i="26"/>
  <c r="M112" i="26"/>
  <c r="M9" i="26" s="1"/>
  <c r="Q51" i="26"/>
  <c r="O64" i="26"/>
  <c r="P59" i="26"/>
  <c r="M44" i="26"/>
  <c r="L6" i="26"/>
  <c r="M114" i="26"/>
  <c r="N81" i="26"/>
  <c r="O75" i="26"/>
  <c r="P99" i="26"/>
  <c r="O107" i="26"/>
  <c r="D19" i="27"/>
  <c r="G19" i="27"/>
  <c r="C20" i="27" s="1"/>
  <c r="J9" i="1"/>
  <c r="K9" i="1"/>
  <c r="L10" i="1"/>
  <c r="M47" i="1"/>
  <c r="J39" i="5"/>
  <c r="K39" i="5" s="1"/>
  <c r="L39" i="5" s="1"/>
  <c r="M39" i="5" s="1"/>
  <c r="N39" i="5" s="1"/>
  <c r="O39" i="5" s="1"/>
  <c r="P39" i="5" s="1"/>
  <c r="Q39" i="5" s="1"/>
  <c r="R39" i="5" s="1"/>
  <c r="S39" i="5" s="1"/>
  <c r="T39" i="5" s="1"/>
  <c r="J33" i="5"/>
  <c r="K33" i="5" s="1"/>
  <c r="L33" i="5" s="1"/>
  <c r="M33" i="5" s="1"/>
  <c r="N33" i="5" s="1"/>
  <c r="O33" i="5" s="1"/>
  <c r="P33" i="5" s="1"/>
  <c r="Q33" i="5" s="1"/>
  <c r="R33" i="5" s="1"/>
  <c r="S33" i="5" s="1"/>
  <c r="T33" i="5" s="1"/>
  <c r="H14" i="10"/>
  <c r="D19" i="10"/>
  <c r="C16" i="11"/>
  <c r="C14" i="11"/>
  <c r="I17" i="5"/>
  <c r="J17" i="5"/>
  <c r="K17" i="5"/>
  <c r="L17" i="5"/>
  <c r="M17" i="5"/>
  <c r="N17" i="5"/>
  <c r="O17" i="5"/>
  <c r="P17" i="5"/>
  <c r="Q17" i="5"/>
  <c r="R17" i="5"/>
  <c r="S17" i="5"/>
  <c r="T17" i="5"/>
  <c r="H17" i="5"/>
  <c r="H6" i="5"/>
  <c r="H47" i="5"/>
  <c r="I39" i="5"/>
  <c r="I33" i="5"/>
  <c r="J52" i="5"/>
  <c r="I44" i="5"/>
  <c r="J44" i="5" s="1"/>
  <c r="K44" i="5" s="1"/>
  <c r="L44" i="5" s="1"/>
  <c r="M44" i="5" s="1"/>
  <c r="N44" i="5" s="1"/>
  <c r="O44" i="5" s="1"/>
  <c r="P44" i="5" s="1"/>
  <c r="Q44" i="5" s="1"/>
  <c r="R44" i="5" s="1"/>
  <c r="S44" i="5" s="1"/>
  <c r="T44" i="5" s="1"/>
  <c r="I99" i="18"/>
  <c r="J99" i="18" s="1"/>
  <c r="K99" i="18" s="1"/>
  <c r="L99" i="18" s="1"/>
  <c r="M99" i="18" s="1"/>
  <c r="N99" i="18" s="1"/>
  <c r="I97" i="18"/>
  <c r="J97" i="18" s="1"/>
  <c r="K97" i="18" s="1"/>
  <c r="L97" i="18" s="1"/>
  <c r="M97" i="18" s="1"/>
  <c r="N97" i="18" s="1"/>
  <c r="I95" i="18"/>
  <c r="J95" i="18" s="1"/>
  <c r="K95" i="18" s="1"/>
  <c r="L95" i="18" s="1"/>
  <c r="M95" i="18" s="1"/>
  <c r="N95" i="18" s="1"/>
  <c r="I76" i="18"/>
  <c r="J76" i="18" s="1"/>
  <c r="K76" i="18" s="1"/>
  <c r="L76" i="18" s="1"/>
  <c r="M76" i="18" s="1"/>
  <c r="N76" i="18" s="1"/>
  <c r="I74" i="18"/>
  <c r="J74" i="18" s="1"/>
  <c r="K74" i="18" s="1"/>
  <c r="L74" i="18" s="1"/>
  <c r="M74" i="18" s="1"/>
  <c r="N74" i="18" s="1"/>
  <c r="I59" i="18"/>
  <c r="J59" i="18" s="1"/>
  <c r="K59" i="18" s="1"/>
  <c r="L59" i="18" s="1"/>
  <c r="M59" i="18" s="1"/>
  <c r="N59" i="18" s="1"/>
  <c r="I58" i="18"/>
  <c r="J58" i="18" s="1"/>
  <c r="K58" i="18" s="1"/>
  <c r="L58" i="18" s="1"/>
  <c r="M58" i="18" s="1"/>
  <c r="N58" i="18" s="1"/>
  <c r="I39" i="18"/>
  <c r="J39" i="18" s="1"/>
  <c r="K39" i="18" s="1"/>
  <c r="L39" i="18" s="1"/>
  <c r="M39" i="18" s="1"/>
  <c r="N39" i="18" s="1"/>
  <c r="O39" i="18" s="1"/>
  <c r="P39" i="18" s="1"/>
  <c r="Q39" i="18" s="1"/>
  <c r="R39" i="18" s="1"/>
  <c r="S39" i="18" s="1"/>
  <c r="T39" i="18" s="1"/>
  <c r="AA273" i="8"/>
  <c r="H16" i="18"/>
  <c r="H113" i="18"/>
  <c r="J93" i="18"/>
  <c r="I93" i="18"/>
  <c r="H93" i="18"/>
  <c r="H71" i="18"/>
  <c r="I71" i="18"/>
  <c r="J71" i="18"/>
  <c r="H51" i="18"/>
  <c r="I51" i="18"/>
  <c r="J51" i="18"/>
  <c r="H47" i="18"/>
  <c r="AC262" i="8"/>
  <c r="AD262" i="8" s="1"/>
  <c r="AE262" i="8" s="1"/>
  <c r="AC263" i="8"/>
  <c r="AD263" i="8"/>
  <c r="AE263" i="8" s="1"/>
  <c r="AC264" i="8"/>
  <c r="AD264" i="8"/>
  <c r="AE264" i="8"/>
  <c r="AC265" i="8"/>
  <c r="AD265" i="8" s="1"/>
  <c r="AE265" i="8" s="1"/>
  <c r="AC266" i="8"/>
  <c r="AD266" i="8" s="1"/>
  <c r="AE266" i="8" s="1"/>
  <c r="AB263" i="8"/>
  <c r="AB264" i="8"/>
  <c r="AB265" i="8"/>
  <c r="AB266" i="8"/>
  <c r="AB262" i="8"/>
  <c r="AA266" i="8"/>
  <c r="AA265" i="8"/>
  <c r="AA264" i="8"/>
  <c r="AA262" i="8"/>
  <c r="J6" i="1" l="1"/>
  <c r="J11" i="1"/>
  <c r="J14" i="1"/>
  <c r="K49" i="1"/>
  <c r="J16" i="1"/>
  <c r="K50" i="1"/>
  <c r="K44" i="1"/>
  <c r="J7" i="1"/>
  <c r="J8" i="1"/>
  <c r="K45" i="1"/>
  <c r="K15" i="26"/>
  <c r="K26" i="26" s="1"/>
  <c r="K27" i="26" s="1"/>
  <c r="K28" i="26" s="1"/>
  <c r="K29" i="26" s="1"/>
  <c r="N114" i="26"/>
  <c r="L4" i="26"/>
  <c r="O39" i="26"/>
  <c r="N41" i="26"/>
  <c r="N42" i="26" s="1"/>
  <c r="P33" i="26"/>
  <c r="O35" i="26"/>
  <c r="P98" i="26"/>
  <c r="O106" i="26"/>
  <c r="M47" i="26"/>
  <c r="M7" i="26" s="1"/>
  <c r="N46" i="26"/>
  <c r="O113" i="26"/>
  <c r="O25" i="26" s="1"/>
  <c r="O81" i="26"/>
  <c r="P75" i="26"/>
  <c r="N44" i="26"/>
  <c r="M6" i="26"/>
  <c r="P40" i="26"/>
  <c r="R76" i="26"/>
  <c r="Q82" i="26"/>
  <c r="P101" i="26"/>
  <c r="O109" i="26"/>
  <c r="R74" i="26"/>
  <c r="Q80" i="26"/>
  <c r="N112" i="26"/>
  <c r="N9" i="26" s="1"/>
  <c r="P63" i="26"/>
  <c r="Q58" i="26"/>
  <c r="P107" i="26"/>
  <c r="Q99" i="26"/>
  <c r="R51" i="26"/>
  <c r="P77" i="26"/>
  <c r="O83" i="26"/>
  <c r="P64" i="26"/>
  <c r="Q59" i="26"/>
  <c r="O62" i="26"/>
  <c r="P57" i="26"/>
  <c r="O34" i="26"/>
  <c r="N36" i="26"/>
  <c r="Q95" i="26"/>
  <c r="P103" i="26"/>
  <c r="Q97" i="26"/>
  <c r="P105" i="26"/>
  <c r="P56" i="26"/>
  <c r="O61" i="26"/>
  <c r="O112" i="26" s="1"/>
  <c r="O9" i="26" s="1"/>
  <c r="G20" i="27"/>
  <c r="C21" i="27" s="1"/>
  <c r="D20" i="27"/>
  <c r="F20" i="27" s="1"/>
  <c r="F19" i="27"/>
  <c r="I45" i="5"/>
  <c r="J45" i="5" s="1"/>
  <c r="K45" i="5" s="1"/>
  <c r="L45" i="5" s="1"/>
  <c r="M45" i="5" s="1"/>
  <c r="N45" i="5" s="1"/>
  <c r="O45" i="5" s="1"/>
  <c r="P45" i="5" s="1"/>
  <c r="Q45" i="5" s="1"/>
  <c r="R45" i="5" s="1"/>
  <c r="S45" i="5" s="1"/>
  <c r="T45" i="5" s="1"/>
  <c r="K48" i="5"/>
  <c r="L48" i="5" s="1"/>
  <c r="M48" i="5" s="1"/>
  <c r="N48" i="5" s="1"/>
  <c r="O48" i="5" s="1"/>
  <c r="P48" i="5" s="1"/>
  <c r="Q48" i="5" s="1"/>
  <c r="R48" i="5" s="1"/>
  <c r="S48" i="5" s="1"/>
  <c r="T48" i="5" s="1"/>
  <c r="I57" i="5"/>
  <c r="J57" i="5" s="1"/>
  <c r="K57" i="5" s="1"/>
  <c r="L57" i="5" s="1"/>
  <c r="M57" i="5" s="1"/>
  <c r="N57" i="5" s="1"/>
  <c r="O57" i="5" s="1"/>
  <c r="P57" i="5" s="1"/>
  <c r="Q57" i="5" s="1"/>
  <c r="R57" i="5" s="1"/>
  <c r="S57" i="5" s="1"/>
  <c r="T57" i="5" s="1"/>
  <c r="O97" i="18"/>
  <c r="P97" i="18" s="1"/>
  <c r="Q97" i="18" s="1"/>
  <c r="R97" i="18" s="1"/>
  <c r="S97" i="18" s="1"/>
  <c r="T97" i="18" s="1"/>
  <c r="O58" i="18"/>
  <c r="P58" i="18" s="1"/>
  <c r="Q58" i="18" s="1"/>
  <c r="R58" i="18" s="1"/>
  <c r="S58" i="18" s="1"/>
  <c r="T58" i="18" s="1"/>
  <c r="O76" i="18"/>
  <c r="P76" i="18" s="1"/>
  <c r="Q76" i="18" s="1"/>
  <c r="R76" i="18" s="1"/>
  <c r="S76" i="18" s="1"/>
  <c r="T76" i="18" s="1"/>
  <c r="O99" i="18"/>
  <c r="P99" i="18" s="1"/>
  <c r="Q99" i="18" s="1"/>
  <c r="R99" i="18" s="1"/>
  <c r="S99" i="18" s="1"/>
  <c r="T99" i="18" s="1"/>
  <c r="O74" i="18"/>
  <c r="P74" i="18" s="1"/>
  <c r="Q74" i="18" s="1"/>
  <c r="R74" i="18" s="1"/>
  <c r="S74" i="18" s="1"/>
  <c r="T74" i="18" s="1"/>
  <c r="O59" i="18"/>
  <c r="P59" i="18" s="1"/>
  <c r="Q59" i="18" s="1"/>
  <c r="R59" i="18" s="1"/>
  <c r="S59" i="18" s="1"/>
  <c r="T59" i="18" s="1"/>
  <c r="O95" i="18"/>
  <c r="P95" i="18" s="1"/>
  <c r="Q95" i="18" s="1"/>
  <c r="R95" i="18" s="1"/>
  <c r="S95" i="18" s="1"/>
  <c r="T95" i="18" s="1"/>
  <c r="M10" i="1"/>
  <c r="N47" i="1"/>
  <c r="L3" i="1"/>
  <c r="I46" i="5"/>
  <c r="J46" i="5" s="1"/>
  <c r="K46" i="5" s="1"/>
  <c r="L46" i="5" s="1"/>
  <c r="M46" i="5" s="1"/>
  <c r="N46" i="5" s="1"/>
  <c r="O46" i="5" s="1"/>
  <c r="P46" i="5" s="1"/>
  <c r="Q46" i="5" s="1"/>
  <c r="R46" i="5" s="1"/>
  <c r="S46" i="5" s="1"/>
  <c r="T46" i="5" s="1"/>
  <c r="I56" i="5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T56" i="5" s="1"/>
  <c r="H90" i="18"/>
  <c r="I90" i="18"/>
  <c r="J90" i="18"/>
  <c r="H87" i="18"/>
  <c r="I87" i="18"/>
  <c r="J87" i="18"/>
  <c r="H69" i="18"/>
  <c r="I69" i="18"/>
  <c r="J69" i="18"/>
  <c r="H68" i="18"/>
  <c r="I68" i="18"/>
  <c r="J68" i="18"/>
  <c r="M51" i="18"/>
  <c r="N51" i="18" s="1"/>
  <c r="O51" i="18" s="1"/>
  <c r="P51" i="18" s="1"/>
  <c r="Q51" i="18" s="1"/>
  <c r="R51" i="18" s="1"/>
  <c r="S51" i="18" s="1"/>
  <c r="T51" i="18" s="1"/>
  <c r="L51" i="18"/>
  <c r="L53" i="5"/>
  <c r="M53" i="5" s="1"/>
  <c r="N53" i="5" s="1"/>
  <c r="O53" i="5" s="1"/>
  <c r="P53" i="5" s="1"/>
  <c r="Q53" i="5" s="1"/>
  <c r="R53" i="5" s="1"/>
  <c r="S53" i="5" s="1"/>
  <c r="T53" i="5" s="1"/>
  <c r="L52" i="5"/>
  <c r="M52" i="5" s="1"/>
  <c r="N52" i="5" s="1"/>
  <c r="O52" i="5" s="1"/>
  <c r="P52" i="5" s="1"/>
  <c r="Q52" i="5" s="1"/>
  <c r="R52" i="5" s="1"/>
  <c r="S52" i="5" s="1"/>
  <c r="T52" i="5" s="1"/>
  <c r="H52" i="5"/>
  <c r="I52" i="5"/>
  <c r="L51" i="5"/>
  <c r="M51" i="5" s="1"/>
  <c r="N51" i="5" s="1"/>
  <c r="O51" i="5" s="1"/>
  <c r="P51" i="5" s="1"/>
  <c r="Q51" i="5" s="1"/>
  <c r="R51" i="5" s="1"/>
  <c r="S51" i="5" s="1"/>
  <c r="T51" i="5" s="1"/>
  <c r="H53" i="5"/>
  <c r="I53" i="5"/>
  <c r="J53" i="5"/>
  <c r="H51" i="5"/>
  <c r="I51" i="5"/>
  <c r="J51" i="5"/>
  <c r="D18" i="22"/>
  <c r="G14" i="22"/>
  <c r="F14" i="22"/>
  <c r="E14" i="22"/>
  <c r="G11" i="22"/>
  <c r="F11" i="22"/>
  <c r="E11" i="22"/>
  <c r="C11" i="22" s="1"/>
  <c r="G8" i="22"/>
  <c r="G18" i="22" s="1"/>
  <c r="F8" i="22"/>
  <c r="F18" i="22" s="1"/>
  <c r="E8" i="22"/>
  <c r="E18" i="22" s="1"/>
  <c r="G10" i="10"/>
  <c r="H10" i="10" s="1"/>
  <c r="X13" i="10"/>
  <c r="X14" i="10" s="1"/>
  <c r="W14" i="10"/>
  <c r="W13" i="10"/>
  <c r="V13" i="10"/>
  <c r="Z13" i="10" s="1"/>
  <c r="Z14" i="10" s="1"/>
  <c r="R13" i="10"/>
  <c r="R14" i="10" s="1"/>
  <c r="Z8" i="10"/>
  <c r="G8" i="10" s="1"/>
  <c r="H8" i="10" s="1"/>
  <c r="Z7" i="10"/>
  <c r="G7" i="10" s="1"/>
  <c r="Z10" i="10"/>
  <c r="Z9" i="10"/>
  <c r="G9" i="10" s="1"/>
  <c r="L50" i="1" l="1"/>
  <c r="K16" i="1"/>
  <c r="L44" i="1"/>
  <c r="M44" i="1" s="1"/>
  <c r="K7" i="1"/>
  <c r="L49" i="1"/>
  <c r="K14" i="1"/>
  <c r="K8" i="1"/>
  <c r="L45" i="1"/>
  <c r="M45" i="1" s="1"/>
  <c r="N45" i="1" s="1"/>
  <c r="O45" i="1" s="1"/>
  <c r="K11" i="1"/>
  <c r="L48" i="1"/>
  <c r="L43" i="1"/>
  <c r="M43" i="1" s="1"/>
  <c r="N43" i="1" s="1"/>
  <c r="O43" i="1" s="1"/>
  <c r="K6" i="1"/>
  <c r="L15" i="26"/>
  <c r="L26" i="26" s="1"/>
  <c r="L27" i="26" s="1"/>
  <c r="L28" i="26" s="1"/>
  <c r="L29" i="26" s="1"/>
  <c r="M4" i="26"/>
  <c r="N8" i="26"/>
  <c r="P39" i="26"/>
  <c r="O41" i="26"/>
  <c r="O42" i="26" s="1"/>
  <c r="P62" i="26"/>
  <c r="Q57" i="26"/>
  <c r="P113" i="26"/>
  <c r="P25" i="26" s="1"/>
  <c r="P106" i="26"/>
  <c r="Q98" i="26"/>
  <c r="Q105" i="26"/>
  <c r="R97" i="26"/>
  <c r="S51" i="26"/>
  <c r="Q101" i="26"/>
  <c r="P109" i="26"/>
  <c r="Q56" i="26"/>
  <c r="P61" i="26"/>
  <c r="Q103" i="26"/>
  <c r="R95" i="26"/>
  <c r="O114" i="26"/>
  <c r="Q77" i="26"/>
  <c r="P83" i="26"/>
  <c r="R99" i="26"/>
  <c r="Q107" i="26"/>
  <c r="S74" i="26"/>
  <c r="R80" i="26"/>
  <c r="R82" i="26"/>
  <c r="S76" i="26"/>
  <c r="O44" i="26"/>
  <c r="N6" i="26"/>
  <c r="N47" i="26"/>
  <c r="N7" i="26" s="1"/>
  <c r="O46" i="26"/>
  <c r="O36" i="26"/>
  <c r="O8" i="26" s="1"/>
  <c r="P34" i="26"/>
  <c r="Q63" i="26"/>
  <c r="R58" i="26"/>
  <c r="Q64" i="26"/>
  <c r="R59" i="26"/>
  <c r="Q40" i="26"/>
  <c r="Q75" i="26"/>
  <c r="P81" i="26"/>
  <c r="P35" i="26"/>
  <c r="Q33" i="26"/>
  <c r="D21" i="27"/>
  <c r="G21" i="27"/>
  <c r="C22" i="27" s="1"/>
  <c r="O47" i="1"/>
  <c r="N10" i="1"/>
  <c r="I18" i="5"/>
  <c r="V14" i="10"/>
  <c r="M49" i="1" l="1"/>
  <c r="L14" i="1"/>
  <c r="N44" i="1"/>
  <c r="O44" i="1" s="1"/>
  <c r="M48" i="1"/>
  <c r="L11" i="1"/>
  <c r="M50" i="1"/>
  <c r="L16" i="1"/>
  <c r="M15" i="26"/>
  <c r="M26" i="26" s="1"/>
  <c r="M27" i="26" s="1"/>
  <c r="M28" i="26" s="1"/>
  <c r="M29" i="26" s="1"/>
  <c r="P112" i="26"/>
  <c r="P9" i="26" s="1"/>
  <c r="P41" i="26"/>
  <c r="P42" i="26" s="1"/>
  <c r="Q39" i="26"/>
  <c r="Q106" i="26"/>
  <c r="R98" i="26"/>
  <c r="R40" i="26"/>
  <c r="R63" i="26"/>
  <c r="S58" i="26"/>
  <c r="P46" i="26"/>
  <c r="O47" i="26"/>
  <c r="O7" i="26" s="1"/>
  <c r="T76" i="26"/>
  <c r="T82" i="26" s="1"/>
  <c r="S82" i="26"/>
  <c r="R56" i="26"/>
  <c r="Q61" i="26"/>
  <c r="S80" i="26"/>
  <c r="T74" i="26"/>
  <c r="T80" i="26" s="1"/>
  <c r="Q83" i="26"/>
  <c r="R77" i="26"/>
  <c r="T51" i="26"/>
  <c r="R33" i="26"/>
  <c r="Q35" i="26"/>
  <c r="Q113" i="26"/>
  <c r="Q25" i="26" s="1"/>
  <c r="S99" i="26"/>
  <c r="R107" i="26"/>
  <c r="R103" i="26"/>
  <c r="S95" i="26"/>
  <c r="R105" i="26"/>
  <c r="S97" i="26"/>
  <c r="Q62" i="26"/>
  <c r="R57" i="26"/>
  <c r="P44" i="26"/>
  <c r="O6" i="26"/>
  <c r="R75" i="26"/>
  <c r="Q81" i="26"/>
  <c r="R64" i="26"/>
  <c r="S59" i="26"/>
  <c r="Q34" i="26"/>
  <c r="P36" i="26"/>
  <c r="P8" i="26" s="1"/>
  <c r="N4" i="26"/>
  <c r="R101" i="26"/>
  <c r="Q109" i="26"/>
  <c r="P114" i="26"/>
  <c r="G22" i="27"/>
  <c r="C23" i="27" s="1"/>
  <c r="D22" i="27"/>
  <c r="F22" i="27" s="1"/>
  <c r="F21" i="27"/>
  <c r="O10" i="1"/>
  <c r="J18" i="5"/>
  <c r="E5" i="25"/>
  <c r="E7" i="25"/>
  <c r="D7" i="25"/>
  <c r="C7" i="25"/>
  <c r="E6" i="25"/>
  <c r="D6" i="25"/>
  <c r="C6" i="25"/>
  <c r="N48" i="1" l="1"/>
  <c r="M11" i="1"/>
  <c r="N50" i="1"/>
  <c r="M16" i="1"/>
  <c r="N49" i="1"/>
  <c r="M14" i="1"/>
  <c r="O4" i="26"/>
  <c r="N26" i="26"/>
  <c r="N15" i="26"/>
  <c r="Q41" i="26"/>
  <c r="Q42" i="26" s="1"/>
  <c r="R39" i="26"/>
  <c r="Q112" i="26"/>
  <c r="Q9" i="26" s="1"/>
  <c r="S40" i="26"/>
  <c r="S101" i="26"/>
  <c r="R109" i="26"/>
  <c r="S64" i="26"/>
  <c r="T59" i="26"/>
  <c r="T64" i="26" s="1"/>
  <c r="R62" i="26"/>
  <c r="S57" i="26"/>
  <c r="S103" i="26"/>
  <c r="T95" i="26"/>
  <c r="T103" i="26" s="1"/>
  <c r="Q36" i="26"/>
  <c r="R34" i="26"/>
  <c r="R81" i="26"/>
  <c r="S75" i="26"/>
  <c r="Q114" i="26"/>
  <c r="S77" i="26"/>
  <c r="R83" i="26"/>
  <c r="S56" i="26"/>
  <c r="R61" i="26"/>
  <c r="P47" i="26"/>
  <c r="P7" i="26" s="1"/>
  <c r="Q46" i="26"/>
  <c r="T97" i="26"/>
  <c r="T105" i="26" s="1"/>
  <c r="S105" i="26"/>
  <c r="R35" i="26"/>
  <c r="S33" i="26"/>
  <c r="S63" i="26"/>
  <c r="T58" i="26"/>
  <c r="T63" i="26" s="1"/>
  <c r="S98" i="26"/>
  <c r="R106" i="26"/>
  <c r="N27" i="26"/>
  <c r="N28" i="26" s="1"/>
  <c r="N29" i="26" s="1"/>
  <c r="Q44" i="26"/>
  <c r="P6" i="26"/>
  <c r="T99" i="26"/>
  <c r="T107" i="26" s="1"/>
  <c r="S107" i="26"/>
  <c r="R113" i="26"/>
  <c r="R25" i="26" s="1"/>
  <c r="D23" i="27"/>
  <c r="G23" i="27"/>
  <c r="C24" i="27" s="1"/>
  <c r="K18" i="5"/>
  <c r="E8" i="25"/>
  <c r="H44" i="18"/>
  <c r="I40" i="18"/>
  <c r="J40" i="18" s="1"/>
  <c r="K40" i="18" s="1"/>
  <c r="L40" i="18" s="1"/>
  <c r="M40" i="18" s="1"/>
  <c r="N40" i="18" s="1"/>
  <c r="O40" i="18" s="1"/>
  <c r="P40" i="18" s="1"/>
  <c r="Q40" i="18" s="1"/>
  <c r="R40" i="18" s="1"/>
  <c r="S40" i="18" s="1"/>
  <c r="T40" i="18" s="1"/>
  <c r="I40" i="5"/>
  <c r="J40" i="5" s="1"/>
  <c r="K40" i="5" s="1"/>
  <c r="L40" i="5" s="1"/>
  <c r="M40" i="5" s="1"/>
  <c r="N40" i="5" s="1"/>
  <c r="O50" i="1" l="1"/>
  <c r="N16" i="1"/>
  <c r="O49" i="1"/>
  <c r="N14" i="1"/>
  <c r="O48" i="1"/>
  <c r="N11" i="1"/>
  <c r="O15" i="26"/>
  <c r="O26" i="26" s="1"/>
  <c r="O27" i="26" s="1"/>
  <c r="O28" i="26" s="1"/>
  <c r="O29" i="26" s="1"/>
  <c r="S113" i="26"/>
  <c r="S25" i="26" s="1"/>
  <c r="R114" i="26"/>
  <c r="Q8" i="26"/>
  <c r="R41" i="26"/>
  <c r="R42" i="26" s="1"/>
  <c r="S39" i="26"/>
  <c r="R44" i="26"/>
  <c r="Q6" i="26"/>
  <c r="T56" i="26"/>
  <c r="T61" i="26" s="1"/>
  <c r="S61" i="26"/>
  <c r="S81" i="26"/>
  <c r="T75" i="26"/>
  <c r="T81" i="26" s="1"/>
  <c r="T101" i="26"/>
  <c r="T109" i="26" s="1"/>
  <c r="S109" i="26"/>
  <c r="T113" i="26"/>
  <c r="T25" i="26" s="1"/>
  <c r="Q47" i="26"/>
  <c r="Q7" i="26" s="1"/>
  <c r="R46" i="26"/>
  <c r="T98" i="26"/>
  <c r="T106" i="26" s="1"/>
  <c r="S106" i="26"/>
  <c r="T77" i="26"/>
  <c r="T83" i="26" s="1"/>
  <c r="S83" i="26"/>
  <c r="S34" i="26"/>
  <c r="R36" i="26"/>
  <c r="T40" i="26"/>
  <c r="P4" i="26"/>
  <c r="T33" i="26"/>
  <c r="T35" i="26" s="1"/>
  <c r="S35" i="26"/>
  <c r="R112" i="26"/>
  <c r="R9" i="26" s="1"/>
  <c r="S62" i="26"/>
  <c r="T57" i="26"/>
  <c r="T62" i="26" s="1"/>
  <c r="G24" i="27"/>
  <c r="C25" i="27" s="1"/>
  <c r="D24" i="27"/>
  <c r="F24" i="27" s="1"/>
  <c r="F23" i="27"/>
  <c r="I44" i="18"/>
  <c r="H6" i="18"/>
  <c r="L6" i="1" s="1"/>
  <c r="O40" i="5"/>
  <c r="P40" i="5" s="1"/>
  <c r="Q40" i="5" s="1"/>
  <c r="R40" i="5" s="1"/>
  <c r="S40" i="5" s="1"/>
  <c r="T40" i="5" s="1"/>
  <c r="H36" i="5"/>
  <c r="J34" i="5"/>
  <c r="K34" i="5" s="1"/>
  <c r="L34" i="5" s="1"/>
  <c r="M34" i="5" s="1"/>
  <c r="N34" i="5" s="1"/>
  <c r="O34" i="5" s="1"/>
  <c r="P34" i="5" s="1"/>
  <c r="Q34" i="5" s="1"/>
  <c r="R34" i="5" s="1"/>
  <c r="S34" i="5" s="1"/>
  <c r="T34" i="5" s="1"/>
  <c r="L18" i="5"/>
  <c r="J8" i="11"/>
  <c r="P11" i="10"/>
  <c r="G11" i="10" s="1"/>
  <c r="O12" i="10"/>
  <c r="U5" i="10"/>
  <c r="G5" i="10" s="1"/>
  <c r="Q6" i="10"/>
  <c r="O11" i="1" l="1"/>
  <c r="O14" i="1"/>
  <c r="O16" i="1"/>
  <c r="P26" i="26"/>
  <c r="P15" i="26"/>
  <c r="S114" i="26"/>
  <c r="S41" i="26"/>
  <c r="S42" i="26" s="1"/>
  <c r="T39" i="26"/>
  <c r="T41" i="26" s="1"/>
  <c r="T42" i="26" s="1"/>
  <c r="R8" i="26"/>
  <c r="P27" i="26"/>
  <c r="P28" i="26" s="1"/>
  <c r="P29" i="26" s="1"/>
  <c r="S36" i="26"/>
  <c r="S8" i="26" s="1"/>
  <c r="T34" i="26"/>
  <c r="T36" i="26" s="1"/>
  <c r="S112" i="26"/>
  <c r="S9" i="26" s="1"/>
  <c r="T114" i="26"/>
  <c r="R47" i="26"/>
  <c r="R7" i="26" s="1"/>
  <c r="S46" i="26"/>
  <c r="T112" i="26"/>
  <c r="T9" i="26" s="1"/>
  <c r="Q4" i="26"/>
  <c r="S44" i="26"/>
  <c r="R6" i="26"/>
  <c r="D25" i="27"/>
  <c r="F25" i="27" s="1"/>
  <c r="G25" i="27"/>
  <c r="C26" i="27" s="1"/>
  <c r="N18" i="5"/>
  <c r="M18" i="5"/>
  <c r="U6" i="10"/>
  <c r="Q13" i="10"/>
  <c r="Q14" i="10" s="1"/>
  <c r="P12" i="10"/>
  <c r="O13" i="10"/>
  <c r="O14" i="10" s="1"/>
  <c r="H18" i="5"/>
  <c r="H16" i="5" s="1"/>
  <c r="J47" i="5"/>
  <c r="I47" i="5"/>
  <c r="H61" i="5"/>
  <c r="H7" i="5" s="1"/>
  <c r="H60" i="5"/>
  <c r="H9" i="5" s="1"/>
  <c r="H48" i="5"/>
  <c r="I48" i="5" s="1"/>
  <c r="J48" i="18"/>
  <c r="H48" i="18"/>
  <c r="I48" i="18" s="1"/>
  <c r="K47" i="5"/>
  <c r="L47" i="5"/>
  <c r="M47" i="5"/>
  <c r="N47" i="5"/>
  <c r="O47" i="5"/>
  <c r="P47" i="5"/>
  <c r="Q47" i="5"/>
  <c r="R47" i="5"/>
  <c r="S47" i="5"/>
  <c r="T47" i="5"/>
  <c r="J91" i="18"/>
  <c r="J89" i="18"/>
  <c r="I91" i="18"/>
  <c r="I89" i="18"/>
  <c r="H91" i="18"/>
  <c r="H89" i="18"/>
  <c r="J70" i="18"/>
  <c r="I70" i="18"/>
  <c r="H70" i="18"/>
  <c r="J54" i="18"/>
  <c r="J53" i="18"/>
  <c r="I54" i="18"/>
  <c r="I53" i="18"/>
  <c r="H54" i="18"/>
  <c r="H53" i="18"/>
  <c r="H63" i="18" s="1"/>
  <c r="C8" i="22"/>
  <c r="M23" i="18"/>
  <c r="M22" i="18" s="1"/>
  <c r="N23" i="18"/>
  <c r="N22" i="18" s="1"/>
  <c r="O23" i="18"/>
  <c r="P23" i="18"/>
  <c r="P22" i="18" s="1"/>
  <c r="O22" i="18"/>
  <c r="AF274" i="8"/>
  <c r="AG274" i="8"/>
  <c r="AH274" i="8"/>
  <c r="AI274" i="8"/>
  <c r="AJ274" i="8"/>
  <c r="AB273" i="8"/>
  <c r="I22" i="5" s="1"/>
  <c r="AC273" i="8"/>
  <c r="J22" i="5" s="1"/>
  <c r="AD273" i="8"/>
  <c r="K22" i="5" s="1"/>
  <c r="AE273" i="8"/>
  <c r="L22" i="5" s="1"/>
  <c r="AF273" i="8"/>
  <c r="M22" i="5" s="1"/>
  <c r="AG273" i="8"/>
  <c r="N22" i="5" s="1"/>
  <c r="AH273" i="8"/>
  <c r="O22" i="5" s="1"/>
  <c r="AI273" i="8"/>
  <c r="P22" i="5" s="1"/>
  <c r="AJ273" i="8"/>
  <c r="Q22" i="5" s="1"/>
  <c r="H22" i="5"/>
  <c r="H23" i="5" s="1"/>
  <c r="Q15" i="26" l="1"/>
  <c r="Q26" i="26" s="1"/>
  <c r="Q27" i="26" s="1"/>
  <c r="Q28" i="26" s="1"/>
  <c r="Q29" i="26" s="1"/>
  <c r="T8" i="26"/>
  <c r="T44" i="26"/>
  <c r="T6" i="26" s="1"/>
  <c r="S6" i="26"/>
  <c r="S47" i="26"/>
  <c r="S7" i="26" s="1"/>
  <c r="T46" i="26"/>
  <c r="T47" i="26" s="1"/>
  <c r="T7" i="26" s="1"/>
  <c r="R4" i="26"/>
  <c r="D26" i="27"/>
  <c r="F26" i="27" s="1"/>
  <c r="G26" i="27"/>
  <c r="C27" i="27" s="1"/>
  <c r="G12" i="10"/>
  <c r="H12" i="10" s="1"/>
  <c r="P13" i="10"/>
  <c r="G6" i="10"/>
  <c r="H6" i="10" s="1"/>
  <c r="U13" i="10"/>
  <c r="U14" i="10"/>
  <c r="D5" i="25" s="1"/>
  <c r="D8" i="25" s="1"/>
  <c r="H59" i="5"/>
  <c r="R26" i="26" l="1"/>
  <c r="R27" i="26" s="1"/>
  <c r="R28" i="26" s="1"/>
  <c r="R29" i="26" s="1"/>
  <c r="R15" i="26"/>
  <c r="S4" i="26"/>
  <c r="T4" i="26"/>
  <c r="D27" i="27"/>
  <c r="G27" i="27"/>
  <c r="O18" i="5"/>
  <c r="G13" i="10"/>
  <c r="P14" i="10"/>
  <c r="T15" i="26" l="1"/>
  <c r="T26" i="26" s="1"/>
  <c r="T27" i="26" s="1"/>
  <c r="T28" i="26" s="1"/>
  <c r="T29" i="26" s="1"/>
  <c r="S15" i="26"/>
  <c r="S26" i="26" s="1"/>
  <c r="S27" i="26" s="1"/>
  <c r="S28" i="26" s="1"/>
  <c r="S29" i="26" s="1"/>
  <c r="J32" i="3"/>
  <c r="D28" i="27"/>
  <c r="G28" i="27"/>
  <c r="C29" i="27" s="1"/>
  <c r="F27" i="27"/>
  <c r="I27" i="27"/>
  <c r="K27" i="27" s="1"/>
  <c r="P18" i="5"/>
  <c r="G14" i="10"/>
  <c r="D18" i="10" s="1"/>
  <c r="C5" i="25"/>
  <c r="H109" i="18"/>
  <c r="G29" i="27" l="1"/>
  <c r="C30" i="27" s="1"/>
  <c r="D29" i="27"/>
  <c r="F29" i="27" s="1"/>
  <c r="F28" i="27"/>
  <c r="Q18" i="5"/>
  <c r="C8" i="25"/>
  <c r="F52" i="3"/>
  <c r="G52" i="3"/>
  <c r="H52" i="3"/>
  <c r="E52" i="3"/>
  <c r="G30" i="27" l="1"/>
  <c r="C31" i="27" s="1"/>
  <c r="D30" i="27"/>
  <c r="R18" i="5"/>
  <c r="L93" i="18"/>
  <c r="I20" i="1"/>
  <c r="E2790" i="23"/>
  <c r="E2789" i="23"/>
  <c r="E2788" i="23"/>
  <c r="E2787" i="23"/>
  <c r="E2786" i="23"/>
  <c r="E2785" i="23"/>
  <c r="E2784" i="23"/>
  <c r="E2783" i="23"/>
  <c r="E2782" i="23"/>
  <c r="E2781" i="23"/>
  <c r="E2780" i="23"/>
  <c r="E2779" i="23"/>
  <c r="E2778" i="23"/>
  <c r="E2777" i="23"/>
  <c r="E2776" i="23"/>
  <c r="E2775" i="23"/>
  <c r="E2774" i="23"/>
  <c r="E2773" i="23"/>
  <c r="E2772" i="23"/>
  <c r="E2771" i="23"/>
  <c r="E2770" i="23"/>
  <c r="E2769" i="23"/>
  <c r="E2768" i="23"/>
  <c r="E2767" i="23"/>
  <c r="E2766" i="23"/>
  <c r="E2765" i="23"/>
  <c r="E2764" i="23"/>
  <c r="E2763" i="23"/>
  <c r="E2762" i="23"/>
  <c r="E2761" i="23"/>
  <c r="E2760" i="23"/>
  <c r="E2759" i="23"/>
  <c r="E2758" i="23"/>
  <c r="E2757" i="23"/>
  <c r="E2756" i="23"/>
  <c r="E2755" i="23"/>
  <c r="E2754" i="23"/>
  <c r="E2753" i="23"/>
  <c r="E2752" i="23"/>
  <c r="E2751" i="23"/>
  <c r="E2750" i="23"/>
  <c r="E2749" i="23"/>
  <c r="E2748" i="23"/>
  <c r="E2747" i="23"/>
  <c r="E2746" i="23"/>
  <c r="E2745" i="23"/>
  <c r="E2744" i="23"/>
  <c r="E2743" i="23"/>
  <c r="E2742" i="23"/>
  <c r="E2741" i="23"/>
  <c r="E2740" i="23"/>
  <c r="E2739" i="23"/>
  <c r="E2738" i="23"/>
  <c r="E2737" i="23"/>
  <c r="E2736" i="23"/>
  <c r="E2735" i="23"/>
  <c r="E2734" i="23"/>
  <c r="E2733" i="23"/>
  <c r="E2732" i="23"/>
  <c r="E2731" i="23"/>
  <c r="E2730" i="23"/>
  <c r="E2729" i="23"/>
  <c r="J15" i="23"/>
  <c r="K15" i="23" s="1"/>
  <c r="I15" i="23"/>
  <c r="F15" i="23"/>
  <c r="J8" i="23"/>
  <c r="M3" i="18"/>
  <c r="N3" i="18"/>
  <c r="O3" i="18"/>
  <c r="P3" i="18"/>
  <c r="Q3" i="18"/>
  <c r="R3" i="18"/>
  <c r="S3" i="18"/>
  <c r="T3" i="18"/>
  <c r="Z270" i="8"/>
  <c r="AF270" i="8"/>
  <c r="AG270" i="8"/>
  <c r="AH270" i="8"/>
  <c r="AI270" i="8"/>
  <c r="AJ270" i="8"/>
  <c r="AK270" i="8"/>
  <c r="AL270" i="8"/>
  <c r="AM270" i="8"/>
  <c r="X270" i="8"/>
  <c r="Y272" i="8"/>
  <c r="Z272" i="8"/>
  <c r="AF272" i="8"/>
  <c r="AG272" i="8"/>
  <c r="AH272" i="8"/>
  <c r="AI272" i="8"/>
  <c r="AJ272" i="8"/>
  <c r="AK272" i="8"/>
  <c r="AL272" i="8"/>
  <c r="AM272" i="8"/>
  <c r="X272" i="8"/>
  <c r="F30" i="27" l="1"/>
  <c r="D31" i="27"/>
  <c r="F31" i="27" s="1"/>
  <c r="G31" i="27"/>
  <c r="C32" i="27" s="1"/>
  <c r="T18" i="5"/>
  <c r="S18" i="5"/>
  <c r="M93" i="18"/>
  <c r="C14" i="22"/>
  <c r="C18" i="22" s="1"/>
  <c r="M5" i="22"/>
  <c r="F5" i="22" s="1"/>
  <c r="G5" i="22"/>
  <c r="E5" i="22"/>
  <c r="D32" i="27" l="1"/>
  <c r="F32" i="27" s="1"/>
  <c r="G32" i="27"/>
  <c r="C33" i="27" s="1"/>
  <c r="N93" i="18"/>
  <c r="AA269" i="8"/>
  <c r="AB269" i="8" s="1"/>
  <c r="AC269" i="8" s="1"/>
  <c r="AD269" i="8" s="1"/>
  <c r="AE269" i="8" s="1"/>
  <c r="C5" i="22"/>
  <c r="G20" i="22"/>
  <c r="K23" i="4" s="1"/>
  <c r="E5" i="21"/>
  <c r="AA268" i="8"/>
  <c r="AA267" i="8"/>
  <c r="D6" i="21"/>
  <c r="E6" i="21"/>
  <c r="C6" i="21"/>
  <c r="H105" i="18"/>
  <c r="H106" i="18"/>
  <c r="H107" i="18"/>
  <c r="H103" i="18"/>
  <c r="H81" i="18"/>
  <c r="H82" i="18"/>
  <c r="H83" i="18"/>
  <c r="H80" i="18"/>
  <c r="E19" i="18"/>
  <c r="F19" i="18"/>
  <c r="H64" i="18"/>
  <c r="H61" i="18"/>
  <c r="H112" i="18" s="1"/>
  <c r="H9" i="18" s="1"/>
  <c r="L8" i="1" s="1"/>
  <c r="H39" i="18"/>
  <c r="I34" i="18"/>
  <c r="J34" i="18" s="1"/>
  <c r="K34" i="18" s="1"/>
  <c r="L34" i="18" s="1"/>
  <c r="M34" i="18" s="1"/>
  <c r="N34" i="18" s="1"/>
  <c r="O34" i="18" s="1"/>
  <c r="P34" i="18" s="1"/>
  <c r="Q34" i="18" s="1"/>
  <c r="R34" i="18" s="1"/>
  <c r="S34" i="18" s="1"/>
  <c r="T34" i="18" s="1"/>
  <c r="H33" i="18"/>
  <c r="I33" i="18" s="1"/>
  <c r="J33" i="18" s="1"/>
  <c r="K33" i="18" s="1"/>
  <c r="L33" i="18" s="1"/>
  <c r="M33" i="18" s="1"/>
  <c r="N33" i="18" s="1"/>
  <c r="O33" i="18" s="1"/>
  <c r="P33" i="18" s="1"/>
  <c r="Q33" i="18" s="1"/>
  <c r="R33" i="18" s="1"/>
  <c r="S33" i="18" s="1"/>
  <c r="T33" i="18" s="1"/>
  <c r="G33" i="27" l="1"/>
  <c r="C34" i="27" s="1"/>
  <c r="D33" i="27"/>
  <c r="O93" i="18"/>
  <c r="C21" i="22"/>
  <c r="G21" i="22"/>
  <c r="E20" i="22"/>
  <c r="C14" i="23" s="1"/>
  <c r="C15" i="23" s="1"/>
  <c r="G15" i="23" s="1"/>
  <c r="AB267" i="8"/>
  <c r="H23" i="18"/>
  <c r="H22" i="18" s="1"/>
  <c r="H25" i="18" s="1"/>
  <c r="AA272" i="8"/>
  <c r="F20" i="22"/>
  <c r="F21" i="22" s="1"/>
  <c r="J19" i="4"/>
  <c r="J6" i="3" s="1"/>
  <c r="K6" i="3" s="1"/>
  <c r="D5" i="21"/>
  <c r="C5" i="21"/>
  <c r="AB268" i="8"/>
  <c r="AA270" i="8"/>
  <c r="H3" i="18"/>
  <c r="F33" i="27" l="1"/>
  <c r="D34" i="27"/>
  <c r="F34" i="27" s="1"/>
  <c r="G34" i="27"/>
  <c r="C35" i="27" s="1"/>
  <c r="E21" i="22"/>
  <c r="P93" i="18"/>
  <c r="AC267" i="8"/>
  <c r="AB274" i="8"/>
  <c r="I23" i="18" s="1"/>
  <c r="I22" i="18" s="1"/>
  <c r="C16" i="23"/>
  <c r="D16" i="23" s="1"/>
  <c r="F6" i="21"/>
  <c r="C20" i="22"/>
  <c r="J5" i="23" s="1"/>
  <c r="E16" i="23" s="1"/>
  <c r="AC268" i="8"/>
  <c r="I3" i="18"/>
  <c r="AB272" i="8"/>
  <c r="D35" i="27" l="1"/>
  <c r="F35" i="27" s="1"/>
  <c r="G35" i="27"/>
  <c r="C36" i="27" s="1"/>
  <c r="Q93" i="18"/>
  <c r="AC274" i="8"/>
  <c r="J23" i="18" s="1"/>
  <c r="J22" i="18" s="1"/>
  <c r="AD267" i="8"/>
  <c r="E188" i="23"/>
  <c r="E48" i="23"/>
  <c r="E30" i="23"/>
  <c r="E115" i="23"/>
  <c r="E41" i="23"/>
  <c r="E132" i="23"/>
  <c r="E43" i="23"/>
  <c r="E78" i="23"/>
  <c r="E161" i="23"/>
  <c r="E108" i="23"/>
  <c r="E55" i="23"/>
  <c r="E186" i="23"/>
  <c r="E159" i="23"/>
  <c r="E125" i="23"/>
  <c r="E90" i="23"/>
  <c r="E180" i="23"/>
  <c r="E154" i="23"/>
  <c r="E190" i="23"/>
  <c r="E155" i="23"/>
  <c r="E120" i="23"/>
  <c r="E94" i="23"/>
  <c r="E195" i="23"/>
  <c r="E136" i="23"/>
  <c r="E79" i="23"/>
  <c r="E53" i="23"/>
  <c r="E192" i="23"/>
  <c r="E148" i="23"/>
  <c r="E93" i="23"/>
  <c r="E73" i="23"/>
  <c r="E191" i="23"/>
  <c r="E135" i="23"/>
  <c r="E92" i="23"/>
  <c r="E182" i="23"/>
  <c r="E166" i="23"/>
  <c r="E139" i="23"/>
  <c r="E62" i="23"/>
  <c r="E23" i="23"/>
  <c r="E105" i="23"/>
  <c r="E51" i="23"/>
  <c r="E152" i="23"/>
  <c r="E70" i="23"/>
  <c r="E118" i="23"/>
  <c r="E31" i="23"/>
  <c r="E110" i="23"/>
  <c r="E63" i="23"/>
  <c r="E157" i="23"/>
  <c r="E183" i="23"/>
  <c r="E76" i="23"/>
  <c r="E39" i="23"/>
  <c r="E106" i="23"/>
  <c r="E29" i="23"/>
  <c r="E66" i="23"/>
  <c r="E20" i="23"/>
  <c r="E22" i="23"/>
  <c r="E117" i="23"/>
  <c r="E177" i="23"/>
  <c r="E151" i="23"/>
  <c r="E116" i="23"/>
  <c r="E81" i="23"/>
  <c r="E172" i="23"/>
  <c r="E145" i="23"/>
  <c r="E181" i="23"/>
  <c r="E146" i="23"/>
  <c r="E112" i="23"/>
  <c r="E85" i="23"/>
  <c r="E175" i="23"/>
  <c r="E134" i="23"/>
  <c r="E71" i="23"/>
  <c r="E44" i="23"/>
  <c r="E187" i="23"/>
  <c r="E131" i="23"/>
  <c r="E91" i="23"/>
  <c r="E65" i="23"/>
  <c r="E176" i="23"/>
  <c r="E130" i="23"/>
  <c r="E84" i="23"/>
  <c r="E178" i="23"/>
  <c r="E162" i="23"/>
  <c r="E127" i="23"/>
  <c r="E60" i="23"/>
  <c r="E193" i="23"/>
  <c r="E99" i="23"/>
  <c r="E49" i="23"/>
  <c r="E24" i="23"/>
  <c r="E87" i="23"/>
  <c r="E179" i="23"/>
  <c r="E36" i="23"/>
  <c r="E114" i="23"/>
  <c r="E21" i="23"/>
  <c r="E45" i="23"/>
  <c r="E52" i="23"/>
  <c r="E167" i="23"/>
  <c r="E57" i="23"/>
  <c r="E25" i="23"/>
  <c r="E80" i="23"/>
  <c r="E104" i="23"/>
  <c r="E50" i="23"/>
  <c r="E38" i="23"/>
  <c r="E40" i="23"/>
  <c r="E140" i="23"/>
  <c r="E168" i="23"/>
  <c r="E142" i="23"/>
  <c r="E107" i="23"/>
  <c r="E72" i="23"/>
  <c r="E171" i="23"/>
  <c r="E137" i="23"/>
  <c r="E173" i="23"/>
  <c r="E138" i="23"/>
  <c r="E111" i="23"/>
  <c r="E77" i="23"/>
  <c r="E156" i="23"/>
  <c r="E122" i="23"/>
  <c r="E69" i="23"/>
  <c r="E35" i="23"/>
  <c r="E158" i="23"/>
  <c r="E126" i="23"/>
  <c r="E83" i="23"/>
  <c r="E56" i="23"/>
  <c r="E169" i="23"/>
  <c r="E102" i="23"/>
  <c r="E82" i="23"/>
  <c r="E174" i="23"/>
  <c r="E150" i="23"/>
  <c r="E113" i="23"/>
  <c r="E58" i="23"/>
  <c r="E185" i="23"/>
  <c r="E86" i="23"/>
  <c r="E34" i="23"/>
  <c r="E28" i="23"/>
  <c r="E96" i="23"/>
  <c r="E59" i="23"/>
  <c r="E119" i="23"/>
  <c r="E32" i="23"/>
  <c r="E143" i="23"/>
  <c r="E64" i="23"/>
  <c r="E121" i="23"/>
  <c r="E54" i="23"/>
  <c r="E27" i="23"/>
  <c r="E46" i="23"/>
  <c r="E95" i="23"/>
  <c r="E184" i="23"/>
  <c r="E124" i="23"/>
  <c r="E17" i="23"/>
  <c r="E194" i="23"/>
  <c r="E160" i="23"/>
  <c r="E133" i="23"/>
  <c r="E98" i="23"/>
  <c r="E189" i="23"/>
  <c r="E163" i="23"/>
  <c r="E128" i="23"/>
  <c r="E164" i="23"/>
  <c r="E129" i="23"/>
  <c r="E103" i="23"/>
  <c r="E68" i="23"/>
  <c r="E141" i="23"/>
  <c r="E89" i="23"/>
  <c r="E61" i="23"/>
  <c r="E26" i="23"/>
  <c r="E153" i="23"/>
  <c r="E101" i="23"/>
  <c r="E75" i="23"/>
  <c r="E47" i="23"/>
  <c r="E149" i="23"/>
  <c r="E100" i="23"/>
  <c r="E74" i="23"/>
  <c r="E170" i="23"/>
  <c r="E147" i="23"/>
  <c r="E97" i="23"/>
  <c r="E33" i="23"/>
  <c r="E123" i="23"/>
  <c r="E67" i="23"/>
  <c r="E19" i="23"/>
  <c r="E42" i="23"/>
  <c r="E109" i="23"/>
  <c r="E18" i="23"/>
  <c r="E88" i="23"/>
  <c r="E144" i="23"/>
  <c r="E37" i="23"/>
  <c r="E165" i="23"/>
  <c r="AD268" i="8"/>
  <c r="AC272" i="8"/>
  <c r="J3" i="18"/>
  <c r="AC270" i="8"/>
  <c r="P41" i="18"/>
  <c r="P42" i="18" s="1"/>
  <c r="O41" i="18"/>
  <c r="M41" i="18"/>
  <c r="H41" i="18"/>
  <c r="H42" i="18" s="1"/>
  <c r="T41" i="18"/>
  <c r="S41" i="18"/>
  <c r="S42" i="18" s="1"/>
  <c r="R41" i="18"/>
  <c r="R42" i="18" s="1"/>
  <c r="Q41" i="18"/>
  <c r="N41" i="18"/>
  <c r="L41" i="18"/>
  <c r="L42" i="18" s="1"/>
  <c r="K41" i="18"/>
  <c r="K42" i="18" s="1"/>
  <c r="J41" i="18"/>
  <c r="J42" i="18" s="1"/>
  <c r="I41" i="18"/>
  <c r="T35" i="18"/>
  <c r="T36" i="18" s="1"/>
  <c r="S35" i="18"/>
  <c r="S36" i="18" s="1"/>
  <c r="R35" i="18"/>
  <c r="R36" i="18" s="1"/>
  <c r="Q35" i="18"/>
  <c r="Q36" i="18" s="1"/>
  <c r="P35" i="18"/>
  <c r="P36" i="18" s="1"/>
  <c r="O35" i="18"/>
  <c r="O36" i="18" s="1"/>
  <c r="N35" i="18"/>
  <c r="N36" i="18" s="1"/>
  <c r="M35" i="18"/>
  <c r="M36" i="18" s="1"/>
  <c r="L35" i="18"/>
  <c r="L36" i="18" s="1"/>
  <c r="K35" i="18"/>
  <c r="K36" i="18" s="1"/>
  <c r="J35" i="18"/>
  <c r="J36" i="18" s="1"/>
  <c r="I35" i="18"/>
  <c r="I36" i="18" s="1"/>
  <c r="H35" i="18"/>
  <c r="H36" i="18" s="1"/>
  <c r="G4" i="18"/>
  <c r="E7" i="21" s="1"/>
  <c r="E8" i="21" s="1"/>
  <c r="F4" i="18"/>
  <c r="D7" i="21" s="1"/>
  <c r="D8" i="21" s="1"/>
  <c r="E4" i="18"/>
  <c r="C7" i="21" s="1"/>
  <c r="C8" i="21" s="1"/>
  <c r="G3" i="18"/>
  <c r="F3" i="18"/>
  <c r="E3" i="18"/>
  <c r="D36" i="27" l="1"/>
  <c r="F36" i="27" s="1"/>
  <c r="G36" i="27"/>
  <c r="C37" i="27" s="1"/>
  <c r="H8" i="18"/>
  <c r="I100" i="18"/>
  <c r="J100" i="18" s="1"/>
  <c r="K100" i="18" s="1"/>
  <c r="L100" i="18" s="1"/>
  <c r="M100" i="18" s="1"/>
  <c r="N100" i="18" s="1"/>
  <c r="O100" i="18" s="1"/>
  <c r="P100" i="18" s="1"/>
  <c r="Q100" i="18" s="1"/>
  <c r="R100" i="18" s="1"/>
  <c r="S100" i="18" s="1"/>
  <c r="T100" i="18" s="1"/>
  <c r="J44" i="18"/>
  <c r="K44" i="18" s="1"/>
  <c r="L44" i="18" s="1"/>
  <c r="M44" i="18" s="1"/>
  <c r="N44" i="18" s="1"/>
  <c r="O44" i="18" s="1"/>
  <c r="P44" i="18" s="1"/>
  <c r="Q44" i="18" s="1"/>
  <c r="R44" i="18" s="1"/>
  <c r="S44" i="18" s="1"/>
  <c r="T44" i="18" s="1"/>
  <c r="I46" i="18"/>
  <c r="J46" i="18" s="1"/>
  <c r="K46" i="18" s="1"/>
  <c r="L46" i="18" s="1"/>
  <c r="I98" i="18"/>
  <c r="J98" i="18" s="1"/>
  <c r="K98" i="18" s="1"/>
  <c r="L98" i="18" s="1"/>
  <c r="M98" i="18" s="1"/>
  <c r="N98" i="18" s="1"/>
  <c r="O98" i="18" s="1"/>
  <c r="P98" i="18" s="1"/>
  <c r="Q98" i="18" s="1"/>
  <c r="R98" i="18" s="1"/>
  <c r="S98" i="18" s="1"/>
  <c r="T98" i="18" s="1"/>
  <c r="I101" i="18"/>
  <c r="K48" i="18"/>
  <c r="L48" i="18" s="1"/>
  <c r="M48" i="18" s="1"/>
  <c r="N48" i="18" s="1"/>
  <c r="O48" i="18" s="1"/>
  <c r="P48" i="18" s="1"/>
  <c r="Q48" i="18" s="1"/>
  <c r="R48" i="18" s="1"/>
  <c r="S48" i="18" s="1"/>
  <c r="T48" i="18" s="1"/>
  <c r="I56" i="18"/>
  <c r="I75" i="18"/>
  <c r="J75" i="18" s="1"/>
  <c r="K75" i="18" s="1"/>
  <c r="L75" i="18" s="1"/>
  <c r="M75" i="18" s="1"/>
  <c r="N75" i="18" s="1"/>
  <c r="O75" i="18" s="1"/>
  <c r="P75" i="18" s="1"/>
  <c r="Q75" i="18" s="1"/>
  <c r="R75" i="18" s="1"/>
  <c r="S75" i="18" s="1"/>
  <c r="T75" i="18" s="1"/>
  <c r="I57" i="18"/>
  <c r="I96" i="18"/>
  <c r="J96" i="18" s="1"/>
  <c r="K96" i="18" s="1"/>
  <c r="L96" i="18" s="1"/>
  <c r="M96" i="18" s="1"/>
  <c r="N96" i="18" s="1"/>
  <c r="O96" i="18" s="1"/>
  <c r="P96" i="18" s="1"/>
  <c r="Q96" i="18" s="1"/>
  <c r="R96" i="18" s="1"/>
  <c r="S96" i="18" s="1"/>
  <c r="T96" i="18" s="1"/>
  <c r="I77" i="18"/>
  <c r="J77" i="18" s="1"/>
  <c r="K77" i="18" s="1"/>
  <c r="L77" i="18" s="1"/>
  <c r="M77" i="18" s="1"/>
  <c r="N77" i="18" s="1"/>
  <c r="O77" i="18" s="1"/>
  <c r="P77" i="18" s="1"/>
  <c r="Q77" i="18" s="1"/>
  <c r="R77" i="18" s="1"/>
  <c r="S77" i="18" s="1"/>
  <c r="T77" i="18" s="1"/>
  <c r="J45" i="18"/>
  <c r="K45" i="18" s="1"/>
  <c r="R93" i="18"/>
  <c r="AD274" i="8"/>
  <c r="K23" i="18" s="1"/>
  <c r="K22" i="18" s="1"/>
  <c r="AE267" i="8"/>
  <c r="J63" i="23"/>
  <c r="J195" i="23"/>
  <c r="J135" i="23"/>
  <c r="J51" i="23"/>
  <c r="J159" i="23"/>
  <c r="J99" i="23"/>
  <c r="J111" i="23"/>
  <c r="J39" i="23"/>
  <c r="G16" i="23"/>
  <c r="C17" i="23" s="1"/>
  <c r="E196" i="23"/>
  <c r="J27" i="23"/>
  <c r="J147" i="23"/>
  <c r="J171" i="23"/>
  <c r="J75" i="23"/>
  <c r="J123" i="23"/>
  <c r="J183" i="23"/>
  <c r="J87" i="23"/>
  <c r="F16" i="23"/>
  <c r="AE268" i="8"/>
  <c r="K3" i="18"/>
  <c r="AD272" i="8"/>
  <c r="AD270" i="8"/>
  <c r="F25" i="18"/>
  <c r="G25" i="18"/>
  <c r="T42" i="18"/>
  <c r="T8" i="18" s="1"/>
  <c r="M42" i="18"/>
  <c r="M8" i="18" s="1"/>
  <c r="P8" i="18"/>
  <c r="L8" i="18"/>
  <c r="J8" i="18"/>
  <c r="R8" i="18"/>
  <c r="K8" i="18"/>
  <c r="I42" i="18"/>
  <c r="I8" i="18" s="1"/>
  <c r="Q42" i="18"/>
  <c r="Q8" i="18" s="1"/>
  <c r="E25" i="18"/>
  <c r="N42" i="18"/>
  <c r="N8" i="18" s="1"/>
  <c r="O42" i="18"/>
  <c r="O8" i="18" s="1"/>
  <c r="E15" i="18"/>
  <c r="S8" i="18"/>
  <c r="G37" i="27" l="1"/>
  <c r="C38" i="27" s="1"/>
  <c r="D37" i="27"/>
  <c r="F37" i="27" s="1"/>
  <c r="I83" i="18"/>
  <c r="J56" i="18"/>
  <c r="K56" i="18" s="1"/>
  <c r="L56" i="18" s="1"/>
  <c r="J6" i="18"/>
  <c r="L45" i="18"/>
  <c r="M45" i="18" s="1"/>
  <c r="N45" i="18" s="1"/>
  <c r="O45" i="18" s="1"/>
  <c r="P45" i="18" s="1"/>
  <c r="Q45" i="18" s="1"/>
  <c r="R45" i="18" s="1"/>
  <c r="S45" i="18" s="1"/>
  <c r="T45" i="18" s="1"/>
  <c r="M46" i="18"/>
  <c r="L47" i="18"/>
  <c r="I6" i="18"/>
  <c r="J57" i="18"/>
  <c r="J101" i="18"/>
  <c r="I109" i="18"/>
  <c r="AE274" i="8"/>
  <c r="L23" i="18" s="1"/>
  <c r="L22" i="18" s="1"/>
  <c r="S93" i="18"/>
  <c r="G17" i="23"/>
  <c r="C18" i="23" s="1"/>
  <c r="D17" i="23"/>
  <c r="F17" i="23" s="1"/>
  <c r="I103" i="18"/>
  <c r="I107" i="18"/>
  <c r="I64" i="18"/>
  <c r="I82" i="18"/>
  <c r="I61" i="18"/>
  <c r="I80" i="18"/>
  <c r="I106" i="18"/>
  <c r="I63" i="18"/>
  <c r="I81" i="18"/>
  <c r="I105" i="18"/>
  <c r="AE272" i="8"/>
  <c r="AE270" i="8"/>
  <c r="L3" i="18"/>
  <c r="K6" i="18"/>
  <c r="E26" i="18"/>
  <c r="I20" i="5"/>
  <c r="J20" i="5" s="1"/>
  <c r="K20" i="5" s="1"/>
  <c r="L20" i="5" s="1"/>
  <c r="M20" i="5" s="1"/>
  <c r="N20" i="5" s="1"/>
  <c r="O20" i="5" s="1"/>
  <c r="P20" i="5" s="1"/>
  <c r="Q20" i="5" s="1"/>
  <c r="R20" i="5" s="1"/>
  <c r="S20" i="5" s="1"/>
  <c r="T20" i="5" s="1"/>
  <c r="G38" i="27" l="1"/>
  <c r="C39" i="27" s="1"/>
  <c r="D38" i="27"/>
  <c r="F38" i="27" s="1"/>
  <c r="M56" i="18"/>
  <c r="N56" i="18" s="1"/>
  <c r="O56" i="18" s="1"/>
  <c r="P56" i="18" s="1"/>
  <c r="Q56" i="18" s="1"/>
  <c r="R56" i="18" s="1"/>
  <c r="S56" i="18" s="1"/>
  <c r="T56" i="18" s="1"/>
  <c r="I112" i="18"/>
  <c r="I9" i="18" s="1"/>
  <c r="N46" i="18"/>
  <c r="M47" i="18"/>
  <c r="K101" i="18"/>
  <c r="J109" i="18"/>
  <c r="K57" i="18"/>
  <c r="I113" i="18"/>
  <c r="I16" i="18" s="1"/>
  <c r="I21" i="5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T19" i="5" s="1"/>
  <c r="T93" i="18"/>
  <c r="G18" i="23"/>
  <c r="C19" i="23" s="1"/>
  <c r="D18" i="23"/>
  <c r="F18" i="23" s="1"/>
  <c r="J81" i="18"/>
  <c r="J63" i="18"/>
  <c r="J64" i="18"/>
  <c r="J105" i="18"/>
  <c r="J82" i="18"/>
  <c r="J83" i="18"/>
  <c r="J80" i="18"/>
  <c r="J103" i="18"/>
  <c r="J106" i="18"/>
  <c r="J61" i="18"/>
  <c r="J107" i="18"/>
  <c r="L6" i="18"/>
  <c r="E27" i="18"/>
  <c r="E28" i="18" s="1"/>
  <c r="E29" i="18" s="1"/>
  <c r="H39" i="5"/>
  <c r="I35" i="5"/>
  <c r="I36" i="5" s="1"/>
  <c r="J35" i="5"/>
  <c r="J36" i="5" s="1"/>
  <c r="K35" i="5"/>
  <c r="K36" i="5" s="1"/>
  <c r="L35" i="5"/>
  <c r="L36" i="5" s="1"/>
  <c r="M35" i="5"/>
  <c r="M36" i="5" s="1"/>
  <c r="N35" i="5"/>
  <c r="N36" i="5" s="1"/>
  <c r="O35" i="5"/>
  <c r="O36" i="5" s="1"/>
  <c r="P35" i="5"/>
  <c r="P36" i="5" s="1"/>
  <c r="Q35" i="5"/>
  <c r="Q36" i="5" s="1"/>
  <c r="R35" i="5"/>
  <c r="R36" i="5" s="1"/>
  <c r="S35" i="5"/>
  <c r="S36" i="5" s="1"/>
  <c r="T35" i="5"/>
  <c r="T36" i="5" s="1"/>
  <c r="H35" i="5"/>
  <c r="F4" i="5"/>
  <c r="G4" i="5"/>
  <c r="E4" i="5"/>
  <c r="F19" i="5"/>
  <c r="G19" i="5"/>
  <c r="H19" i="5"/>
  <c r="E19" i="5"/>
  <c r="F16" i="5"/>
  <c r="G16" i="5"/>
  <c r="F6" i="25"/>
  <c r="E16" i="5"/>
  <c r="T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E3" i="5"/>
  <c r="T22" i="5"/>
  <c r="T23" i="5" s="1"/>
  <c r="L23" i="4"/>
  <c r="M15" i="4"/>
  <c r="N15" i="4"/>
  <c r="L23" i="5"/>
  <c r="I27" i="4"/>
  <c r="EQ59" i="6"/>
  <c r="EI12" i="6"/>
  <c r="D39" i="27" l="1"/>
  <c r="G39" i="27"/>
  <c r="L101" i="18"/>
  <c r="K109" i="18"/>
  <c r="J112" i="18"/>
  <c r="J9" i="18" s="1"/>
  <c r="L57" i="18"/>
  <c r="O46" i="18"/>
  <c r="N47" i="18"/>
  <c r="J113" i="18"/>
  <c r="J16" i="18" s="1"/>
  <c r="J16" i="5"/>
  <c r="H6" i="25" s="1"/>
  <c r="I16" i="5"/>
  <c r="G6" i="25" s="1"/>
  <c r="I60" i="5"/>
  <c r="I9" i="5" s="1"/>
  <c r="M8" i="1" s="1"/>
  <c r="I19" i="5"/>
  <c r="E25" i="5"/>
  <c r="O19" i="5"/>
  <c r="P19" i="5"/>
  <c r="N19" i="5"/>
  <c r="M19" i="5"/>
  <c r="H41" i="5"/>
  <c r="H42" i="5" s="1"/>
  <c r="H8" i="5" s="1"/>
  <c r="I59" i="5"/>
  <c r="L19" i="5"/>
  <c r="I61" i="5"/>
  <c r="I7" i="5" s="1"/>
  <c r="S19" i="5"/>
  <c r="K19" i="5"/>
  <c r="R19" i="5"/>
  <c r="J19" i="5"/>
  <c r="Q19" i="5"/>
  <c r="I6" i="5"/>
  <c r="M6" i="1" s="1"/>
  <c r="D19" i="23"/>
  <c r="F19" i="23" s="1"/>
  <c r="G19" i="23"/>
  <c r="C20" i="23" s="1"/>
  <c r="G6" i="21"/>
  <c r="I25" i="18"/>
  <c r="K80" i="18"/>
  <c r="K105" i="18"/>
  <c r="K107" i="18"/>
  <c r="K106" i="18"/>
  <c r="K103" i="18"/>
  <c r="K83" i="18"/>
  <c r="K61" i="18"/>
  <c r="K64" i="18"/>
  <c r="K63" i="18"/>
  <c r="K82" i="18"/>
  <c r="K81" i="18"/>
  <c r="E15" i="5"/>
  <c r="L15" i="4"/>
  <c r="S22" i="5"/>
  <c r="S23" i="5" s="1"/>
  <c r="K23" i="5"/>
  <c r="O23" i="4"/>
  <c r="R22" i="5"/>
  <c r="R23" i="5" s="1"/>
  <c r="J23" i="5"/>
  <c r="N23" i="4"/>
  <c r="O15" i="4"/>
  <c r="Q23" i="5"/>
  <c r="I23" i="5"/>
  <c r="M23" i="4"/>
  <c r="P23" i="5"/>
  <c r="O23" i="5"/>
  <c r="N23" i="5"/>
  <c r="M23" i="5"/>
  <c r="M6" i="18"/>
  <c r="K6" i="5"/>
  <c r="O6" i="1" s="1"/>
  <c r="J6" i="5"/>
  <c r="N6" i="1" s="1"/>
  <c r="F25" i="5"/>
  <c r="G25" i="5"/>
  <c r="FQ59" i="6"/>
  <c r="FQ58" i="6"/>
  <c r="FD58" i="6"/>
  <c r="EQ58" i="6"/>
  <c r="ED59" i="6"/>
  <c r="ED58" i="6"/>
  <c r="DQ59" i="6"/>
  <c r="DQ58" i="6"/>
  <c r="DD59" i="6"/>
  <c r="DD58" i="6"/>
  <c r="CQ59" i="6"/>
  <c r="CQ58" i="6"/>
  <c r="CD59" i="6"/>
  <c r="CD58" i="6"/>
  <c r="BQ59" i="6"/>
  <c r="BQ58" i="6"/>
  <c r="FF50" i="6"/>
  <c r="FG50" i="6"/>
  <c r="FH50" i="6"/>
  <c r="FI50" i="6"/>
  <c r="FJ50" i="6"/>
  <c r="FK50" i="6"/>
  <c r="FL50" i="6"/>
  <c r="FM50" i="6"/>
  <c r="FN50" i="6"/>
  <c r="FO50" i="6"/>
  <c r="FP50" i="6"/>
  <c r="FF51" i="6"/>
  <c r="FG51" i="6"/>
  <c r="FH51" i="6"/>
  <c r="FI51" i="6"/>
  <c r="FJ51" i="6"/>
  <c r="FK51" i="6"/>
  <c r="FL51" i="6"/>
  <c r="FM51" i="6"/>
  <c r="FN51" i="6"/>
  <c r="FO51" i="6"/>
  <c r="FP51" i="6"/>
  <c r="FE51" i="6"/>
  <c r="FE50" i="6"/>
  <c r="ES50" i="6"/>
  <c r="ET50" i="6"/>
  <c r="EU50" i="6"/>
  <c r="EV50" i="6"/>
  <c r="EW50" i="6"/>
  <c r="EX50" i="6"/>
  <c r="EY50" i="6"/>
  <c r="EZ50" i="6"/>
  <c r="FA50" i="6"/>
  <c r="FB50" i="6"/>
  <c r="FC50" i="6"/>
  <c r="ES51" i="6"/>
  <c r="ET51" i="6"/>
  <c r="EU51" i="6"/>
  <c r="EV51" i="6"/>
  <c r="EW51" i="6"/>
  <c r="EX51" i="6"/>
  <c r="EY51" i="6"/>
  <c r="EZ51" i="6"/>
  <c r="FA51" i="6"/>
  <c r="FB51" i="6"/>
  <c r="FC51" i="6"/>
  <c r="ER51" i="6"/>
  <c r="ER50" i="6"/>
  <c r="EF50" i="6"/>
  <c r="EG50" i="6"/>
  <c r="EH50" i="6"/>
  <c r="EI50" i="6"/>
  <c r="EJ50" i="6"/>
  <c r="EK50" i="6"/>
  <c r="EL50" i="6"/>
  <c r="EM50" i="6"/>
  <c r="EN50" i="6"/>
  <c r="EO50" i="6"/>
  <c r="EP50" i="6"/>
  <c r="EF51" i="6"/>
  <c r="EG51" i="6"/>
  <c r="EH51" i="6"/>
  <c r="EI51" i="6"/>
  <c r="EJ51" i="6"/>
  <c r="EK51" i="6"/>
  <c r="EL51" i="6"/>
  <c r="EM51" i="6"/>
  <c r="EN51" i="6"/>
  <c r="EO51" i="6"/>
  <c r="EP51" i="6"/>
  <c r="EE51" i="6"/>
  <c r="EE50" i="6"/>
  <c r="DS50" i="6"/>
  <c r="DT50" i="6"/>
  <c r="DU50" i="6"/>
  <c r="DV50" i="6"/>
  <c r="DW50" i="6"/>
  <c r="DX50" i="6"/>
  <c r="DY50" i="6"/>
  <c r="DZ50" i="6"/>
  <c r="EA50" i="6"/>
  <c r="EB50" i="6"/>
  <c r="EC50" i="6"/>
  <c r="DS51" i="6"/>
  <c r="DT51" i="6"/>
  <c r="DU51" i="6"/>
  <c r="DV51" i="6"/>
  <c r="DW51" i="6"/>
  <c r="DX51" i="6"/>
  <c r="DY51" i="6"/>
  <c r="DZ51" i="6"/>
  <c r="EA51" i="6"/>
  <c r="EB51" i="6"/>
  <c r="EC51" i="6"/>
  <c r="DR51" i="6"/>
  <c r="DR50" i="6"/>
  <c r="DF50" i="6"/>
  <c r="DG50" i="6"/>
  <c r="DH50" i="6"/>
  <c r="DI50" i="6"/>
  <c r="DJ50" i="6"/>
  <c r="DK50" i="6"/>
  <c r="DL50" i="6"/>
  <c r="DM50" i="6"/>
  <c r="DN50" i="6"/>
  <c r="DO50" i="6"/>
  <c r="DP50" i="6"/>
  <c r="DF51" i="6"/>
  <c r="DG51" i="6"/>
  <c r="DH51" i="6"/>
  <c r="DI51" i="6"/>
  <c r="DJ51" i="6"/>
  <c r="DK51" i="6"/>
  <c r="DL51" i="6"/>
  <c r="DM51" i="6"/>
  <c r="DN51" i="6"/>
  <c r="DO51" i="6"/>
  <c r="DP51" i="6"/>
  <c r="DE51" i="6"/>
  <c r="DE50" i="6"/>
  <c r="CS50" i="6"/>
  <c r="CT50" i="6"/>
  <c r="CU50" i="6"/>
  <c r="CV50" i="6"/>
  <c r="CW50" i="6"/>
  <c r="CX50" i="6"/>
  <c r="CY50" i="6"/>
  <c r="CZ50" i="6"/>
  <c r="DA50" i="6"/>
  <c r="DB50" i="6"/>
  <c r="DC50" i="6"/>
  <c r="CS51" i="6"/>
  <c r="CT51" i="6"/>
  <c r="CU51" i="6"/>
  <c r="CV51" i="6"/>
  <c r="CW51" i="6"/>
  <c r="CX51" i="6"/>
  <c r="CY51" i="6"/>
  <c r="CZ51" i="6"/>
  <c r="DA51" i="6"/>
  <c r="DB51" i="6"/>
  <c r="DC51" i="6"/>
  <c r="CR51" i="6"/>
  <c r="CR50" i="6"/>
  <c r="CF50" i="6"/>
  <c r="CG50" i="6"/>
  <c r="CH50" i="6"/>
  <c r="CI50" i="6"/>
  <c r="CJ50" i="6"/>
  <c r="CK50" i="6"/>
  <c r="CL50" i="6"/>
  <c r="CM50" i="6"/>
  <c r="CN50" i="6"/>
  <c r="CO50" i="6"/>
  <c r="CP50" i="6"/>
  <c r="CF51" i="6"/>
  <c r="CG51" i="6"/>
  <c r="CH51" i="6"/>
  <c r="CI51" i="6"/>
  <c r="CJ51" i="6"/>
  <c r="CK51" i="6"/>
  <c r="CL51" i="6"/>
  <c r="CM51" i="6"/>
  <c r="CN51" i="6"/>
  <c r="CO51" i="6"/>
  <c r="CP51" i="6"/>
  <c r="CE51" i="6"/>
  <c r="CE50" i="6"/>
  <c r="BS50" i="6"/>
  <c r="BT50" i="6"/>
  <c r="BU50" i="6"/>
  <c r="BV50" i="6"/>
  <c r="BW50" i="6"/>
  <c r="BX50" i="6"/>
  <c r="BY50" i="6"/>
  <c r="BZ50" i="6"/>
  <c r="CA50" i="6"/>
  <c r="CB50" i="6"/>
  <c r="CC50" i="6"/>
  <c r="BS51" i="6"/>
  <c r="BT51" i="6"/>
  <c r="BU51" i="6"/>
  <c r="BV51" i="6"/>
  <c r="BW51" i="6"/>
  <c r="BX51" i="6"/>
  <c r="BY51" i="6"/>
  <c r="BZ51" i="6"/>
  <c r="CA51" i="6"/>
  <c r="CB51" i="6"/>
  <c r="CC51" i="6"/>
  <c r="BR51" i="6"/>
  <c r="BR50" i="6"/>
  <c r="BF50" i="6"/>
  <c r="BG50" i="6"/>
  <c r="BH50" i="6"/>
  <c r="BI50" i="6"/>
  <c r="BJ50" i="6"/>
  <c r="BK50" i="6"/>
  <c r="BL50" i="6"/>
  <c r="BM50" i="6"/>
  <c r="BN50" i="6"/>
  <c r="BO50" i="6"/>
  <c r="BP50" i="6"/>
  <c r="BF51" i="6"/>
  <c r="BG51" i="6"/>
  <c r="BH51" i="6"/>
  <c r="BI51" i="6"/>
  <c r="BJ51" i="6"/>
  <c r="BK51" i="6"/>
  <c r="BL51" i="6"/>
  <c r="BM51" i="6"/>
  <c r="BN51" i="6"/>
  <c r="BO51" i="6"/>
  <c r="BP51" i="6"/>
  <c r="BE51" i="6"/>
  <c r="BE50" i="6"/>
  <c r="AS50" i="6"/>
  <c r="AT50" i="6"/>
  <c r="AU50" i="6"/>
  <c r="AV50" i="6"/>
  <c r="AW50" i="6"/>
  <c r="AX50" i="6"/>
  <c r="AY50" i="6"/>
  <c r="AZ50" i="6"/>
  <c r="BA50" i="6"/>
  <c r="BB50" i="6"/>
  <c r="BC50" i="6"/>
  <c r="AS51" i="6"/>
  <c r="AT51" i="6"/>
  <c r="AU51" i="6"/>
  <c r="AV51" i="6"/>
  <c r="AW51" i="6"/>
  <c r="BD59" i="6" s="1"/>
  <c r="AX51" i="6"/>
  <c r="AY51" i="6"/>
  <c r="AZ51" i="6"/>
  <c r="BA51" i="6"/>
  <c r="BB51" i="6"/>
  <c r="BC51" i="6"/>
  <c r="AR51" i="6"/>
  <c r="AR50" i="6"/>
  <c r="FQ50" i="6"/>
  <c r="FD50" i="6"/>
  <c r="EQ50" i="6"/>
  <c r="ED51" i="6"/>
  <c r="ED50" i="6"/>
  <c r="DQ51" i="6"/>
  <c r="DQ50" i="6"/>
  <c r="DD51" i="6"/>
  <c r="DD50" i="6"/>
  <c r="CQ51" i="6"/>
  <c r="CQ50" i="6"/>
  <c r="CD51" i="6"/>
  <c r="CD50" i="6"/>
  <c r="BQ51" i="6"/>
  <c r="BQ50" i="6"/>
  <c r="BD51" i="6"/>
  <c r="BD50" i="6"/>
  <c r="AQ50" i="6"/>
  <c r="AQ51" i="6"/>
  <c r="BD58" i="6"/>
  <c r="AQ59" i="6"/>
  <c r="AQ58" i="6"/>
  <c r="AF50" i="6"/>
  <c r="AG50" i="6"/>
  <c r="AH50" i="6"/>
  <c r="AI50" i="6"/>
  <c r="AJ50" i="6"/>
  <c r="AK50" i="6"/>
  <c r="AL50" i="6"/>
  <c r="AM50" i="6"/>
  <c r="AN50" i="6"/>
  <c r="AO50" i="6"/>
  <c r="AP50" i="6"/>
  <c r="AF51" i="6"/>
  <c r="AG51" i="6"/>
  <c r="AH51" i="6"/>
  <c r="AI51" i="6"/>
  <c r="AJ51" i="6"/>
  <c r="AK51" i="6"/>
  <c r="AL51" i="6"/>
  <c r="AM51" i="6"/>
  <c r="AN51" i="6"/>
  <c r="AO51" i="6"/>
  <c r="AP51" i="6"/>
  <c r="AE51" i="6"/>
  <c r="AE50" i="6"/>
  <c r="AD59" i="6"/>
  <c r="AD58" i="6"/>
  <c r="S51" i="6"/>
  <c r="T51" i="6"/>
  <c r="U51" i="6"/>
  <c r="V51" i="6"/>
  <c r="W51" i="6"/>
  <c r="X51" i="6"/>
  <c r="Y51" i="6"/>
  <c r="Z51" i="6"/>
  <c r="AA51" i="6"/>
  <c r="AB51" i="6"/>
  <c r="AC51" i="6"/>
  <c r="R51" i="6"/>
  <c r="Q51" i="6"/>
  <c r="S50" i="6"/>
  <c r="T50" i="6"/>
  <c r="U50" i="6"/>
  <c r="V50" i="6"/>
  <c r="W50" i="6"/>
  <c r="X50" i="6"/>
  <c r="Y50" i="6"/>
  <c r="Z50" i="6"/>
  <c r="AA50" i="6"/>
  <c r="AB50" i="6"/>
  <c r="AC50" i="6"/>
  <c r="R50" i="6"/>
  <c r="AD51" i="6"/>
  <c r="AD50" i="6"/>
  <c r="Q50" i="6"/>
  <c r="L30" i="4"/>
  <c r="K30" i="4"/>
  <c r="J30" i="4"/>
  <c r="G80" i="7"/>
  <c r="BW92" i="7"/>
  <c r="BW91" i="7"/>
  <c r="BW89" i="7"/>
  <c r="BW88" i="7"/>
  <c r="BL92" i="7"/>
  <c r="BL91" i="7"/>
  <c r="BL89" i="7"/>
  <c r="BL88" i="7"/>
  <c r="AZ92" i="7"/>
  <c r="AZ91" i="7"/>
  <c r="AZ89" i="7"/>
  <c r="AZ88" i="7"/>
  <c r="AN92" i="7"/>
  <c r="AN91" i="7"/>
  <c r="AN89" i="7"/>
  <c r="AN88" i="7"/>
  <c r="AB92" i="7"/>
  <c r="AB91" i="7"/>
  <c r="AB89" i="7"/>
  <c r="AB88" i="7"/>
  <c r="R85" i="7"/>
  <c r="S85" i="7"/>
  <c r="T85" i="7"/>
  <c r="U85" i="7"/>
  <c r="V85" i="7"/>
  <c r="W85" i="7"/>
  <c r="X85" i="7"/>
  <c r="Y85" i="7"/>
  <c r="Z85" i="7"/>
  <c r="AA85" i="7"/>
  <c r="AB85" i="7"/>
  <c r="AC85" i="7"/>
  <c r="AD85" i="7"/>
  <c r="AE85" i="7"/>
  <c r="AF85" i="7"/>
  <c r="AG85" i="7"/>
  <c r="AH85" i="7"/>
  <c r="AI85" i="7"/>
  <c r="AJ85" i="7"/>
  <c r="AK85" i="7"/>
  <c r="AL85" i="7"/>
  <c r="AM85" i="7"/>
  <c r="AN85" i="7"/>
  <c r="Q85" i="7"/>
  <c r="AO82" i="7"/>
  <c r="AP82" i="7"/>
  <c r="AQ82" i="7"/>
  <c r="AR82" i="7"/>
  <c r="AS82" i="7"/>
  <c r="AT82" i="7"/>
  <c r="AU82" i="7"/>
  <c r="AV82" i="7"/>
  <c r="AW82" i="7"/>
  <c r="AX82" i="7"/>
  <c r="AY82" i="7"/>
  <c r="AZ82" i="7"/>
  <c r="BA82" i="7"/>
  <c r="BB82" i="7"/>
  <c r="BC82" i="7"/>
  <c r="BD82" i="7"/>
  <c r="BE82" i="7"/>
  <c r="BF82" i="7"/>
  <c r="BG82" i="7"/>
  <c r="BH82" i="7"/>
  <c r="BI82" i="7"/>
  <c r="BJ82" i="7"/>
  <c r="BK82" i="7"/>
  <c r="BL82" i="7"/>
  <c r="BM82" i="7"/>
  <c r="BN82" i="7"/>
  <c r="BO82" i="7"/>
  <c r="BP82" i="7"/>
  <c r="BQ82" i="7"/>
  <c r="BR82" i="7"/>
  <c r="BS82" i="7"/>
  <c r="BT82" i="7"/>
  <c r="BU82" i="7"/>
  <c r="BV82" i="7"/>
  <c r="BW82" i="7"/>
  <c r="AO83" i="7"/>
  <c r="AP83" i="7"/>
  <c r="AQ83" i="7"/>
  <c r="AR83" i="7"/>
  <c r="AS83" i="7"/>
  <c r="AT83" i="7"/>
  <c r="AU83" i="7"/>
  <c r="AV83" i="7"/>
  <c r="AW83" i="7"/>
  <c r="AX83" i="7"/>
  <c r="AY83" i="7"/>
  <c r="AZ83" i="7"/>
  <c r="BA83" i="7"/>
  <c r="BB83" i="7"/>
  <c r="BC83" i="7"/>
  <c r="BD83" i="7"/>
  <c r="BE83" i="7"/>
  <c r="BF83" i="7"/>
  <c r="BG83" i="7"/>
  <c r="BH83" i="7"/>
  <c r="BI83" i="7"/>
  <c r="BJ83" i="7"/>
  <c r="BK83" i="7"/>
  <c r="BL83" i="7"/>
  <c r="BM83" i="7"/>
  <c r="BN83" i="7"/>
  <c r="BO83" i="7"/>
  <c r="BP83" i="7"/>
  <c r="BQ83" i="7"/>
  <c r="BR83" i="7"/>
  <c r="BS83" i="7"/>
  <c r="BT83" i="7"/>
  <c r="BU83" i="7"/>
  <c r="BV83" i="7"/>
  <c r="BW83" i="7"/>
  <c r="AO85" i="7"/>
  <c r="AP85" i="7"/>
  <c r="AQ85" i="7"/>
  <c r="AR85" i="7"/>
  <c r="AS85" i="7"/>
  <c r="AT85" i="7"/>
  <c r="AU85" i="7"/>
  <c r="AV85" i="7"/>
  <c r="AW85" i="7"/>
  <c r="AX85" i="7"/>
  <c r="AY85" i="7"/>
  <c r="AZ85" i="7"/>
  <c r="BA85" i="7"/>
  <c r="BB85" i="7"/>
  <c r="BC85" i="7"/>
  <c r="BD85" i="7"/>
  <c r="BE85" i="7"/>
  <c r="BF85" i="7"/>
  <c r="BG85" i="7"/>
  <c r="BH85" i="7"/>
  <c r="BI85" i="7"/>
  <c r="BJ85" i="7"/>
  <c r="BK85" i="7"/>
  <c r="BL85" i="7"/>
  <c r="BM85" i="7"/>
  <c r="BN85" i="7"/>
  <c r="BO85" i="7"/>
  <c r="BP85" i="7"/>
  <c r="BQ85" i="7"/>
  <c r="BR85" i="7"/>
  <c r="BS85" i="7"/>
  <c r="BT85" i="7"/>
  <c r="BU85" i="7"/>
  <c r="BV85" i="7"/>
  <c r="BW85" i="7"/>
  <c r="AO86" i="7"/>
  <c r="AP86" i="7"/>
  <c r="AQ86" i="7"/>
  <c r="AR86" i="7"/>
  <c r="AS86" i="7"/>
  <c r="AT86" i="7"/>
  <c r="AU86" i="7"/>
  <c r="AV86" i="7"/>
  <c r="AW86" i="7"/>
  <c r="AX86" i="7"/>
  <c r="AY86" i="7"/>
  <c r="AZ86" i="7"/>
  <c r="BA86" i="7"/>
  <c r="BB86" i="7"/>
  <c r="BC86" i="7"/>
  <c r="BD86" i="7"/>
  <c r="BE86" i="7"/>
  <c r="BF86" i="7"/>
  <c r="BG86" i="7"/>
  <c r="BH86" i="7"/>
  <c r="BI86" i="7"/>
  <c r="BJ86" i="7"/>
  <c r="BK86" i="7"/>
  <c r="BL86" i="7"/>
  <c r="BM86" i="7"/>
  <c r="BN86" i="7"/>
  <c r="BO86" i="7"/>
  <c r="BP86" i="7"/>
  <c r="BQ86" i="7"/>
  <c r="BR86" i="7"/>
  <c r="BS86" i="7"/>
  <c r="BT86" i="7"/>
  <c r="BU86" i="7"/>
  <c r="BV86" i="7"/>
  <c r="BW86" i="7"/>
  <c r="AN82" i="7"/>
  <c r="AN83" i="7"/>
  <c r="AN86" i="7"/>
  <c r="AB82" i="7"/>
  <c r="AB83" i="7"/>
  <c r="AB86" i="7"/>
  <c r="AM86" i="7"/>
  <c r="AL86" i="7"/>
  <c r="AK86" i="7"/>
  <c r="AJ86" i="7"/>
  <c r="AI86" i="7"/>
  <c r="AH86" i="7"/>
  <c r="AG86" i="7"/>
  <c r="AF86" i="7"/>
  <c r="AE86" i="7"/>
  <c r="AD86" i="7"/>
  <c r="AC86" i="7"/>
  <c r="AM83" i="7"/>
  <c r="AL83" i="7"/>
  <c r="AK83" i="7"/>
  <c r="AJ83" i="7"/>
  <c r="AI83" i="7"/>
  <c r="AH83" i="7"/>
  <c r="AG83" i="7"/>
  <c r="AF83" i="7"/>
  <c r="AE83" i="7"/>
  <c r="AD83" i="7"/>
  <c r="AC83" i="7"/>
  <c r="AM82" i="7"/>
  <c r="AL82" i="7"/>
  <c r="AK82" i="7"/>
  <c r="AJ82" i="7"/>
  <c r="AI82" i="7"/>
  <c r="AH82" i="7"/>
  <c r="AG82" i="7"/>
  <c r="AF82" i="7"/>
  <c r="AE82" i="7"/>
  <c r="AD82" i="7"/>
  <c r="AC82" i="7"/>
  <c r="R86" i="7"/>
  <c r="S86" i="7"/>
  <c r="T86" i="7"/>
  <c r="U86" i="7"/>
  <c r="V86" i="7"/>
  <c r="W86" i="7"/>
  <c r="X86" i="7"/>
  <c r="Y86" i="7"/>
  <c r="Z86" i="7"/>
  <c r="AA86" i="7"/>
  <c r="Q86" i="7"/>
  <c r="R82" i="7"/>
  <c r="S82" i="7"/>
  <c r="T82" i="7"/>
  <c r="U82" i="7"/>
  <c r="V82" i="7"/>
  <c r="W82" i="7"/>
  <c r="X82" i="7"/>
  <c r="Y82" i="7"/>
  <c r="Z82" i="7"/>
  <c r="AA82" i="7"/>
  <c r="R83" i="7"/>
  <c r="S83" i="7"/>
  <c r="T83" i="7"/>
  <c r="U83" i="7"/>
  <c r="V83" i="7"/>
  <c r="W83" i="7"/>
  <c r="X83" i="7"/>
  <c r="Y83" i="7"/>
  <c r="Z83" i="7"/>
  <c r="AA83" i="7"/>
  <c r="Q83" i="7"/>
  <c r="Q82" i="7"/>
  <c r="Q28" i="6"/>
  <c r="AD46" i="6"/>
  <c r="BD46" i="6"/>
  <c r="AQ46" i="6"/>
  <c r="CD46" i="6"/>
  <c r="BQ46" i="6"/>
  <c r="DD46" i="6"/>
  <c r="DQ46" i="6"/>
  <c r="ED46" i="6"/>
  <c r="ED55" i="6"/>
  <c r="DQ55" i="6"/>
  <c r="DD55" i="6"/>
  <c r="CD55" i="6"/>
  <c r="BD55" i="6"/>
  <c r="AQ55" i="6"/>
  <c r="EF55" i="6"/>
  <c r="EG55" i="6"/>
  <c r="EH55" i="6"/>
  <c r="EE55" i="6"/>
  <c r="EF17" i="6"/>
  <c r="EG17" i="6"/>
  <c r="EH17" i="6"/>
  <c r="EE17" i="6"/>
  <c r="DS55" i="6"/>
  <c r="DT55" i="6"/>
  <c r="DU55" i="6"/>
  <c r="DV55" i="6"/>
  <c r="DW55" i="6"/>
  <c r="DX55" i="6"/>
  <c r="DY55" i="6"/>
  <c r="DZ55" i="6"/>
  <c r="EA55" i="6"/>
  <c r="EB55" i="6"/>
  <c r="EC55" i="6"/>
  <c r="DR55" i="6"/>
  <c r="DS17" i="6"/>
  <c r="DT17" i="6"/>
  <c r="DU17" i="6"/>
  <c r="DV17" i="6"/>
  <c r="DW17" i="6"/>
  <c r="DX17" i="6"/>
  <c r="DY17" i="6"/>
  <c r="DZ17" i="6"/>
  <c r="EA17" i="6"/>
  <c r="EB17" i="6"/>
  <c r="EC17" i="6"/>
  <c r="DR17" i="6"/>
  <c r="DF17" i="6"/>
  <c r="DG17" i="6"/>
  <c r="DG55" i="6" s="1"/>
  <c r="DH17" i="6"/>
  <c r="DI17" i="6"/>
  <c r="DI55" i="6" s="1"/>
  <c r="DJ17" i="6"/>
  <c r="DK17" i="6"/>
  <c r="DL17" i="6"/>
  <c r="DL55" i="6" s="1"/>
  <c r="DM17" i="6"/>
  <c r="DN17" i="6"/>
  <c r="DO17" i="6"/>
  <c r="DO55" i="6" s="1"/>
  <c r="DP17" i="6"/>
  <c r="DE17" i="6"/>
  <c r="DF55" i="6"/>
  <c r="DH55" i="6"/>
  <c r="DJ55" i="6"/>
  <c r="DK55" i="6"/>
  <c r="DM55" i="6"/>
  <c r="DN55" i="6"/>
  <c r="DP55" i="6"/>
  <c r="DE55" i="6"/>
  <c r="CS55" i="6"/>
  <c r="CT55" i="6"/>
  <c r="CU55" i="6"/>
  <c r="CV55" i="6"/>
  <c r="CW55" i="6"/>
  <c r="CX55" i="6"/>
  <c r="CY55" i="6"/>
  <c r="CZ55" i="6"/>
  <c r="DA55" i="6"/>
  <c r="DB55" i="6"/>
  <c r="DC55" i="6"/>
  <c r="CR55" i="6"/>
  <c r="CS17" i="6"/>
  <c r="CT17" i="6"/>
  <c r="CU17" i="6"/>
  <c r="CV17" i="6"/>
  <c r="CW17" i="6"/>
  <c r="CX17" i="6"/>
  <c r="CY17" i="6"/>
  <c r="CZ17" i="6"/>
  <c r="DA17" i="6"/>
  <c r="DB17" i="6"/>
  <c r="DC17" i="6"/>
  <c r="CR17" i="6"/>
  <c r="CQ55" i="6"/>
  <c r="CF55" i="6"/>
  <c r="CG55" i="6"/>
  <c r="CH55" i="6"/>
  <c r="CI55" i="6"/>
  <c r="CJ55" i="6"/>
  <c r="CK55" i="6"/>
  <c r="CL55" i="6"/>
  <c r="CM55" i="6"/>
  <c r="CN55" i="6"/>
  <c r="CO55" i="6"/>
  <c r="CP55" i="6"/>
  <c r="CE55" i="6"/>
  <c r="CF17" i="6"/>
  <c r="CG17" i="6"/>
  <c r="CH17" i="6"/>
  <c r="CI17" i="6"/>
  <c r="CJ17" i="6"/>
  <c r="CK17" i="6"/>
  <c r="CL17" i="6"/>
  <c r="CM17" i="6"/>
  <c r="CN17" i="6"/>
  <c r="CO17" i="6"/>
  <c r="CP17" i="6"/>
  <c r="CE17" i="6"/>
  <c r="BS55" i="6"/>
  <c r="BT55" i="6"/>
  <c r="BU55" i="6"/>
  <c r="BV55" i="6"/>
  <c r="BW55" i="6"/>
  <c r="BX55" i="6"/>
  <c r="BY55" i="6"/>
  <c r="BZ55" i="6"/>
  <c r="CA55" i="6"/>
  <c r="CB55" i="6"/>
  <c r="CC55" i="6"/>
  <c r="BR55" i="6"/>
  <c r="BS26" i="6"/>
  <c r="BT26" i="6"/>
  <c r="BU26" i="6"/>
  <c r="BV26" i="6"/>
  <c r="BW26" i="6"/>
  <c r="BX26" i="6"/>
  <c r="BY26" i="6"/>
  <c r="BZ26" i="6"/>
  <c r="CA26" i="6"/>
  <c r="CB26" i="6"/>
  <c r="CC26" i="6"/>
  <c r="BR26" i="6"/>
  <c r="BS17" i="6"/>
  <c r="BT17" i="6"/>
  <c r="BU17" i="6"/>
  <c r="BV17" i="6"/>
  <c r="BW17" i="6"/>
  <c r="BX17" i="6"/>
  <c r="BY17" i="6"/>
  <c r="BZ17" i="6"/>
  <c r="CA17" i="6"/>
  <c r="CB17" i="6"/>
  <c r="CC17" i="6"/>
  <c r="BR17" i="6"/>
  <c r="BQ55" i="6"/>
  <c r="BF55" i="6"/>
  <c r="BG55" i="6"/>
  <c r="BH55" i="6"/>
  <c r="BI55" i="6"/>
  <c r="BJ55" i="6"/>
  <c r="BK55" i="6"/>
  <c r="BL55" i="6"/>
  <c r="BM55" i="6"/>
  <c r="BN55" i="6"/>
  <c r="BO55" i="6"/>
  <c r="BP55" i="6"/>
  <c r="BE55" i="6"/>
  <c r="BF26" i="6"/>
  <c r="BG26" i="6"/>
  <c r="BH26" i="6"/>
  <c r="BI26" i="6"/>
  <c r="BJ26" i="6"/>
  <c r="BK26" i="6"/>
  <c r="BL26" i="6"/>
  <c r="BM26" i="6"/>
  <c r="BN26" i="6"/>
  <c r="BO26" i="6"/>
  <c r="BP26" i="6"/>
  <c r="BE26" i="6"/>
  <c r="BF17" i="6"/>
  <c r="BG17" i="6"/>
  <c r="BH17" i="6"/>
  <c r="BI17" i="6"/>
  <c r="BJ17" i="6"/>
  <c r="BK17" i="6"/>
  <c r="BL17" i="6"/>
  <c r="BM17" i="6"/>
  <c r="BN17" i="6"/>
  <c r="BO17" i="6"/>
  <c r="BP17" i="6"/>
  <c r="BE17" i="6"/>
  <c r="AS55" i="6"/>
  <c r="AT55" i="6"/>
  <c r="AU55" i="6"/>
  <c r="AV55" i="6"/>
  <c r="AW55" i="6"/>
  <c r="AX55" i="6"/>
  <c r="AY55" i="6"/>
  <c r="AZ55" i="6"/>
  <c r="BA55" i="6"/>
  <c r="BB55" i="6"/>
  <c r="BC55" i="6"/>
  <c r="AR55" i="6"/>
  <c r="AS40" i="6"/>
  <c r="AT40" i="6"/>
  <c r="AU40" i="6"/>
  <c r="AV40" i="6"/>
  <c r="AW40" i="6"/>
  <c r="AX40" i="6"/>
  <c r="AY40" i="6"/>
  <c r="AZ40" i="6"/>
  <c r="BA40" i="6"/>
  <c r="BB40" i="6"/>
  <c r="BC40" i="6"/>
  <c r="AR40" i="6"/>
  <c r="AS35" i="6"/>
  <c r="AT35" i="6"/>
  <c r="AU35" i="6"/>
  <c r="AV35" i="6"/>
  <c r="AW35" i="6"/>
  <c r="AX35" i="6"/>
  <c r="AY35" i="6"/>
  <c r="AZ35" i="6"/>
  <c r="BA35" i="6"/>
  <c r="BB35" i="6"/>
  <c r="BC35" i="6"/>
  <c r="AR35" i="6"/>
  <c r="AS26" i="6"/>
  <c r="AT26" i="6"/>
  <c r="AU26" i="6"/>
  <c r="AV26" i="6"/>
  <c r="AW26" i="6"/>
  <c r="AX26" i="6"/>
  <c r="AY26" i="6"/>
  <c r="AZ26" i="6"/>
  <c r="BA26" i="6"/>
  <c r="BB26" i="6"/>
  <c r="BC26" i="6"/>
  <c r="AR26" i="6"/>
  <c r="AS17" i="6"/>
  <c r="AT17" i="6"/>
  <c r="AU17" i="6"/>
  <c r="AV17" i="6"/>
  <c r="AW17" i="6"/>
  <c r="AX17" i="6"/>
  <c r="AY17" i="6"/>
  <c r="AZ17" i="6"/>
  <c r="BA17" i="6"/>
  <c r="BB17" i="6"/>
  <c r="BC17" i="6"/>
  <c r="AR17" i="6"/>
  <c r="AF55" i="6"/>
  <c r="AG55" i="6"/>
  <c r="AH55" i="6"/>
  <c r="AI55" i="6"/>
  <c r="AJ55" i="6"/>
  <c r="AK55" i="6"/>
  <c r="AL55" i="6"/>
  <c r="AM55" i="6"/>
  <c r="AN55" i="6"/>
  <c r="AO55" i="6"/>
  <c r="AP55" i="6"/>
  <c r="AE55" i="6"/>
  <c r="AF40" i="6"/>
  <c r="AG40" i="6"/>
  <c r="AH40" i="6"/>
  <c r="AI40" i="6"/>
  <c r="AJ40" i="6"/>
  <c r="AK40" i="6"/>
  <c r="AL40" i="6"/>
  <c r="AM40" i="6"/>
  <c r="AN40" i="6"/>
  <c r="AO40" i="6"/>
  <c r="AP40" i="6"/>
  <c r="AE40" i="6"/>
  <c r="AF35" i="6"/>
  <c r="AG35" i="6"/>
  <c r="AH35" i="6"/>
  <c r="AI35" i="6"/>
  <c r="AJ35" i="6"/>
  <c r="AK35" i="6"/>
  <c r="AL35" i="6"/>
  <c r="AM35" i="6"/>
  <c r="AN35" i="6"/>
  <c r="AO35" i="6"/>
  <c r="AP35" i="6"/>
  <c r="AE35" i="6"/>
  <c r="AF26" i="6"/>
  <c r="AG26" i="6"/>
  <c r="AH26" i="6"/>
  <c r="AI26" i="6"/>
  <c r="AJ26" i="6"/>
  <c r="AK26" i="6"/>
  <c r="AL26" i="6"/>
  <c r="AM26" i="6"/>
  <c r="AN26" i="6"/>
  <c r="AO26" i="6"/>
  <c r="AP26" i="6"/>
  <c r="AE26" i="6"/>
  <c r="AF17" i="6"/>
  <c r="AG17" i="6"/>
  <c r="AH17" i="6"/>
  <c r="AI17" i="6"/>
  <c r="AJ17" i="6"/>
  <c r="AK17" i="6"/>
  <c r="AL17" i="6"/>
  <c r="AM17" i="6"/>
  <c r="AN17" i="6"/>
  <c r="AO17" i="6"/>
  <c r="AP17" i="6"/>
  <c r="AE17" i="6"/>
  <c r="AD55" i="6"/>
  <c r="S55" i="6"/>
  <c r="T55" i="6"/>
  <c r="U55" i="6"/>
  <c r="V55" i="6"/>
  <c r="W55" i="6"/>
  <c r="X55" i="6"/>
  <c r="Y55" i="6"/>
  <c r="Z55" i="6"/>
  <c r="AA55" i="6"/>
  <c r="AB55" i="6"/>
  <c r="AC55" i="6"/>
  <c r="R55" i="6"/>
  <c r="S40" i="6"/>
  <c r="T40" i="6"/>
  <c r="U40" i="6"/>
  <c r="V40" i="6"/>
  <c r="W40" i="6"/>
  <c r="X40" i="6"/>
  <c r="Y40" i="6"/>
  <c r="Z40" i="6"/>
  <c r="AA40" i="6"/>
  <c r="AB40" i="6"/>
  <c r="AC40" i="6"/>
  <c r="S35" i="6"/>
  <c r="T35" i="6"/>
  <c r="U35" i="6"/>
  <c r="V35" i="6"/>
  <c r="W35" i="6"/>
  <c r="X35" i="6"/>
  <c r="Y35" i="6"/>
  <c r="Z35" i="6"/>
  <c r="AA35" i="6"/>
  <c r="AB35" i="6"/>
  <c r="AC35" i="6"/>
  <c r="R40" i="6"/>
  <c r="R35" i="6"/>
  <c r="S26" i="6"/>
  <c r="T26" i="6"/>
  <c r="U26" i="6"/>
  <c r="V26" i="6"/>
  <c r="W26" i="6"/>
  <c r="X26" i="6"/>
  <c r="Y26" i="6"/>
  <c r="Z26" i="6"/>
  <c r="AA26" i="6"/>
  <c r="AB26" i="6"/>
  <c r="AC26" i="6"/>
  <c r="R26" i="6"/>
  <c r="S17" i="6"/>
  <c r="T17" i="6"/>
  <c r="U17" i="6"/>
  <c r="V17" i="6"/>
  <c r="W17" i="6"/>
  <c r="X17" i="6"/>
  <c r="Y17" i="6"/>
  <c r="Z17" i="6"/>
  <c r="AA17" i="6"/>
  <c r="AB17" i="6"/>
  <c r="AC17" i="6"/>
  <c r="R17" i="6"/>
  <c r="F40" i="6"/>
  <c r="G40" i="6"/>
  <c r="H40" i="6"/>
  <c r="I40" i="6"/>
  <c r="J40" i="6"/>
  <c r="K40" i="6"/>
  <c r="L40" i="6"/>
  <c r="M40" i="6"/>
  <c r="N40" i="6"/>
  <c r="O40" i="6"/>
  <c r="P40" i="6"/>
  <c r="E40" i="6"/>
  <c r="F35" i="6"/>
  <c r="G35" i="6"/>
  <c r="H35" i="6"/>
  <c r="I35" i="6"/>
  <c r="J35" i="6"/>
  <c r="K35" i="6"/>
  <c r="L35" i="6"/>
  <c r="M35" i="6"/>
  <c r="N35" i="6"/>
  <c r="O35" i="6"/>
  <c r="P35" i="6"/>
  <c r="E35" i="6"/>
  <c r="F26" i="6"/>
  <c r="G26" i="6"/>
  <c r="H26" i="6"/>
  <c r="I26" i="6"/>
  <c r="J26" i="6"/>
  <c r="K26" i="6"/>
  <c r="L26" i="6"/>
  <c r="M26" i="6"/>
  <c r="N26" i="6"/>
  <c r="O26" i="6"/>
  <c r="P26" i="6"/>
  <c r="P55" i="6" s="1"/>
  <c r="E26" i="6"/>
  <c r="H55" i="6"/>
  <c r="I55" i="6"/>
  <c r="F17" i="6"/>
  <c r="G17" i="6"/>
  <c r="H17" i="6"/>
  <c r="I17" i="6"/>
  <c r="J17" i="6"/>
  <c r="K17" i="6"/>
  <c r="L17" i="6"/>
  <c r="M17" i="6"/>
  <c r="N17" i="6"/>
  <c r="O17" i="6"/>
  <c r="P17" i="6"/>
  <c r="E17" i="6"/>
  <c r="C40" i="27" l="1"/>
  <c r="D40" i="27" s="1"/>
  <c r="K32" i="3"/>
  <c r="F39" i="27"/>
  <c r="I39" i="27"/>
  <c r="K39" i="27" s="1"/>
  <c r="H4" i="5"/>
  <c r="F7" i="25" s="1"/>
  <c r="F8" i="25" s="1"/>
  <c r="L9" i="1"/>
  <c r="M3" i="1"/>
  <c r="N3" i="1"/>
  <c r="P46" i="18"/>
  <c r="O47" i="18"/>
  <c r="K112" i="18"/>
  <c r="K9" i="18" s="1"/>
  <c r="M57" i="18"/>
  <c r="N57" i="18" s="1"/>
  <c r="O57" i="18" s="1"/>
  <c r="P57" i="18" s="1"/>
  <c r="Q57" i="18" s="1"/>
  <c r="R57" i="18" s="1"/>
  <c r="S57" i="18" s="1"/>
  <c r="T57" i="18" s="1"/>
  <c r="M101" i="18"/>
  <c r="L109" i="18"/>
  <c r="K113" i="18"/>
  <c r="K16" i="18" s="1"/>
  <c r="K16" i="5"/>
  <c r="I6" i="25" s="1"/>
  <c r="E26" i="5"/>
  <c r="E27" i="5" s="1"/>
  <c r="E28" i="5" s="1"/>
  <c r="E29" i="5" s="1"/>
  <c r="J60" i="5"/>
  <c r="J9" i="5" s="1"/>
  <c r="N8" i="1" s="1"/>
  <c r="J61" i="5"/>
  <c r="J7" i="5" s="1"/>
  <c r="J59" i="5"/>
  <c r="I41" i="5"/>
  <c r="I42" i="5" s="1"/>
  <c r="I8" i="5" s="1"/>
  <c r="M9" i="1" s="1"/>
  <c r="D20" i="23"/>
  <c r="F20" i="23" s="1"/>
  <c r="G20" i="23"/>
  <c r="C21" i="23" s="1"/>
  <c r="L62" i="18"/>
  <c r="H6" i="21"/>
  <c r="J25" i="18"/>
  <c r="L106" i="18"/>
  <c r="L63" i="18"/>
  <c r="L61" i="18"/>
  <c r="L83" i="18"/>
  <c r="L107" i="18"/>
  <c r="L80" i="18"/>
  <c r="L81" i="18"/>
  <c r="L82" i="18"/>
  <c r="L103" i="18"/>
  <c r="L64" i="18"/>
  <c r="L105" i="18"/>
  <c r="H25" i="5"/>
  <c r="J25" i="5"/>
  <c r="I25" i="5"/>
  <c r="N6" i="18"/>
  <c r="L6" i="5"/>
  <c r="L55" i="6"/>
  <c r="N55" i="6"/>
  <c r="J55" i="6"/>
  <c r="K55" i="6"/>
  <c r="F55" i="6"/>
  <c r="M55" i="6"/>
  <c r="O55" i="6"/>
  <c r="G55" i="6"/>
  <c r="E55" i="6"/>
  <c r="G40" i="27" l="1"/>
  <c r="C41" i="27" s="1"/>
  <c r="D41" i="27" s="1"/>
  <c r="F41" i="27" s="1"/>
  <c r="F40" i="27"/>
  <c r="L112" i="18"/>
  <c r="L9" i="18" s="1"/>
  <c r="Q46" i="18"/>
  <c r="P47" i="18"/>
  <c r="N101" i="18"/>
  <c r="M109" i="18"/>
  <c r="L114" i="18"/>
  <c r="L7" i="18" s="1"/>
  <c r="L4" i="18" s="1"/>
  <c r="K25" i="5"/>
  <c r="L113" i="18"/>
  <c r="L16" i="18" s="1"/>
  <c r="I4" i="5"/>
  <c r="G7" i="25" s="1"/>
  <c r="G8" i="25" s="1"/>
  <c r="L16" i="5"/>
  <c r="K60" i="5"/>
  <c r="K9" i="5" s="1"/>
  <c r="O8" i="1" s="1"/>
  <c r="K59" i="5"/>
  <c r="K61" i="5"/>
  <c r="K7" i="5" s="1"/>
  <c r="J41" i="5"/>
  <c r="J42" i="5" s="1"/>
  <c r="J8" i="5" s="1"/>
  <c r="N9" i="1" s="1"/>
  <c r="D21" i="23"/>
  <c r="F21" i="23" s="1"/>
  <c r="G21" i="23"/>
  <c r="C22" i="23" s="1"/>
  <c r="M64" i="18"/>
  <c r="M82" i="18"/>
  <c r="M80" i="18"/>
  <c r="M83" i="18"/>
  <c r="M63" i="18"/>
  <c r="M81" i="18"/>
  <c r="M106" i="18"/>
  <c r="M105" i="18"/>
  <c r="M103" i="18"/>
  <c r="M107" i="18"/>
  <c r="M61" i="18"/>
  <c r="M62" i="18"/>
  <c r="O6" i="18"/>
  <c r="M6" i="5"/>
  <c r="Q55" i="6"/>
  <c r="G41" i="27" l="1"/>
  <c r="C42" i="27" s="1"/>
  <c r="D42" i="27" s="1"/>
  <c r="G42" i="27"/>
  <c r="C43" i="27" s="1"/>
  <c r="O101" i="18"/>
  <c r="N109" i="18"/>
  <c r="M112" i="18"/>
  <c r="M9" i="18" s="1"/>
  <c r="R46" i="18"/>
  <c r="Q47" i="18"/>
  <c r="M114" i="18"/>
  <c r="M7" i="18" s="1"/>
  <c r="J7" i="21"/>
  <c r="L25" i="5"/>
  <c r="J6" i="25"/>
  <c r="M113" i="18"/>
  <c r="M16" i="18" s="1"/>
  <c r="J4" i="5"/>
  <c r="H7" i="25" s="1"/>
  <c r="H8" i="25" s="1"/>
  <c r="M16" i="5"/>
  <c r="L60" i="5"/>
  <c r="L9" i="5" s="1"/>
  <c r="L61" i="5"/>
  <c r="L7" i="5" s="1"/>
  <c r="L59" i="5"/>
  <c r="K41" i="5"/>
  <c r="K42" i="5" s="1"/>
  <c r="K8" i="5" s="1"/>
  <c r="O9" i="1" s="1"/>
  <c r="G22" i="23"/>
  <c r="C23" i="23" s="1"/>
  <c r="D22" i="23"/>
  <c r="F22" i="23" s="1"/>
  <c r="N107" i="18"/>
  <c r="N61" i="18"/>
  <c r="N103" i="18"/>
  <c r="N81" i="18"/>
  <c r="N62" i="18"/>
  <c r="N105" i="18"/>
  <c r="N106" i="18"/>
  <c r="N83" i="18"/>
  <c r="N82" i="18"/>
  <c r="I6" i="21"/>
  <c r="K25" i="18"/>
  <c r="J6" i="21"/>
  <c r="L25" i="18"/>
  <c r="N63" i="18"/>
  <c r="N80" i="18"/>
  <c r="N64" i="18"/>
  <c r="P6" i="18"/>
  <c r="N6" i="5"/>
  <c r="K34" i="3"/>
  <c r="G73" i="17"/>
  <c r="H78" i="17" s="1"/>
  <c r="E68" i="17"/>
  <c r="G68" i="17" s="1"/>
  <c r="D68" i="17"/>
  <c r="F68" i="17" s="1"/>
  <c r="D67" i="17"/>
  <c r="E66" i="17"/>
  <c r="G66" i="17" s="1"/>
  <c r="D66" i="17"/>
  <c r="F66" i="17" s="1"/>
  <c r="F65" i="17"/>
  <c r="E65" i="17"/>
  <c r="G65" i="17" s="1"/>
  <c r="K65" i="17" s="1"/>
  <c r="D65" i="17"/>
  <c r="G64" i="17"/>
  <c r="F64" i="17"/>
  <c r="E64" i="17"/>
  <c r="G63" i="17"/>
  <c r="F63" i="17"/>
  <c r="E63" i="17"/>
  <c r="E62" i="17"/>
  <c r="G61" i="17"/>
  <c r="K61" i="17" s="1"/>
  <c r="E61" i="17"/>
  <c r="F61" i="17" s="1"/>
  <c r="G57" i="17"/>
  <c r="F57" i="17"/>
  <c r="E57" i="17"/>
  <c r="F56" i="17"/>
  <c r="E56" i="17"/>
  <c r="G56" i="17" s="1"/>
  <c r="E55" i="17"/>
  <c r="G55" i="17" s="1"/>
  <c r="D55" i="17"/>
  <c r="F55" i="17" s="1"/>
  <c r="E54" i="17"/>
  <c r="G54" i="17" s="1"/>
  <c r="G53" i="17"/>
  <c r="E53" i="17"/>
  <c r="F53" i="17" s="1"/>
  <c r="G52" i="17"/>
  <c r="F52" i="17"/>
  <c r="E52" i="17"/>
  <c r="F51" i="17"/>
  <c r="E51" i="17"/>
  <c r="G51" i="17" s="1"/>
  <c r="E50" i="17"/>
  <c r="G49" i="17"/>
  <c r="E49" i="17"/>
  <c r="F49" i="17" s="1"/>
  <c r="G48" i="17"/>
  <c r="F48" i="17"/>
  <c r="H43" i="17"/>
  <c r="D43" i="17"/>
  <c r="C43" i="17"/>
  <c r="W42" i="17"/>
  <c r="G42" i="17"/>
  <c r="F42" i="17"/>
  <c r="E42" i="17"/>
  <c r="W41" i="17"/>
  <c r="G41" i="17"/>
  <c r="E41" i="17"/>
  <c r="F41" i="17" s="1"/>
  <c r="W40" i="17"/>
  <c r="G40" i="17"/>
  <c r="F40" i="17"/>
  <c r="F43" i="17" s="1"/>
  <c r="E40" i="17"/>
  <c r="E43" i="17" s="1"/>
  <c r="AE39" i="17"/>
  <c r="AD39" i="17"/>
  <c r="AF39" i="17" s="1"/>
  <c r="U39" i="17"/>
  <c r="T39" i="17"/>
  <c r="AF38" i="17"/>
  <c r="AE38" i="17"/>
  <c r="AD38" i="17"/>
  <c r="T38" i="17"/>
  <c r="U38" i="17" s="1"/>
  <c r="W37" i="17"/>
  <c r="E37" i="17"/>
  <c r="W36" i="17"/>
  <c r="E36" i="17"/>
  <c r="G36" i="17" s="1"/>
  <c r="W35" i="17"/>
  <c r="E35" i="17"/>
  <c r="W34" i="17"/>
  <c r="J34" i="17"/>
  <c r="G34" i="17"/>
  <c r="E34" i="17"/>
  <c r="F34" i="17" s="1"/>
  <c r="Z33" i="17"/>
  <c r="W33" i="17"/>
  <c r="E33" i="17"/>
  <c r="G33" i="17" s="1"/>
  <c r="D33" i="17"/>
  <c r="D38" i="17" s="1"/>
  <c r="D39" i="17" s="1"/>
  <c r="Z32" i="17"/>
  <c r="W32" i="17"/>
  <c r="G32" i="17"/>
  <c r="E32" i="17"/>
  <c r="F32" i="17" s="1"/>
  <c r="Z31" i="17"/>
  <c r="W31" i="17"/>
  <c r="E31" i="17"/>
  <c r="G31" i="17" s="1"/>
  <c r="W30" i="17"/>
  <c r="E30" i="17"/>
  <c r="AF29" i="17"/>
  <c r="AE29" i="17"/>
  <c r="AD29" i="17"/>
  <c r="T29" i="17"/>
  <c r="U29" i="17" s="1"/>
  <c r="D29" i="17"/>
  <c r="AE28" i="17"/>
  <c r="AD28" i="17"/>
  <c r="AF28" i="17" s="1"/>
  <c r="U28" i="17"/>
  <c r="T28" i="17"/>
  <c r="E28" i="17"/>
  <c r="E29" i="17" s="1"/>
  <c r="D28" i="17"/>
  <c r="Z27" i="17"/>
  <c r="W27" i="17"/>
  <c r="G27" i="17"/>
  <c r="F27" i="17"/>
  <c r="E27" i="17"/>
  <c r="Z26" i="17"/>
  <c r="W26" i="17"/>
  <c r="G26" i="17"/>
  <c r="E26" i="17"/>
  <c r="F26" i="17" s="1"/>
  <c r="Z25" i="17"/>
  <c r="W25" i="17"/>
  <c r="E25" i="17"/>
  <c r="Z24" i="17"/>
  <c r="W24" i="17"/>
  <c r="E24" i="17"/>
  <c r="G24" i="17" s="1"/>
  <c r="Z23" i="17"/>
  <c r="W23" i="17"/>
  <c r="G23" i="17"/>
  <c r="E23" i="17"/>
  <c r="F23" i="17" s="1"/>
  <c r="W22" i="17"/>
  <c r="F22" i="17"/>
  <c r="E22" i="17"/>
  <c r="G22" i="17" s="1"/>
  <c r="J22" i="17" s="1"/>
  <c r="Z21" i="17"/>
  <c r="W21" i="17"/>
  <c r="G21" i="17"/>
  <c r="E21" i="17"/>
  <c r="F21" i="17" s="1"/>
  <c r="Z20" i="17"/>
  <c r="W20" i="17"/>
  <c r="E20" i="17"/>
  <c r="G20" i="17" s="1"/>
  <c r="Z19" i="17"/>
  <c r="W19" i="17"/>
  <c r="E19" i="17"/>
  <c r="G19" i="17" s="1"/>
  <c r="AE18" i="17"/>
  <c r="AF18" i="17" s="1"/>
  <c r="T18" i="17"/>
  <c r="U18" i="17" s="1"/>
  <c r="D18" i="17"/>
  <c r="W17" i="17"/>
  <c r="E17" i="17"/>
  <c r="Z16" i="17"/>
  <c r="W16" i="17"/>
  <c r="F16" i="17"/>
  <c r="E16" i="17"/>
  <c r="E18" i="17" s="1"/>
  <c r="W15" i="17"/>
  <c r="E15" i="17"/>
  <c r="Z14" i="17"/>
  <c r="W14" i="17"/>
  <c r="E14" i="17"/>
  <c r="F14" i="17" s="1"/>
  <c r="AF13" i="17"/>
  <c r="D13" i="17"/>
  <c r="Z12" i="17"/>
  <c r="W12" i="17"/>
  <c r="G12" i="17"/>
  <c r="F12" i="17"/>
  <c r="E12" i="17"/>
  <c r="W11" i="17"/>
  <c r="V11" i="17"/>
  <c r="G11" i="17"/>
  <c r="F11" i="17"/>
  <c r="E11" i="17"/>
  <c r="V10" i="17"/>
  <c r="W10" i="17" s="1"/>
  <c r="G10" i="17"/>
  <c r="G13" i="17" s="1"/>
  <c r="E10" i="17"/>
  <c r="F10" i="17" s="1"/>
  <c r="F13" i="17" s="1"/>
  <c r="AF9" i="17"/>
  <c r="AE9" i="17"/>
  <c r="E9" i="17"/>
  <c r="D9" i="17"/>
  <c r="W8" i="17"/>
  <c r="V8" i="17"/>
  <c r="G8" i="17"/>
  <c r="F8" i="17"/>
  <c r="E8" i="17"/>
  <c r="V7" i="17"/>
  <c r="W7" i="17" s="1"/>
  <c r="G7" i="17"/>
  <c r="G9" i="17" s="1"/>
  <c r="E7" i="17"/>
  <c r="F7" i="17" s="1"/>
  <c r="F9" i="17" s="1"/>
  <c r="AF6" i="17"/>
  <c r="AE6" i="17"/>
  <c r="D6" i="17"/>
  <c r="V5" i="17"/>
  <c r="W5" i="17" s="1"/>
  <c r="E5" i="17"/>
  <c r="E6" i="17" s="1"/>
  <c r="W4" i="17"/>
  <c r="V4" i="17"/>
  <c r="G4" i="17"/>
  <c r="F4" i="17"/>
  <c r="E4" i="17"/>
  <c r="W3" i="17"/>
  <c r="V3" i="17"/>
  <c r="G3" i="17"/>
  <c r="F3" i="17"/>
  <c r="E3" i="17"/>
  <c r="V2" i="17"/>
  <c r="W2" i="17" s="1"/>
  <c r="G2" i="17"/>
  <c r="E2" i="17"/>
  <c r="F2" i="17" s="1"/>
  <c r="K30" i="3"/>
  <c r="L30" i="3" s="1"/>
  <c r="N30" i="3" s="1"/>
  <c r="O30" i="3" s="1"/>
  <c r="AN78" i="7"/>
  <c r="EC46" i="6"/>
  <c r="DP46" i="6"/>
  <c r="DC46" i="6"/>
  <c r="CQ46" i="6"/>
  <c r="CP46" i="6" s="1"/>
  <c r="CC46" i="6"/>
  <c r="BP46" i="6"/>
  <c r="BC46" i="6"/>
  <c r="AP46" i="6"/>
  <c r="AC46" i="6"/>
  <c r="P46" i="6"/>
  <c r="Q46" i="6"/>
  <c r="J76" i="7"/>
  <c r="K76" i="7"/>
  <c r="L76" i="7"/>
  <c r="M76" i="7"/>
  <c r="N76" i="7"/>
  <c r="O76" i="7"/>
  <c r="P76" i="7"/>
  <c r="J75" i="7"/>
  <c r="P78" i="7" s="1"/>
  <c r="K75" i="7"/>
  <c r="L75" i="7"/>
  <c r="M75" i="7"/>
  <c r="N75" i="7"/>
  <c r="O75" i="7"/>
  <c r="P75" i="7"/>
  <c r="AD25" i="6"/>
  <c r="Q23" i="6"/>
  <c r="Q49" i="6"/>
  <c r="FQ52" i="6"/>
  <c r="FD52" i="6"/>
  <c r="EQ52" i="6"/>
  <c r="ED52" i="6"/>
  <c r="ED49" i="6"/>
  <c r="ED54" i="6" s="1"/>
  <c r="ED48" i="6"/>
  <c r="DQ52" i="6"/>
  <c r="DQ49" i="6"/>
  <c r="DQ54" i="6" s="1"/>
  <c r="DQ48" i="6"/>
  <c r="DD52" i="6"/>
  <c r="DD49" i="6"/>
  <c r="DD48" i="6"/>
  <c r="CQ52" i="6"/>
  <c r="CQ49" i="6"/>
  <c r="CQ54" i="6" s="1"/>
  <c r="CQ48" i="6"/>
  <c r="CD52" i="6"/>
  <c r="CD49" i="6"/>
  <c r="CD54" i="6" s="1"/>
  <c r="CD48" i="6"/>
  <c r="BQ52" i="6"/>
  <c r="BQ49" i="6"/>
  <c r="BQ54" i="6" s="1"/>
  <c r="BQ48" i="6"/>
  <c r="BD52" i="6"/>
  <c r="BD49" i="6"/>
  <c r="BD54" i="6" s="1"/>
  <c r="BD48" i="6"/>
  <c r="AQ52" i="6"/>
  <c r="AQ49" i="6"/>
  <c r="AQ54" i="6" s="1"/>
  <c r="AQ48" i="6"/>
  <c r="AD52" i="6"/>
  <c r="AD49" i="6"/>
  <c r="AD54" i="6" s="1"/>
  <c r="AD48" i="6"/>
  <c r="I75" i="7"/>
  <c r="Q52" i="6"/>
  <c r="F42" i="27" l="1"/>
  <c r="D43" i="27"/>
  <c r="F43" i="27" s="1"/>
  <c r="G43" i="27"/>
  <c r="C44" i="27" s="1"/>
  <c r="S46" i="18"/>
  <c r="R47" i="18"/>
  <c r="M4" i="18"/>
  <c r="K7" i="21" s="1"/>
  <c r="P101" i="18"/>
  <c r="O109" i="18"/>
  <c r="N112" i="18"/>
  <c r="N9" i="18" s="1"/>
  <c r="N114" i="18"/>
  <c r="N7" i="18" s="1"/>
  <c r="J8" i="21"/>
  <c r="N113" i="18"/>
  <c r="N16" i="18" s="1"/>
  <c r="M25" i="5"/>
  <c r="K6" i="25"/>
  <c r="K4" i="5"/>
  <c r="I7" i="25" s="1"/>
  <c r="N16" i="5"/>
  <c r="M60" i="5"/>
  <c r="M9" i="5" s="1"/>
  <c r="L41" i="5"/>
  <c r="L42" i="5" s="1"/>
  <c r="L8" i="5" s="1"/>
  <c r="M61" i="5"/>
  <c r="M7" i="5" s="1"/>
  <c r="M59" i="5"/>
  <c r="D23" i="23"/>
  <c r="F23" i="23" s="1"/>
  <c r="G23" i="23"/>
  <c r="C24" i="23" s="1"/>
  <c r="O80" i="18"/>
  <c r="O61" i="18"/>
  <c r="O82" i="18"/>
  <c r="O106" i="18"/>
  <c r="O62" i="18"/>
  <c r="K6" i="21"/>
  <c r="M25" i="18"/>
  <c r="O83" i="18"/>
  <c r="O105" i="18"/>
  <c r="O64" i="18"/>
  <c r="O63" i="18"/>
  <c r="O81" i="18"/>
  <c r="O103" i="18"/>
  <c r="O107" i="18"/>
  <c r="Q6" i="18"/>
  <c r="O6" i="5"/>
  <c r="L34" i="3"/>
  <c r="DD54" i="6"/>
  <c r="AR48" i="6"/>
  <c r="G14" i="17"/>
  <c r="E38" i="17"/>
  <c r="E39" i="17" s="1"/>
  <c r="G37" i="17"/>
  <c r="F37" i="17"/>
  <c r="G50" i="17"/>
  <c r="F50" i="17"/>
  <c r="K68" i="17"/>
  <c r="F5" i="17"/>
  <c r="F6" i="17" s="1"/>
  <c r="E13" i="17"/>
  <c r="N61" i="17"/>
  <c r="K66" i="17"/>
  <c r="G5" i="17"/>
  <c r="G28" i="17"/>
  <c r="G29" i="17" s="1"/>
  <c r="N22" i="17"/>
  <c r="G25" i="17"/>
  <c r="F25" i="17"/>
  <c r="G62" i="17"/>
  <c r="F62" i="17"/>
  <c r="K64" i="17"/>
  <c r="G17" i="17"/>
  <c r="F17" i="17"/>
  <c r="F67" i="17"/>
  <c r="E67" i="17"/>
  <c r="G67" i="17" s="1"/>
  <c r="G35" i="17"/>
  <c r="F35" i="17"/>
  <c r="G58" i="17"/>
  <c r="I78" i="17"/>
  <c r="H84" i="17"/>
  <c r="H82" i="17"/>
  <c r="G15" i="17"/>
  <c r="J15" i="17" s="1"/>
  <c r="F15" i="17"/>
  <c r="M61" i="17"/>
  <c r="L61" i="17"/>
  <c r="P61" i="17"/>
  <c r="O61" i="17"/>
  <c r="P65" i="17"/>
  <c r="W65" i="17"/>
  <c r="O65" i="17"/>
  <c r="N65" i="17"/>
  <c r="U65" i="17"/>
  <c r="M65" i="17"/>
  <c r="Q65" i="17" s="1"/>
  <c r="R65" i="17" s="1"/>
  <c r="T65" i="17" s="1"/>
  <c r="V65" i="17" s="1"/>
  <c r="X65" i="17" s="1"/>
  <c r="S65" i="17"/>
  <c r="H79" i="17"/>
  <c r="F18" i="17"/>
  <c r="N34" i="17"/>
  <c r="G43" i="17"/>
  <c r="K63" i="17"/>
  <c r="F33" i="17"/>
  <c r="H81" i="17"/>
  <c r="F20" i="17"/>
  <c r="F30" i="17"/>
  <c r="G30" i="17"/>
  <c r="F24" i="17"/>
  <c r="G16" i="17"/>
  <c r="F19" i="17"/>
  <c r="F36" i="17"/>
  <c r="F54" i="17"/>
  <c r="F31" i="17"/>
  <c r="P80" i="7"/>
  <c r="D44" i="27" l="1"/>
  <c r="F44" i="27" s="1"/>
  <c r="G44" i="27"/>
  <c r="C45" i="27" s="1"/>
  <c r="T46" i="18"/>
  <c r="T47" i="18" s="1"/>
  <c r="S47" i="18"/>
  <c r="Q101" i="18"/>
  <c r="P109" i="18"/>
  <c r="N4" i="18"/>
  <c r="O112" i="18"/>
  <c r="O9" i="18" s="1"/>
  <c r="O114" i="18"/>
  <c r="O7" i="18" s="1"/>
  <c r="L4" i="5"/>
  <c r="J7" i="25" s="1"/>
  <c r="J8" i="25" s="1"/>
  <c r="N25" i="5"/>
  <c r="L6" i="25"/>
  <c r="I8" i="25"/>
  <c r="O113" i="18"/>
  <c r="O16" i="18" s="1"/>
  <c r="O16" i="5"/>
  <c r="N60" i="5"/>
  <c r="N9" i="5" s="1"/>
  <c r="M41" i="5"/>
  <c r="M42" i="5" s="1"/>
  <c r="M8" i="5" s="1"/>
  <c r="N59" i="5"/>
  <c r="N61" i="5"/>
  <c r="N7" i="5" s="1"/>
  <c r="D24" i="23"/>
  <c r="F24" i="23" s="1"/>
  <c r="G24" i="23"/>
  <c r="C25" i="23" s="1"/>
  <c r="K8" i="21"/>
  <c r="L6" i="21"/>
  <c r="N25" i="18"/>
  <c r="P64" i="18"/>
  <c r="P106" i="18"/>
  <c r="P103" i="18"/>
  <c r="P63" i="18"/>
  <c r="P105" i="18"/>
  <c r="P80" i="18"/>
  <c r="P107" i="18"/>
  <c r="P62" i="18"/>
  <c r="P82" i="18"/>
  <c r="P61" i="18"/>
  <c r="P81" i="18"/>
  <c r="P83" i="18"/>
  <c r="R6" i="18"/>
  <c r="P6" i="5"/>
  <c r="L14" i="4"/>
  <c r="M34" i="3"/>
  <c r="N34" i="3" s="1"/>
  <c r="O34" i="3" s="1"/>
  <c r="K62" i="17"/>
  <c r="G38" i="17"/>
  <c r="G39" i="17" s="1"/>
  <c r="Q61" i="17"/>
  <c r="L69" i="17"/>
  <c r="I36" i="17"/>
  <c r="J36" i="17" s="1"/>
  <c r="I19" i="17"/>
  <c r="J19" i="17" s="1"/>
  <c r="I24" i="17"/>
  <c r="J24" i="17" s="1"/>
  <c r="I16" i="17"/>
  <c r="I41" i="17"/>
  <c r="J41" i="17" s="1"/>
  <c r="I32" i="17"/>
  <c r="J32" i="17" s="1"/>
  <c r="I27" i="17"/>
  <c r="J27" i="17" s="1"/>
  <c r="I30" i="17"/>
  <c r="J30" i="17" s="1"/>
  <c r="I20" i="17"/>
  <c r="J20" i="17" s="1"/>
  <c r="I37" i="17"/>
  <c r="I35" i="17"/>
  <c r="I33" i="17"/>
  <c r="J33" i="17" s="1"/>
  <c r="I25" i="17"/>
  <c r="J25" i="17" s="1"/>
  <c r="I17" i="17"/>
  <c r="I42" i="17"/>
  <c r="J42" i="17" s="1"/>
  <c r="I40" i="17"/>
  <c r="J40" i="17" s="1"/>
  <c r="I23" i="17"/>
  <c r="J23" i="17" s="1"/>
  <c r="I21" i="17"/>
  <c r="J21" i="17" s="1"/>
  <c r="I12" i="17"/>
  <c r="J12" i="17" s="1"/>
  <c r="I4" i="17"/>
  <c r="J4" i="17" s="1"/>
  <c r="I31" i="17"/>
  <c r="J31" i="17" s="1"/>
  <c r="I10" i="17"/>
  <c r="J10" i="17" s="1"/>
  <c r="I7" i="17"/>
  <c r="J7" i="17" s="1"/>
  <c r="I2" i="17"/>
  <c r="I5" i="17"/>
  <c r="I14" i="17"/>
  <c r="I26" i="17"/>
  <c r="J26" i="17" s="1"/>
  <c r="I11" i="17"/>
  <c r="J11" i="17" s="1"/>
  <c r="I8" i="17"/>
  <c r="J8" i="17" s="1"/>
  <c r="I3" i="17"/>
  <c r="J3" i="17" s="1"/>
  <c r="F38" i="17"/>
  <c r="F39" i="17" s="1"/>
  <c r="S34" i="17"/>
  <c r="R34" i="17"/>
  <c r="Q34" i="17"/>
  <c r="P34" i="17"/>
  <c r="J17" i="17"/>
  <c r="H83" i="17"/>
  <c r="P64" i="17"/>
  <c r="W64" i="17"/>
  <c r="O64" i="17"/>
  <c r="N64" i="17"/>
  <c r="U64" i="17"/>
  <c r="M64" i="17"/>
  <c r="Q64" i="17" s="1"/>
  <c r="R64" i="17" s="1"/>
  <c r="T64" i="17" s="1"/>
  <c r="V64" i="17" s="1"/>
  <c r="X64" i="17" s="1"/>
  <c r="S64" i="17"/>
  <c r="S22" i="17"/>
  <c r="R22" i="17"/>
  <c r="Q22" i="17"/>
  <c r="P22" i="17"/>
  <c r="T22" i="17" s="1"/>
  <c r="U22" i="17" s="1"/>
  <c r="J35" i="17"/>
  <c r="J37" i="17"/>
  <c r="F28" i="17"/>
  <c r="F29" i="17" s="1"/>
  <c r="G18" i="17"/>
  <c r="G46" i="17" s="1"/>
  <c r="J16" i="17"/>
  <c r="N15" i="17"/>
  <c r="P63" i="17"/>
  <c r="W63" i="17"/>
  <c r="O63" i="17"/>
  <c r="N63" i="17"/>
  <c r="U63" i="17"/>
  <c r="M63" i="17"/>
  <c r="S63" i="17"/>
  <c r="K67" i="17"/>
  <c r="J5" i="17"/>
  <c r="N68" i="17"/>
  <c r="M68" i="17"/>
  <c r="Q68" i="17" s="1"/>
  <c r="R68" i="17" s="1"/>
  <c r="T68" i="17" s="1"/>
  <c r="V68" i="17" s="1"/>
  <c r="X68" i="17" s="1"/>
  <c r="S68" i="17"/>
  <c r="P68" i="17"/>
  <c r="O68" i="17"/>
  <c r="G6" i="17"/>
  <c r="J14" i="17"/>
  <c r="P66" i="17"/>
  <c r="W66" i="17"/>
  <c r="O66" i="17"/>
  <c r="N66" i="17"/>
  <c r="U66" i="17"/>
  <c r="M66" i="17"/>
  <c r="S66" i="17"/>
  <c r="F15" i="11"/>
  <c r="C15" i="11"/>
  <c r="G15" i="11" s="1"/>
  <c r="E2790" i="11"/>
  <c r="E2789" i="11"/>
  <c r="E2788" i="11"/>
  <c r="E2787" i="11"/>
  <c r="E2786" i="11"/>
  <c r="E2785" i="11"/>
  <c r="E2784" i="11"/>
  <c r="E2783" i="11"/>
  <c r="E2782" i="11"/>
  <c r="E2781" i="11"/>
  <c r="E2780" i="11"/>
  <c r="E2779" i="11"/>
  <c r="E2778" i="11"/>
  <c r="E2777" i="11"/>
  <c r="E2776" i="11"/>
  <c r="E2775" i="11"/>
  <c r="E2774" i="11"/>
  <c r="E2773" i="11"/>
  <c r="E2772" i="11"/>
  <c r="E2771" i="11"/>
  <c r="E2770" i="11"/>
  <c r="E2769" i="11"/>
  <c r="E2768" i="11"/>
  <c r="E2767" i="11"/>
  <c r="E2766" i="11"/>
  <c r="E2765" i="11"/>
  <c r="E2764" i="11"/>
  <c r="E2763" i="11"/>
  <c r="E2762" i="11"/>
  <c r="E2761" i="11"/>
  <c r="E2760" i="11"/>
  <c r="E2759" i="11"/>
  <c r="E2758" i="11"/>
  <c r="E2757" i="11"/>
  <c r="E2756" i="11"/>
  <c r="E2755" i="11"/>
  <c r="E2754" i="11"/>
  <c r="E2753" i="11"/>
  <c r="E2752" i="11"/>
  <c r="E2751" i="11"/>
  <c r="E2750" i="11"/>
  <c r="E2749" i="11"/>
  <c r="E2748" i="11"/>
  <c r="E2747" i="11"/>
  <c r="E2746" i="11"/>
  <c r="E2745" i="11"/>
  <c r="E2744" i="11"/>
  <c r="E2743" i="11"/>
  <c r="E2742" i="11"/>
  <c r="E2741" i="11"/>
  <c r="E2740" i="11"/>
  <c r="E2739" i="11"/>
  <c r="E2738" i="11"/>
  <c r="E2737" i="11"/>
  <c r="E2736" i="11"/>
  <c r="E2735" i="11"/>
  <c r="E2734" i="11"/>
  <c r="E2733" i="11"/>
  <c r="E2732" i="11"/>
  <c r="E2731" i="11"/>
  <c r="E2730" i="11"/>
  <c r="E2729" i="11"/>
  <c r="D45" i="27" l="1"/>
  <c r="G45" i="27"/>
  <c r="C46" i="27" s="1"/>
  <c r="R101" i="18"/>
  <c r="Q109" i="18"/>
  <c r="L7" i="21"/>
  <c r="L8" i="21" s="1"/>
  <c r="O4" i="18"/>
  <c r="M7" i="21" s="1"/>
  <c r="P114" i="18"/>
  <c r="P7" i="18" s="1"/>
  <c r="P112" i="18"/>
  <c r="P9" i="18" s="1"/>
  <c r="O25" i="5"/>
  <c r="M6" i="25"/>
  <c r="M4" i="5"/>
  <c r="K7" i="25" s="1"/>
  <c r="K8" i="25" s="1"/>
  <c r="P113" i="18"/>
  <c r="P16" i="18" s="1"/>
  <c r="P16" i="5"/>
  <c r="O60" i="5"/>
  <c r="O9" i="5" s="1"/>
  <c r="O59" i="5"/>
  <c r="O61" i="5"/>
  <c r="O7" i="5" s="1"/>
  <c r="N41" i="5"/>
  <c r="N42" i="5" s="1"/>
  <c r="N8" i="5" s="1"/>
  <c r="G25" i="23"/>
  <c r="C26" i="23" s="1"/>
  <c r="D25" i="23"/>
  <c r="Q83" i="18"/>
  <c r="Q61" i="18"/>
  <c r="Q62" i="18"/>
  <c r="Q80" i="18"/>
  <c r="Q105" i="18"/>
  <c r="Q103" i="18"/>
  <c r="Q81" i="18"/>
  <c r="Q64" i="18"/>
  <c r="Q82" i="18"/>
  <c r="Q107" i="18"/>
  <c r="Q63" i="18"/>
  <c r="Q106" i="18"/>
  <c r="T6" i="18"/>
  <c r="S6" i="18"/>
  <c r="Q6" i="5"/>
  <c r="N25" i="17"/>
  <c r="G70" i="17"/>
  <c r="G72" i="17" s="1"/>
  <c r="G74" i="17" s="1"/>
  <c r="J44" i="17"/>
  <c r="N30" i="17"/>
  <c r="Q66" i="17"/>
  <c r="R66" i="17" s="1"/>
  <c r="T66" i="17" s="1"/>
  <c r="V66" i="17" s="1"/>
  <c r="X66" i="17" s="1"/>
  <c r="W69" i="17"/>
  <c r="N35" i="17"/>
  <c r="N7" i="17"/>
  <c r="N42" i="17"/>
  <c r="N27" i="17"/>
  <c r="R61" i="17"/>
  <c r="N37" i="17"/>
  <c r="W67" i="17"/>
  <c r="O67" i="17"/>
  <c r="N67" i="17"/>
  <c r="U67" i="17"/>
  <c r="M67" i="17"/>
  <c r="S67" i="17"/>
  <c r="P67" i="17"/>
  <c r="AE22" i="17"/>
  <c r="AC22" i="17"/>
  <c r="AA22" i="17"/>
  <c r="AB22" i="17" s="1"/>
  <c r="AD22" i="17" s="1"/>
  <c r="AF22" i="17" s="1"/>
  <c r="N3" i="17"/>
  <c r="N10" i="17"/>
  <c r="N32" i="17"/>
  <c r="N5" i="17"/>
  <c r="I43" i="17"/>
  <c r="I44" i="17" s="1"/>
  <c r="J2" i="17"/>
  <c r="R15" i="17"/>
  <c r="Q15" i="17"/>
  <c r="P15" i="17"/>
  <c r="S15" i="17"/>
  <c r="N8" i="17"/>
  <c r="N31" i="17"/>
  <c r="N41" i="17"/>
  <c r="N40" i="17"/>
  <c r="T34" i="17"/>
  <c r="U34" i="17" s="1"/>
  <c r="N11" i="17"/>
  <c r="N4" i="17"/>
  <c r="N33" i="17"/>
  <c r="N17" i="17"/>
  <c r="Q63" i="17"/>
  <c r="R63" i="17" s="1"/>
  <c r="T63" i="17" s="1"/>
  <c r="V63" i="17" s="1"/>
  <c r="X63" i="17" s="1"/>
  <c r="N16" i="17"/>
  <c r="N26" i="17"/>
  <c r="N12" i="17"/>
  <c r="N24" i="17"/>
  <c r="N14" i="17"/>
  <c r="U69" i="17"/>
  <c r="X22" i="17"/>
  <c r="N21" i="17"/>
  <c r="N19" i="17"/>
  <c r="P62" i="17"/>
  <c r="O62" i="17"/>
  <c r="O69" i="17" s="1"/>
  <c r="N62" i="17"/>
  <c r="N69" i="17" s="1"/>
  <c r="M62" i="17"/>
  <c r="S62" i="17"/>
  <c r="K69" i="17"/>
  <c r="H85" i="17"/>
  <c r="N23" i="17"/>
  <c r="N20" i="17"/>
  <c r="N36" i="17"/>
  <c r="J5" i="11"/>
  <c r="E16" i="11" s="1"/>
  <c r="FQ45" i="6"/>
  <c r="FD45" i="6"/>
  <c r="ED45" i="6"/>
  <c r="DQ45" i="6"/>
  <c r="DD45" i="6"/>
  <c r="CQ45" i="6"/>
  <c r="CD45" i="6"/>
  <c r="BQ45" i="6"/>
  <c r="BD45" i="6"/>
  <c r="FP45" i="6"/>
  <c r="FO45" i="6"/>
  <c r="FN45" i="6"/>
  <c r="FM45" i="6"/>
  <c r="FL45" i="6"/>
  <c r="FK45" i="6"/>
  <c r="FJ45" i="6"/>
  <c r="FI45" i="6"/>
  <c r="FH45" i="6"/>
  <c r="FG45" i="6"/>
  <c r="FF45" i="6"/>
  <c r="FE45" i="6"/>
  <c r="FC45" i="6"/>
  <c r="FB45" i="6"/>
  <c r="FA45" i="6"/>
  <c r="EZ45" i="6"/>
  <c r="EY45" i="6"/>
  <c r="EX45" i="6"/>
  <c r="EW45" i="6"/>
  <c r="EV45" i="6"/>
  <c r="EU45" i="6"/>
  <c r="ET45" i="6"/>
  <c r="ES45" i="6"/>
  <c r="ER45" i="6"/>
  <c r="EP45" i="6"/>
  <c r="EO45" i="6"/>
  <c r="EN45" i="6"/>
  <c r="EM45" i="6"/>
  <c r="EL45" i="6"/>
  <c r="EK45" i="6"/>
  <c r="EJ45" i="6"/>
  <c r="EI45" i="6"/>
  <c r="EQ45" i="6" s="1"/>
  <c r="EH45" i="6"/>
  <c r="EG45" i="6"/>
  <c r="EF45" i="6"/>
  <c r="EE45" i="6"/>
  <c r="EC45" i="6"/>
  <c r="EB45" i="6"/>
  <c r="EA45" i="6"/>
  <c r="DZ45" i="6"/>
  <c r="DY45" i="6"/>
  <c r="DX45" i="6"/>
  <c r="DW45" i="6"/>
  <c r="DV45" i="6"/>
  <c r="DU45" i="6"/>
  <c r="DT45" i="6"/>
  <c r="DS45" i="6"/>
  <c r="DR45" i="6"/>
  <c r="DP45" i="6"/>
  <c r="DO45" i="6"/>
  <c r="DN45" i="6"/>
  <c r="DM45" i="6"/>
  <c r="DL45" i="6"/>
  <c r="DK45" i="6"/>
  <c r="DJ45" i="6"/>
  <c r="DI45" i="6"/>
  <c r="DH45" i="6"/>
  <c r="DG45" i="6"/>
  <c r="DF45" i="6"/>
  <c r="DE45" i="6"/>
  <c r="DC45" i="6"/>
  <c r="DB45" i="6"/>
  <c r="DA45" i="6"/>
  <c r="CZ45" i="6"/>
  <c r="CY45" i="6"/>
  <c r="CX45" i="6"/>
  <c r="CW45" i="6"/>
  <c r="CV45" i="6"/>
  <c r="CU45" i="6"/>
  <c r="CT45" i="6"/>
  <c r="CS45" i="6"/>
  <c r="CR45" i="6"/>
  <c r="CP45" i="6"/>
  <c r="CO45" i="6"/>
  <c r="CN45" i="6"/>
  <c r="CM45" i="6"/>
  <c r="CL45" i="6"/>
  <c r="CK45" i="6"/>
  <c r="CJ45" i="6"/>
  <c r="CI45" i="6"/>
  <c r="CH45" i="6"/>
  <c r="CG45" i="6"/>
  <c r="CF45" i="6"/>
  <c r="CE45" i="6"/>
  <c r="CC45" i="6"/>
  <c r="CB45" i="6"/>
  <c r="CA45" i="6"/>
  <c r="BZ45" i="6"/>
  <c r="BY45" i="6"/>
  <c r="BX45" i="6"/>
  <c r="BW45" i="6"/>
  <c r="BV45" i="6"/>
  <c r="BU45" i="6"/>
  <c r="BT45" i="6"/>
  <c r="BS45" i="6"/>
  <c r="BR45" i="6"/>
  <c r="BP45" i="6"/>
  <c r="BO45" i="6"/>
  <c r="BN45" i="6"/>
  <c r="BM45" i="6"/>
  <c r="BL45" i="6"/>
  <c r="BK45" i="6"/>
  <c r="BJ45" i="6"/>
  <c r="BI45" i="6"/>
  <c r="BH45" i="6"/>
  <c r="BG45" i="6"/>
  <c r="BF45" i="6"/>
  <c r="BE45" i="6"/>
  <c r="BC45" i="6"/>
  <c r="BB45" i="6"/>
  <c r="BA45" i="6"/>
  <c r="AZ45" i="6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Q48" i="6"/>
  <c r="C47" i="6"/>
  <c r="J14" i="4"/>
  <c r="K14" i="4"/>
  <c r="M14" i="4"/>
  <c r="N14" i="4"/>
  <c r="O14" i="4"/>
  <c r="J10" i="4"/>
  <c r="K10" i="4"/>
  <c r="L10" i="4"/>
  <c r="M10" i="4"/>
  <c r="N10" i="4"/>
  <c r="O10" i="4"/>
  <c r="F25" i="4"/>
  <c r="G25" i="4"/>
  <c r="H25" i="4"/>
  <c r="E25" i="4"/>
  <c r="D5" i="9"/>
  <c r="G46" i="27" l="1"/>
  <c r="C47" i="27" s="1"/>
  <c r="D46" i="27"/>
  <c r="F46" i="27" s="1"/>
  <c r="F45" i="27"/>
  <c r="P4" i="18"/>
  <c r="N7" i="21" s="1"/>
  <c r="D16" i="11"/>
  <c r="G16" i="11"/>
  <c r="S101" i="18"/>
  <c r="R109" i="18"/>
  <c r="Q112" i="18"/>
  <c r="Q9" i="18" s="1"/>
  <c r="Q114" i="18"/>
  <c r="Q7" i="18" s="1"/>
  <c r="P25" i="5"/>
  <c r="N6" i="25"/>
  <c r="E17" i="11"/>
  <c r="E21" i="11"/>
  <c r="E25" i="11"/>
  <c r="E29" i="11"/>
  <c r="E33" i="11"/>
  <c r="E37" i="11"/>
  <c r="E41" i="11"/>
  <c r="E45" i="11"/>
  <c r="E49" i="11"/>
  <c r="E53" i="11"/>
  <c r="E57" i="11"/>
  <c r="E61" i="11"/>
  <c r="E65" i="11"/>
  <c r="E69" i="11"/>
  <c r="E73" i="11"/>
  <c r="E77" i="11"/>
  <c r="E81" i="11"/>
  <c r="E85" i="11"/>
  <c r="E89" i="11"/>
  <c r="E93" i="11"/>
  <c r="E97" i="11"/>
  <c r="E101" i="11"/>
  <c r="E105" i="11"/>
  <c r="E109" i="11"/>
  <c r="E113" i="11"/>
  <c r="E117" i="11"/>
  <c r="E121" i="11"/>
  <c r="E125" i="11"/>
  <c r="E129" i="11"/>
  <c r="E133" i="11"/>
  <c r="E137" i="11"/>
  <c r="E141" i="11"/>
  <c r="E145" i="11"/>
  <c r="E149" i="11"/>
  <c r="E153" i="11"/>
  <c r="E157" i="11"/>
  <c r="E18" i="11"/>
  <c r="E22" i="11"/>
  <c r="E26" i="11"/>
  <c r="E30" i="11"/>
  <c r="E34" i="11"/>
  <c r="E38" i="11"/>
  <c r="E42" i="11"/>
  <c r="E46" i="11"/>
  <c r="E50" i="11"/>
  <c r="E54" i="11"/>
  <c r="E58" i="11"/>
  <c r="E62" i="11"/>
  <c r="E66" i="11"/>
  <c r="E70" i="11"/>
  <c r="E74" i="11"/>
  <c r="E78" i="11"/>
  <c r="E82" i="11"/>
  <c r="E86" i="11"/>
  <c r="E90" i="11"/>
  <c r="E94" i="11"/>
  <c r="E98" i="11"/>
  <c r="E102" i="11"/>
  <c r="E106" i="11"/>
  <c r="E110" i="11"/>
  <c r="E114" i="11"/>
  <c r="E118" i="11"/>
  <c r="E122" i="11"/>
  <c r="E126" i="11"/>
  <c r="E130" i="11"/>
  <c r="E134" i="11"/>
  <c r="E138" i="11"/>
  <c r="E142" i="11"/>
  <c r="E146" i="11"/>
  <c r="E150" i="11"/>
  <c r="E154" i="11"/>
  <c r="E158" i="11"/>
  <c r="E19" i="11"/>
  <c r="E23" i="11"/>
  <c r="E27" i="11"/>
  <c r="E31" i="11"/>
  <c r="E35" i="11"/>
  <c r="E39" i="11"/>
  <c r="E43" i="11"/>
  <c r="E47" i="11"/>
  <c r="E51" i="11"/>
  <c r="E55" i="11"/>
  <c r="E59" i="11"/>
  <c r="E63" i="11"/>
  <c r="E67" i="11"/>
  <c r="E71" i="11"/>
  <c r="E75" i="11"/>
  <c r="E79" i="11"/>
  <c r="E83" i="11"/>
  <c r="E87" i="11"/>
  <c r="E91" i="11"/>
  <c r="E95" i="11"/>
  <c r="E99" i="11"/>
  <c r="E103" i="11"/>
  <c r="E24" i="11"/>
  <c r="E40" i="11"/>
  <c r="E56" i="11"/>
  <c r="E72" i="11"/>
  <c r="E88" i="11"/>
  <c r="E104" i="11"/>
  <c r="E112" i="11"/>
  <c r="E120" i="11"/>
  <c r="E128" i="11"/>
  <c r="E136" i="11"/>
  <c r="E144" i="11"/>
  <c r="E152" i="11"/>
  <c r="E52" i="11"/>
  <c r="E100" i="11"/>
  <c r="E127" i="11"/>
  <c r="E143" i="11"/>
  <c r="E28" i="11"/>
  <c r="E44" i="11"/>
  <c r="E60" i="11"/>
  <c r="E76" i="11"/>
  <c r="E92" i="11"/>
  <c r="E107" i="11"/>
  <c r="E115" i="11"/>
  <c r="E123" i="11"/>
  <c r="E131" i="11"/>
  <c r="E139" i="11"/>
  <c r="E147" i="11"/>
  <c r="E155" i="11"/>
  <c r="E36" i="11"/>
  <c r="E84" i="11"/>
  <c r="E119" i="11"/>
  <c r="E151" i="11"/>
  <c r="E32" i="11"/>
  <c r="E48" i="11"/>
  <c r="E64" i="11"/>
  <c r="E80" i="11"/>
  <c r="E96" i="11"/>
  <c r="E108" i="11"/>
  <c r="E116" i="11"/>
  <c r="E124" i="11"/>
  <c r="E132" i="11"/>
  <c r="E140" i="11"/>
  <c r="E148" i="11"/>
  <c r="E156" i="11"/>
  <c r="E20" i="11"/>
  <c r="E68" i="11"/>
  <c r="E111" i="11"/>
  <c r="E135" i="11"/>
  <c r="E159" i="11"/>
  <c r="Q113" i="18"/>
  <c r="Q16" i="18" s="1"/>
  <c r="N4" i="5"/>
  <c r="L7" i="25" s="1"/>
  <c r="L8" i="25" s="1"/>
  <c r="Q16" i="5"/>
  <c r="P60" i="5"/>
  <c r="P9" i="5" s="1"/>
  <c r="O41" i="5"/>
  <c r="O42" i="5" s="1"/>
  <c r="O8" i="5" s="1"/>
  <c r="P59" i="5"/>
  <c r="P61" i="5"/>
  <c r="P7" i="5" s="1"/>
  <c r="F25" i="23"/>
  <c r="D26" i="23"/>
  <c r="F26" i="23" s="1"/>
  <c r="G26" i="23"/>
  <c r="C27" i="23" s="1"/>
  <c r="N6" i="21"/>
  <c r="P25" i="18"/>
  <c r="R106" i="18"/>
  <c r="R107" i="18"/>
  <c r="R81" i="18"/>
  <c r="M6" i="21"/>
  <c r="M8" i="21" s="1"/>
  <c r="O25" i="18"/>
  <c r="R82" i="18"/>
  <c r="R103" i="18"/>
  <c r="R61" i="18"/>
  <c r="R63" i="18"/>
  <c r="R64" i="18"/>
  <c r="R80" i="18"/>
  <c r="R105" i="18"/>
  <c r="R62" i="18"/>
  <c r="R83" i="18"/>
  <c r="R6" i="5"/>
  <c r="P20" i="17"/>
  <c r="T20" i="17" s="1"/>
  <c r="U20" i="17" s="1"/>
  <c r="X20" i="17" s="1"/>
  <c r="S20" i="17"/>
  <c r="R20" i="17"/>
  <c r="Q20" i="17"/>
  <c r="AA10" i="17"/>
  <c r="AE10" i="17"/>
  <c r="AC10" i="17"/>
  <c r="S10" i="17"/>
  <c r="R10" i="17"/>
  <c r="P10" i="17"/>
  <c r="Q10" i="17"/>
  <c r="S19" i="17"/>
  <c r="R19" i="17"/>
  <c r="Q19" i="17"/>
  <c r="P19" i="17"/>
  <c r="S24" i="17"/>
  <c r="R24" i="17"/>
  <c r="Q24" i="17"/>
  <c r="P24" i="17"/>
  <c r="R11" i="17"/>
  <c r="AA11" i="17"/>
  <c r="Q11" i="17"/>
  <c r="P11" i="17"/>
  <c r="AE11" i="17"/>
  <c r="AC11" i="17"/>
  <c r="S11" i="17"/>
  <c r="R3" i="17"/>
  <c r="AA3" i="17"/>
  <c r="Q3" i="17"/>
  <c r="P3" i="17"/>
  <c r="AE3" i="17"/>
  <c r="AC3" i="17"/>
  <c r="S3" i="17"/>
  <c r="AE34" i="17"/>
  <c r="AC34" i="17"/>
  <c r="AA34" i="17"/>
  <c r="AB34" i="17" s="1"/>
  <c r="AD34" i="17" s="1"/>
  <c r="AF34" i="17" s="1"/>
  <c r="X34" i="17"/>
  <c r="R8" i="17"/>
  <c r="AA8" i="17"/>
  <c r="Q8" i="17"/>
  <c r="P8" i="17"/>
  <c r="AE8" i="17"/>
  <c r="AC8" i="17"/>
  <c r="S8" i="17"/>
  <c r="AE36" i="17"/>
  <c r="S36" i="17"/>
  <c r="AC36" i="17"/>
  <c r="R36" i="17"/>
  <c r="Q36" i="17"/>
  <c r="AA36" i="17"/>
  <c r="P36" i="17"/>
  <c r="S12" i="17"/>
  <c r="R12" i="17"/>
  <c r="Q12" i="17"/>
  <c r="P12" i="17"/>
  <c r="Q17" i="17"/>
  <c r="AA17" i="17"/>
  <c r="P17" i="17"/>
  <c r="AE17" i="17"/>
  <c r="S17" i="17"/>
  <c r="AC17" i="17"/>
  <c r="R17" i="17"/>
  <c r="P5" i="17"/>
  <c r="S5" i="17"/>
  <c r="AA5" i="17"/>
  <c r="Q5" i="17"/>
  <c r="R5" i="17"/>
  <c r="S69" i="17"/>
  <c r="S21" i="17"/>
  <c r="R21" i="17"/>
  <c r="Q21" i="17"/>
  <c r="P21" i="17"/>
  <c r="T21" i="17" s="1"/>
  <c r="U21" i="17" s="1"/>
  <c r="X21" i="17" s="1"/>
  <c r="S40" i="17"/>
  <c r="AC40" i="17"/>
  <c r="R40" i="17"/>
  <c r="Q40" i="17"/>
  <c r="AA40" i="17"/>
  <c r="P40" i="17"/>
  <c r="AE40" i="17"/>
  <c r="S42" i="17"/>
  <c r="AC42" i="17"/>
  <c r="R42" i="17"/>
  <c r="Q42" i="17"/>
  <c r="AA42" i="17"/>
  <c r="P42" i="17"/>
  <c r="AE42" i="17"/>
  <c r="AA30" i="17"/>
  <c r="P30" i="17"/>
  <c r="T30" i="17" s="1"/>
  <c r="U30" i="17" s="1"/>
  <c r="AB30" i="17" s="1"/>
  <c r="AD30" i="17" s="1"/>
  <c r="AF30" i="17" s="1"/>
  <c r="X30" i="17"/>
  <c r="AE30" i="17"/>
  <c r="S30" i="17"/>
  <c r="AC30" i="17"/>
  <c r="R30" i="17"/>
  <c r="Q30" i="17"/>
  <c r="S27" i="17"/>
  <c r="R27" i="17"/>
  <c r="Q27" i="17"/>
  <c r="P27" i="17"/>
  <c r="Q62" i="17"/>
  <c r="M69" i="17"/>
  <c r="Q33" i="17"/>
  <c r="P33" i="17"/>
  <c r="S33" i="17"/>
  <c r="R33" i="17"/>
  <c r="T15" i="17"/>
  <c r="U15" i="17" s="1"/>
  <c r="S32" i="17"/>
  <c r="R32" i="17"/>
  <c r="Q32" i="17"/>
  <c r="P32" i="17"/>
  <c r="T32" i="17" s="1"/>
  <c r="U32" i="17" s="1"/>
  <c r="J45" i="17"/>
  <c r="S26" i="17"/>
  <c r="R26" i="17"/>
  <c r="Q26" i="17"/>
  <c r="P26" i="17"/>
  <c r="AE4" i="17"/>
  <c r="AC4" i="17"/>
  <c r="S4" i="17"/>
  <c r="R4" i="17"/>
  <c r="AA4" i="17"/>
  <c r="Q4" i="17"/>
  <c r="P4" i="17"/>
  <c r="AE41" i="17"/>
  <c r="S41" i="17"/>
  <c r="AC41" i="17"/>
  <c r="R41" i="17"/>
  <c r="Q41" i="17"/>
  <c r="AA41" i="17"/>
  <c r="P41" i="17"/>
  <c r="Q37" i="17"/>
  <c r="AA37" i="17"/>
  <c r="P37" i="17"/>
  <c r="AE37" i="17"/>
  <c r="S37" i="17"/>
  <c r="R37" i="17"/>
  <c r="AC37" i="17"/>
  <c r="AA7" i="17"/>
  <c r="AE7" i="17"/>
  <c r="Q7" i="17"/>
  <c r="AC7" i="17"/>
  <c r="S7" i="17"/>
  <c r="R7" i="17"/>
  <c r="P7" i="17"/>
  <c r="T61" i="17"/>
  <c r="S16" i="17"/>
  <c r="R16" i="17"/>
  <c r="Q16" i="17"/>
  <c r="P16" i="17"/>
  <c r="T16" i="17" s="1"/>
  <c r="U16" i="17" s="1"/>
  <c r="X16" i="17" s="1"/>
  <c r="S23" i="17"/>
  <c r="R23" i="17"/>
  <c r="Q23" i="17"/>
  <c r="P23" i="17"/>
  <c r="P69" i="17"/>
  <c r="S14" i="17"/>
  <c r="R14" i="17"/>
  <c r="Q14" i="17"/>
  <c r="P14" i="17"/>
  <c r="T14" i="17" s="1"/>
  <c r="U14" i="17" s="1"/>
  <c r="X14" i="17"/>
  <c r="S31" i="17"/>
  <c r="R31" i="17"/>
  <c r="Q31" i="17"/>
  <c r="P31" i="17"/>
  <c r="T31" i="17" s="1"/>
  <c r="U31" i="17" s="1"/>
  <c r="X31" i="17" s="1"/>
  <c r="J43" i="17"/>
  <c r="N2" i="17"/>
  <c r="Q67" i="17"/>
  <c r="R67" i="17" s="1"/>
  <c r="T67" i="17" s="1"/>
  <c r="V67" i="17" s="1"/>
  <c r="X67" i="17" s="1"/>
  <c r="Q35" i="17"/>
  <c r="AA35" i="17"/>
  <c r="P35" i="17"/>
  <c r="AE35" i="17"/>
  <c r="S35" i="17"/>
  <c r="AC35" i="17"/>
  <c r="R35" i="17"/>
  <c r="Q25" i="17"/>
  <c r="P25" i="17"/>
  <c r="S25" i="17"/>
  <c r="R25" i="17"/>
  <c r="D4" i="9"/>
  <c r="C24" i="9"/>
  <c r="C23" i="9"/>
  <c r="C22" i="9"/>
  <c r="C17" i="9"/>
  <c r="C28" i="9" s="1"/>
  <c r="D28" i="9" s="1"/>
  <c r="C18" i="9"/>
  <c r="C29" i="9" s="1"/>
  <c r="E29" i="9" s="1"/>
  <c r="F29" i="9" s="1"/>
  <c r="G29" i="9" s="1"/>
  <c r="H29" i="9" s="1"/>
  <c r="I29" i="9" s="1"/>
  <c r="J29" i="9" s="1"/>
  <c r="K29" i="9" s="1"/>
  <c r="L29" i="9" s="1"/>
  <c r="M29" i="9" s="1"/>
  <c r="N29" i="9" s="1"/>
  <c r="O29" i="9" s="1"/>
  <c r="P29" i="9" s="1"/>
  <c r="Q29" i="9" s="1"/>
  <c r="R29" i="9" s="1"/>
  <c r="S29" i="9" s="1"/>
  <c r="C16" i="9"/>
  <c r="C27" i="9" s="1"/>
  <c r="D27" i="9" s="1"/>
  <c r="C8" i="9"/>
  <c r="C7" i="9"/>
  <c r="D6" i="9" s="1"/>
  <c r="G47" i="27" l="1"/>
  <c r="C48" i="27" s="1"/>
  <c r="D47" i="27"/>
  <c r="R114" i="18"/>
  <c r="R7" i="18" s="1"/>
  <c r="T101" i="18"/>
  <c r="T109" i="18" s="1"/>
  <c r="S109" i="18"/>
  <c r="Q4" i="18"/>
  <c r="O7" i="21" s="1"/>
  <c r="R112" i="18"/>
  <c r="R9" i="18" s="1"/>
  <c r="Q25" i="5"/>
  <c r="O6" i="25"/>
  <c r="O4" i="5"/>
  <c r="M7" i="25" s="1"/>
  <c r="M8" i="25" s="1"/>
  <c r="R113" i="18"/>
  <c r="R16" i="18" s="1"/>
  <c r="R16" i="5"/>
  <c r="Q60" i="5"/>
  <c r="Q9" i="5" s="1"/>
  <c r="Q61" i="5"/>
  <c r="Q7" i="5" s="1"/>
  <c r="Q59" i="5"/>
  <c r="P41" i="5"/>
  <c r="P42" i="5" s="1"/>
  <c r="P8" i="5" s="1"/>
  <c r="D27" i="23"/>
  <c r="G27" i="23"/>
  <c r="N8" i="21"/>
  <c r="O6" i="21"/>
  <c r="Q25" i="18"/>
  <c r="T83" i="18"/>
  <c r="S83" i="18"/>
  <c r="T105" i="18"/>
  <c r="S105" i="18"/>
  <c r="T80" i="18"/>
  <c r="S80" i="18"/>
  <c r="S81" i="18"/>
  <c r="T81" i="18"/>
  <c r="T63" i="18"/>
  <c r="S63" i="18"/>
  <c r="T61" i="18"/>
  <c r="S61" i="18"/>
  <c r="T82" i="18"/>
  <c r="S82" i="18"/>
  <c r="T106" i="18"/>
  <c r="S106" i="18"/>
  <c r="S62" i="18"/>
  <c r="T64" i="18"/>
  <c r="S64" i="18"/>
  <c r="T103" i="18"/>
  <c r="S103" i="18"/>
  <c r="T107" i="18"/>
  <c r="S107" i="18"/>
  <c r="E28" i="9"/>
  <c r="E27" i="9"/>
  <c r="J12" i="3" s="1"/>
  <c r="D16" i="9"/>
  <c r="D22" i="9" s="1"/>
  <c r="T6" i="5"/>
  <c r="S6" i="5"/>
  <c r="AE32" i="17"/>
  <c r="AC32" i="17"/>
  <c r="AA32" i="17"/>
  <c r="AB32" i="17" s="1"/>
  <c r="AD32" i="17" s="1"/>
  <c r="AF32" i="17" s="1"/>
  <c r="T7" i="17"/>
  <c r="U7" i="17" s="1"/>
  <c r="T41" i="17"/>
  <c r="U41" i="17" s="1"/>
  <c r="T4" i="17"/>
  <c r="U4" i="17" s="1"/>
  <c r="T33" i="17"/>
  <c r="U33" i="17" s="1"/>
  <c r="T26" i="17"/>
  <c r="U26" i="17" s="1"/>
  <c r="T24" i="17"/>
  <c r="U24" i="17" s="1"/>
  <c r="AE16" i="17"/>
  <c r="AC16" i="17"/>
  <c r="AA16" i="17"/>
  <c r="AB16" i="17" s="1"/>
  <c r="AD16" i="17" s="1"/>
  <c r="AF16" i="17" s="1"/>
  <c r="T17" i="17"/>
  <c r="U17" i="17" s="1"/>
  <c r="AC31" i="17"/>
  <c r="AA31" i="17"/>
  <c r="AB31" i="17" s="1"/>
  <c r="AD31" i="17" s="1"/>
  <c r="AF31" i="17" s="1"/>
  <c r="AE31" i="17"/>
  <c r="X32" i="17"/>
  <c r="R62" i="17"/>
  <c r="Q69" i="17"/>
  <c r="T42" i="17"/>
  <c r="U42" i="17" s="1"/>
  <c r="T40" i="17"/>
  <c r="U40" i="17" s="1"/>
  <c r="T5" i="17"/>
  <c r="U5" i="17" s="1"/>
  <c r="T36" i="17"/>
  <c r="U36" i="17" s="1"/>
  <c r="T3" i="17"/>
  <c r="U3" i="17" s="1"/>
  <c r="T11" i="17"/>
  <c r="U11" i="17" s="1"/>
  <c r="T10" i="17"/>
  <c r="U10" i="17" s="1"/>
  <c r="V61" i="17"/>
  <c r="AE14" i="17"/>
  <c r="AC14" i="17"/>
  <c r="AA14" i="17"/>
  <c r="AB14" i="17" s="1"/>
  <c r="AD14" i="17" s="1"/>
  <c r="AF14" i="17" s="1"/>
  <c r="T35" i="17"/>
  <c r="U35" i="17" s="1"/>
  <c r="AC21" i="17"/>
  <c r="AB21" i="17"/>
  <c r="AD21" i="17" s="1"/>
  <c r="AF21" i="17" s="1"/>
  <c r="AA21" i="17"/>
  <c r="AE21" i="17"/>
  <c r="T25" i="17"/>
  <c r="U25" i="17" s="1"/>
  <c r="AC15" i="17"/>
  <c r="AA15" i="17"/>
  <c r="AB15" i="17" s="1"/>
  <c r="AD15" i="17" s="1"/>
  <c r="AF15" i="17" s="1"/>
  <c r="AE15" i="17"/>
  <c r="X15" i="17"/>
  <c r="T27" i="17"/>
  <c r="U27" i="17" s="1"/>
  <c r="N43" i="17"/>
  <c r="K71" i="17" s="1"/>
  <c r="AE2" i="17"/>
  <c r="Q2" i="17"/>
  <c r="Q43" i="17" s="1"/>
  <c r="AA2" i="17"/>
  <c r="AC2" i="17"/>
  <c r="S2" i="17"/>
  <c r="S43" i="17" s="1"/>
  <c r="R2" i="17"/>
  <c r="R43" i="17" s="1"/>
  <c r="P2" i="17"/>
  <c r="T23" i="17"/>
  <c r="U23" i="17" s="1"/>
  <c r="T37" i="17"/>
  <c r="U37" i="17" s="1"/>
  <c r="T12" i="17"/>
  <c r="U12" i="17" s="1"/>
  <c r="T8" i="17"/>
  <c r="U8" i="17" s="1"/>
  <c r="T19" i="17"/>
  <c r="U19" i="17" s="1"/>
  <c r="AE20" i="17"/>
  <c r="AC20" i="17"/>
  <c r="AA20" i="17"/>
  <c r="AB20" i="17" s="1"/>
  <c r="AD20" i="17" s="1"/>
  <c r="AF20" i="17" s="1"/>
  <c r="E5" i="9"/>
  <c r="E4" i="9"/>
  <c r="C19" i="9"/>
  <c r="C20" i="9" s="1"/>
  <c r="C9" i="9"/>
  <c r="D7" i="9"/>
  <c r="E6" i="9" s="1"/>
  <c r="D8" i="9"/>
  <c r="F28" i="9" l="1"/>
  <c r="G28" i="9" s="1"/>
  <c r="H28" i="9" s="1"/>
  <c r="I28" i="9" s="1"/>
  <c r="J28" i="9" s="1"/>
  <c r="K28" i="9" s="1"/>
  <c r="L28" i="9" s="1"/>
  <c r="M28" i="9" s="1"/>
  <c r="N28" i="9" s="1"/>
  <c r="O28" i="9" s="1"/>
  <c r="P28" i="9" s="1"/>
  <c r="Q28" i="9" s="1"/>
  <c r="R28" i="9" s="1"/>
  <c r="S28" i="9" s="1"/>
  <c r="F47" i="27"/>
  <c r="D48" i="27"/>
  <c r="F48" i="27" s="1"/>
  <c r="G48" i="27"/>
  <c r="C49" i="27" s="1"/>
  <c r="P4" i="5"/>
  <c r="N7" i="25" s="1"/>
  <c r="N8" i="25" s="1"/>
  <c r="R4" i="18"/>
  <c r="P7" i="21" s="1"/>
  <c r="S114" i="18"/>
  <c r="S7" i="18" s="1"/>
  <c r="S112" i="18"/>
  <c r="S9" i="18" s="1"/>
  <c r="T112" i="18"/>
  <c r="T9" i="18" s="1"/>
  <c r="R25" i="5"/>
  <c r="P6" i="25"/>
  <c r="T62" i="18"/>
  <c r="T113" i="18"/>
  <c r="T16" i="18" s="1"/>
  <c r="S113" i="18"/>
  <c r="S16" i="18" s="1"/>
  <c r="D17" i="9"/>
  <c r="D23" i="9" s="1"/>
  <c r="I52" i="3"/>
  <c r="T16" i="5"/>
  <c r="S16" i="5"/>
  <c r="R60" i="5"/>
  <c r="R9" i="5" s="1"/>
  <c r="Q41" i="5"/>
  <c r="Q42" i="5" s="1"/>
  <c r="Q8" i="5" s="1"/>
  <c r="R59" i="5"/>
  <c r="R61" i="5"/>
  <c r="R7" i="5" s="1"/>
  <c r="C28" i="23"/>
  <c r="F27" i="23"/>
  <c r="I27" i="23"/>
  <c r="O8" i="21"/>
  <c r="F27" i="9"/>
  <c r="G27" i="9" s="1"/>
  <c r="H27" i="9" s="1"/>
  <c r="I27" i="9" s="1"/>
  <c r="J27" i="9" s="1"/>
  <c r="K27" i="9" s="1"/>
  <c r="L27" i="9" s="1"/>
  <c r="M27" i="9" s="1"/>
  <c r="N27" i="9" s="1"/>
  <c r="O27" i="9" s="1"/>
  <c r="P27" i="9" s="1"/>
  <c r="Q27" i="9" s="1"/>
  <c r="R27" i="9" s="1"/>
  <c r="S27" i="9" s="1"/>
  <c r="E16" i="9"/>
  <c r="E22" i="9" s="1"/>
  <c r="J11" i="4" s="1"/>
  <c r="AB8" i="17"/>
  <c r="AD8" i="17" s="1"/>
  <c r="AF8" i="17" s="1"/>
  <c r="X8" i="17"/>
  <c r="AB36" i="17"/>
  <c r="AD36" i="17" s="1"/>
  <c r="AF36" i="17" s="1"/>
  <c r="X36" i="17"/>
  <c r="P43" i="17"/>
  <c r="T2" i="17"/>
  <c r="AB40" i="17"/>
  <c r="AD40" i="17" s="1"/>
  <c r="AF40" i="17" s="1"/>
  <c r="X40" i="17"/>
  <c r="AA33" i="17"/>
  <c r="AE33" i="17"/>
  <c r="AC33" i="17"/>
  <c r="AB33" i="17"/>
  <c r="AD33" i="17" s="1"/>
  <c r="AF33" i="17" s="1"/>
  <c r="X33" i="17"/>
  <c r="AE12" i="17"/>
  <c r="AC12" i="17"/>
  <c r="AC43" i="17" s="1"/>
  <c r="F95" i="17" s="1"/>
  <c r="J94" i="17" s="1"/>
  <c r="AA12" i="17"/>
  <c r="AA43" i="17" s="1"/>
  <c r="X12" i="17"/>
  <c r="AB3" i="17"/>
  <c r="AD3" i="17" s="1"/>
  <c r="AF3" i="17" s="1"/>
  <c r="X3" i="17"/>
  <c r="AB37" i="17"/>
  <c r="AD37" i="17" s="1"/>
  <c r="AF37" i="17" s="1"/>
  <c r="X37" i="17"/>
  <c r="AE24" i="17"/>
  <c r="AC24" i="17"/>
  <c r="AA24" i="17"/>
  <c r="AB24" i="17" s="1"/>
  <c r="AD24" i="17" s="1"/>
  <c r="AF24" i="17" s="1"/>
  <c r="X24" i="17"/>
  <c r="AE27" i="17"/>
  <c r="AC27" i="17"/>
  <c r="AA27" i="17"/>
  <c r="AB27" i="17" s="1"/>
  <c r="AD27" i="17" s="1"/>
  <c r="AF27" i="17" s="1"/>
  <c r="X27" i="17"/>
  <c r="AB42" i="17"/>
  <c r="AD42" i="17" s="1"/>
  <c r="AF42" i="17" s="1"/>
  <c r="X42" i="17"/>
  <c r="AB17" i="17"/>
  <c r="AD17" i="17" s="1"/>
  <c r="AF17" i="17" s="1"/>
  <c r="X17" i="17"/>
  <c r="AB4" i="17"/>
  <c r="AD4" i="17" s="1"/>
  <c r="AF4" i="17" s="1"/>
  <c r="X4" i="17"/>
  <c r="AB11" i="17"/>
  <c r="AD11" i="17" s="1"/>
  <c r="AF11" i="17" s="1"/>
  <c r="X11" i="17"/>
  <c r="AE19" i="17"/>
  <c r="AE43" i="17" s="1"/>
  <c r="F97" i="17" s="1"/>
  <c r="J98" i="17" s="1"/>
  <c r="AC19" i="17"/>
  <c r="AA19" i="17"/>
  <c r="AB19" i="17" s="1"/>
  <c r="AD19" i="17" s="1"/>
  <c r="AF19" i="17" s="1"/>
  <c r="X19" i="17"/>
  <c r="X61" i="17"/>
  <c r="AB41" i="17"/>
  <c r="AD41" i="17" s="1"/>
  <c r="AF41" i="17" s="1"/>
  <c r="X41" i="17"/>
  <c r="AB35" i="17"/>
  <c r="AD35" i="17" s="1"/>
  <c r="AF35" i="17" s="1"/>
  <c r="X35" i="17"/>
  <c r="AB10" i="17"/>
  <c r="AD10" i="17" s="1"/>
  <c r="AF10" i="17" s="1"/>
  <c r="X10" i="17"/>
  <c r="T62" i="17"/>
  <c r="R69" i="17"/>
  <c r="AB7" i="17"/>
  <c r="AD7" i="17" s="1"/>
  <c r="AF7" i="17" s="1"/>
  <c r="X7" i="17"/>
  <c r="AC23" i="17"/>
  <c r="AA23" i="17"/>
  <c r="AB23" i="17" s="1"/>
  <c r="AD23" i="17" s="1"/>
  <c r="AF23" i="17" s="1"/>
  <c r="AE23" i="17"/>
  <c r="X23" i="17"/>
  <c r="AA25" i="17"/>
  <c r="AE25" i="17"/>
  <c r="AC25" i="17"/>
  <c r="AB25" i="17"/>
  <c r="AD25" i="17" s="1"/>
  <c r="AF25" i="17" s="1"/>
  <c r="X25" i="17"/>
  <c r="AB5" i="17"/>
  <c r="AD5" i="17" s="1"/>
  <c r="AF5" i="17" s="1"/>
  <c r="X5" i="17"/>
  <c r="AC26" i="17"/>
  <c r="AA26" i="17"/>
  <c r="AB26" i="17" s="1"/>
  <c r="AD26" i="17" s="1"/>
  <c r="AF26" i="17" s="1"/>
  <c r="AE26" i="17"/>
  <c r="X26" i="17"/>
  <c r="F4" i="9"/>
  <c r="E7" i="9"/>
  <c r="F6" i="9" s="1"/>
  <c r="F5" i="9"/>
  <c r="E8" i="9"/>
  <c r="J13" i="3" s="1"/>
  <c r="D9" i="9"/>
  <c r="I33" i="3" s="1"/>
  <c r="D18" i="9" l="1"/>
  <c r="D19" i="9" s="1"/>
  <c r="K12" i="3"/>
  <c r="F16" i="9" s="1"/>
  <c r="F22" i="9" s="1"/>
  <c r="K11" i="4" s="1"/>
  <c r="D49" i="27"/>
  <c r="F49" i="27" s="1"/>
  <c r="G49" i="27"/>
  <c r="C50" i="27" s="1"/>
  <c r="S4" i="18"/>
  <c r="T114" i="18"/>
  <c r="T7" i="18" s="1"/>
  <c r="T4" i="18" s="1"/>
  <c r="S25" i="5"/>
  <c r="Q6" i="25"/>
  <c r="T25" i="5"/>
  <c r="R6" i="25"/>
  <c r="Q4" i="5"/>
  <c r="O7" i="25" s="1"/>
  <c r="O8" i="25" s="1"/>
  <c r="T60" i="5"/>
  <c r="T9" i="5" s="1"/>
  <c r="S60" i="5"/>
  <c r="S9" i="5" s="1"/>
  <c r="R41" i="5"/>
  <c r="R42" i="5" s="1"/>
  <c r="R8" i="5" s="1"/>
  <c r="S59" i="5"/>
  <c r="T59" i="5"/>
  <c r="T61" i="5"/>
  <c r="T7" i="5" s="1"/>
  <c r="S61" i="5"/>
  <c r="S7" i="5" s="1"/>
  <c r="K27" i="23"/>
  <c r="F11" i="18"/>
  <c r="G28" i="23"/>
  <c r="C29" i="23" s="1"/>
  <c r="D28" i="23"/>
  <c r="F28" i="23" s="1"/>
  <c r="Q6" i="21"/>
  <c r="S25" i="18"/>
  <c r="P6" i="21"/>
  <c r="P8" i="21" s="1"/>
  <c r="R25" i="18"/>
  <c r="U75" i="17"/>
  <c r="U77" i="17" s="1"/>
  <c r="S73" i="17"/>
  <c r="F91" i="17"/>
  <c r="V62" i="17"/>
  <c r="T69" i="17"/>
  <c r="AA91" i="17"/>
  <c r="AB12" i="17"/>
  <c r="AD12" i="17" s="1"/>
  <c r="AF12" i="17" s="1"/>
  <c r="T43" i="17"/>
  <c r="U2" i="17"/>
  <c r="E9" i="9"/>
  <c r="J29" i="3" s="1"/>
  <c r="G4" i="9"/>
  <c r="L12" i="3"/>
  <c r="G16" i="9" s="1"/>
  <c r="F7" i="9"/>
  <c r="F8" i="9"/>
  <c r="E18" i="9" l="1"/>
  <c r="E24" i="9" s="1"/>
  <c r="J13" i="4" s="1"/>
  <c r="G50" i="27"/>
  <c r="C51" i="27" s="1"/>
  <c r="D50" i="27"/>
  <c r="F50" i="27" s="1"/>
  <c r="Q7" i="21"/>
  <c r="Q8" i="21" s="1"/>
  <c r="R7" i="21"/>
  <c r="R4" i="5"/>
  <c r="P7" i="25" s="1"/>
  <c r="T41" i="5"/>
  <c r="T42" i="5" s="1"/>
  <c r="T8" i="5" s="1"/>
  <c r="S41" i="5"/>
  <c r="S42" i="5" s="1"/>
  <c r="S8" i="5" s="1"/>
  <c r="F15" i="18"/>
  <c r="F26" i="18" s="1"/>
  <c r="F27" i="18" s="1"/>
  <c r="F28" i="18" s="1"/>
  <c r="F29" i="18" s="1"/>
  <c r="F12" i="18"/>
  <c r="G29" i="23"/>
  <c r="C30" i="23" s="1"/>
  <c r="D29" i="23"/>
  <c r="F29" i="23" s="1"/>
  <c r="E17" i="9"/>
  <c r="E23" i="9" s="1"/>
  <c r="J12" i="4" s="1"/>
  <c r="J52" i="3"/>
  <c r="R6" i="21"/>
  <c r="T25" i="18"/>
  <c r="X62" i="17"/>
  <c r="X69" i="17" s="1"/>
  <c r="V69" i="17"/>
  <c r="U43" i="17"/>
  <c r="AB2" i="17"/>
  <c r="X2" i="17"/>
  <c r="K13" i="3"/>
  <c r="K52" i="3" s="1"/>
  <c r="D24" i="9"/>
  <c r="M12" i="3"/>
  <c r="H16" i="9" s="1"/>
  <c r="H4" i="9"/>
  <c r="G22" i="9"/>
  <c r="L11" i="4" s="1"/>
  <c r="D20" i="9"/>
  <c r="G6" i="9"/>
  <c r="F9" i="9"/>
  <c r="K33" i="3" s="1"/>
  <c r="F18" i="9" s="1"/>
  <c r="D51" i="27" l="1"/>
  <c r="G51" i="27"/>
  <c r="R8" i="21"/>
  <c r="P8" i="25"/>
  <c r="T4" i="5"/>
  <c r="R7" i="25" s="1"/>
  <c r="R8" i="25" s="1"/>
  <c r="S4" i="5"/>
  <c r="Q7" i="25" s="1"/>
  <c r="Q8" i="25" s="1"/>
  <c r="E19" i="9"/>
  <c r="E20" i="9" s="1"/>
  <c r="G30" i="23"/>
  <c r="C31" i="23" s="1"/>
  <c r="D30" i="23"/>
  <c r="F30" i="23" s="1"/>
  <c r="F17" i="9"/>
  <c r="F23" i="9" s="1"/>
  <c r="K12" i="4" s="1"/>
  <c r="AB43" i="17"/>
  <c r="F94" i="17" s="1"/>
  <c r="AD2" i="17"/>
  <c r="H22" i="9"/>
  <c r="M11" i="4" s="1"/>
  <c r="N12" i="3"/>
  <c r="I16" i="9" s="1"/>
  <c r="I4" i="9"/>
  <c r="G8" i="9"/>
  <c r="C52" i="27" l="1"/>
  <c r="D52" i="27" s="1"/>
  <c r="L32" i="3"/>
  <c r="F51" i="27"/>
  <c r="I51" i="27"/>
  <c r="K51" i="27" s="1"/>
  <c r="C11" i="25"/>
  <c r="C10" i="25"/>
  <c r="D31" i="23"/>
  <c r="F31" i="23" s="1"/>
  <c r="G31" i="23"/>
  <c r="C32" i="23" s="1"/>
  <c r="F19" i="9"/>
  <c r="F20" i="9" s="1"/>
  <c r="AD43" i="17"/>
  <c r="F96" i="17" s="1"/>
  <c r="F98" i="17" s="1"/>
  <c r="AF2" i="17"/>
  <c r="AF43" i="17" s="1"/>
  <c r="G96" i="17"/>
  <c r="F24" i="9"/>
  <c r="K13" i="4" s="1"/>
  <c r="J4" i="9"/>
  <c r="O12" i="3"/>
  <c r="J16" i="9" s="1"/>
  <c r="J22" i="9" s="1"/>
  <c r="O11" i="4" s="1"/>
  <c r="L13" i="3"/>
  <c r="L52" i="3" s="1"/>
  <c r="I22" i="9"/>
  <c r="N11" i="4" s="1"/>
  <c r="G52" i="27" l="1"/>
  <c r="C53" i="27" s="1"/>
  <c r="D53" i="27" s="1"/>
  <c r="F53" i="27" s="1"/>
  <c r="F52" i="27"/>
  <c r="D32" i="23"/>
  <c r="F32" i="23" s="1"/>
  <c r="G32" i="23"/>
  <c r="C33" i="23" s="1"/>
  <c r="G17" i="9"/>
  <c r="G23" i="9" s="1"/>
  <c r="L12" i="4" s="1"/>
  <c r="K4" i="9"/>
  <c r="K16" i="9"/>
  <c r="G53" i="27" l="1"/>
  <c r="C54" i="27" s="1"/>
  <c r="G54" i="27" s="1"/>
  <c r="C55" i="27" s="1"/>
  <c r="D54" i="27"/>
  <c r="G33" i="23"/>
  <c r="C34" i="23" s="1"/>
  <c r="D33" i="23"/>
  <c r="F33" i="23" s="1"/>
  <c r="K22" i="9"/>
  <c r="L16" i="9"/>
  <c r="L4" i="9"/>
  <c r="G55" i="27" l="1"/>
  <c r="C56" i="27" s="1"/>
  <c r="D55" i="27"/>
  <c r="F55" i="27" s="1"/>
  <c r="F54" i="27"/>
  <c r="D34" i="23"/>
  <c r="F34" i="23" s="1"/>
  <c r="G34" i="23"/>
  <c r="C35" i="23" s="1"/>
  <c r="L22" i="9"/>
  <c r="M4" i="9"/>
  <c r="M16" i="9"/>
  <c r="D56" i="27" l="1"/>
  <c r="G56" i="27"/>
  <c r="C57" i="27" s="1"/>
  <c r="D35" i="23"/>
  <c r="G35" i="23"/>
  <c r="C36" i="23" s="1"/>
  <c r="N4" i="9"/>
  <c r="N16" i="9"/>
  <c r="M22" i="9"/>
  <c r="D57" i="27" l="1"/>
  <c r="F57" i="27" s="1"/>
  <c r="G57" i="27"/>
  <c r="C58" i="27" s="1"/>
  <c r="F56" i="27"/>
  <c r="D36" i="23"/>
  <c r="F36" i="23" s="1"/>
  <c r="G36" i="23"/>
  <c r="C37" i="23" s="1"/>
  <c r="F35" i="23"/>
  <c r="O4" i="9"/>
  <c r="O16" i="9"/>
  <c r="O22" i="9" s="1"/>
  <c r="N22" i="9"/>
  <c r="D58" i="27" l="1"/>
  <c r="G58" i="27"/>
  <c r="C59" i="27" s="1"/>
  <c r="D37" i="23"/>
  <c r="G37" i="23"/>
  <c r="C38" i="23" s="1"/>
  <c r="P16" i="9"/>
  <c r="P4" i="9"/>
  <c r="D59" i="27" l="1"/>
  <c r="F59" i="27" s="1"/>
  <c r="G59" i="27"/>
  <c r="C60" i="27" s="1"/>
  <c r="F58" i="27"/>
  <c r="G38" i="23"/>
  <c r="C39" i="23" s="1"/>
  <c r="D38" i="23"/>
  <c r="F38" i="23" s="1"/>
  <c r="F37" i="23"/>
  <c r="P22" i="9"/>
  <c r="Q16" i="9"/>
  <c r="Q22" i="9" s="1"/>
  <c r="Q4" i="9"/>
  <c r="D60" i="27" l="1"/>
  <c r="F60" i="27" s="1"/>
  <c r="G60" i="27"/>
  <c r="C61" i="27" s="1"/>
  <c r="G39" i="23"/>
  <c r="D39" i="23"/>
  <c r="F39" i="23" s="1"/>
  <c r="S4" i="9"/>
  <c r="R4" i="9"/>
  <c r="R16" i="9"/>
  <c r="R22" i="9" s="1"/>
  <c r="D61" i="27" l="1"/>
  <c r="F61" i="27" s="1"/>
  <c r="G61" i="27"/>
  <c r="C62" i="27" s="1"/>
  <c r="I39" i="23"/>
  <c r="G11" i="18" s="1"/>
  <c r="C40" i="23"/>
  <c r="S16" i="9"/>
  <c r="S22" i="9" s="1"/>
  <c r="G62" i="27" l="1"/>
  <c r="C63" i="27" s="1"/>
  <c r="D62" i="27"/>
  <c r="F62" i="27" s="1"/>
  <c r="G15" i="18"/>
  <c r="G26" i="18" s="1"/>
  <c r="G12" i="18"/>
  <c r="K39" i="23"/>
  <c r="D40" i="23"/>
  <c r="F40" i="23" s="1"/>
  <c r="G40" i="23"/>
  <c r="C41" i="23" s="1"/>
  <c r="G63" i="27" l="1"/>
  <c r="D63" i="27"/>
  <c r="G27" i="18"/>
  <c r="G28" i="18" s="1"/>
  <c r="G29" i="18" s="1"/>
  <c r="D41" i="23"/>
  <c r="F41" i="23" s="1"/>
  <c r="G41" i="23"/>
  <c r="C42" i="23" s="1"/>
  <c r="C64" i="27" l="1"/>
  <c r="D64" i="27" s="1"/>
  <c r="M32" i="3"/>
  <c r="F63" i="27"/>
  <c r="I63" i="27"/>
  <c r="K63" i="27" s="1"/>
  <c r="G42" i="23"/>
  <c r="C43" i="23" s="1"/>
  <c r="D42" i="23"/>
  <c r="F42" i="23" s="1"/>
  <c r="G64" i="27" l="1"/>
  <c r="C65" i="27" s="1"/>
  <c r="D65" i="27" s="1"/>
  <c r="F65" i="27" s="1"/>
  <c r="F64" i="27"/>
  <c r="D43" i="23"/>
  <c r="F43" i="23" s="1"/>
  <c r="G43" i="23"/>
  <c r="C44" i="23" s="1"/>
  <c r="G65" i="27" l="1"/>
  <c r="C66" i="27" s="1"/>
  <c r="D66" i="27" s="1"/>
  <c r="F66" i="27" s="1"/>
  <c r="D44" i="23"/>
  <c r="F44" i="23" s="1"/>
  <c r="G44" i="23"/>
  <c r="C45" i="23" s="1"/>
  <c r="G66" i="27" l="1"/>
  <c r="C67" i="27" s="1"/>
  <c r="G67" i="27" s="1"/>
  <c r="C68" i="27" s="1"/>
  <c r="D45" i="23"/>
  <c r="F45" i="23" s="1"/>
  <c r="G45" i="23"/>
  <c r="C46" i="23" s="1"/>
  <c r="D67" i="27" l="1"/>
  <c r="F67" i="27" s="1"/>
  <c r="D68" i="27"/>
  <c r="F68" i="27" s="1"/>
  <c r="G68" i="27"/>
  <c r="C69" i="27" s="1"/>
  <c r="G46" i="23"/>
  <c r="C47" i="23" s="1"/>
  <c r="D46" i="23"/>
  <c r="D69" i="27" l="1"/>
  <c r="F69" i="27" s="1"/>
  <c r="G69" i="27"/>
  <c r="C70" i="27" s="1"/>
  <c r="F46" i="23"/>
  <c r="D47" i="23"/>
  <c r="F47" i="23" s="1"/>
  <c r="G47" i="23"/>
  <c r="C48" i="23" s="1"/>
  <c r="D70" i="27" l="1"/>
  <c r="G70" i="27"/>
  <c r="C71" i="27" s="1"/>
  <c r="D48" i="23"/>
  <c r="G48" i="23"/>
  <c r="C49" i="23" s="1"/>
  <c r="G71" i="27" l="1"/>
  <c r="C72" i="27" s="1"/>
  <c r="D71" i="27"/>
  <c r="F71" i="27" s="1"/>
  <c r="F70" i="27"/>
  <c r="D49" i="23"/>
  <c r="F49" i="23" s="1"/>
  <c r="G49" i="23"/>
  <c r="C50" i="23" s="1"/>
  <c r="F48" i="23"/>
  <c r="G72" i="27" l="1"/>
  <c r="C73" i="27" s="1"/>
  <c r="D72" i="27"/>
  <c r="F72" i="27" s="1"/>
  <c r="G50" i="23"/>
  <c r="C51" i="23" s="1"/>
  <c r="D50" i="23"/>
  <c r="D73" i="27" l="1"/>
  <c r="F73" i="27" s="1"/>
  <c r="G73" i="27"/>
  <c r="C74" i="27" s="1"/>
  <c r="F50" i="23"/>
  <c r="G51" i="23"/>
  <c r="D51" i="23"/>
  <c r="F51" i="23" s="1"/>
  <c r="D74" i="27" l="1"/>
  <c r="F74" i="27" s="1"/>
  <c r="G74" i="27"/>
  <c r="C75" i="27" s="1"/>
  <c r="C52" i="23"/>
  <c r="I51" i="23"/>
  <c r="Y81" i="8"/>
  <c r="Z81" i="8" s="1"/>
  <c r="Y82" i="8"/>
  <c r="Z82" i="8" s="1"/>
  <c r="Y83" i="8"/>
  <c r="Y84" i="8"/>
  <c r="Y85" i="8"/>
  <c r="Y86" i="8"/>
  <c r="Y87" i="8"/>
  <c r="Y88" i="8"/>
  <c r="Y89" i="8"/>
  <c r="Z89" i="8" s="1"/>
  <c r="AA89" i="8" s="1"/>
  <c r="AB89" i="8" s="1"/>
  <c r="AC89" i="8" s="1"/>
  <c r="AD89" i="8" s="1"/>
  <c r="AE89" i="8" s="1"/>
  <c r="AF89" i="8" s="1"/>
  <c r="AG89" i="8" s="1"/>
  <c r="AH89" i="8" s="1"/>
  <c r="AI89" i="8" s="1"/>
  <c r="AJ89" i="8" s="1"/>
  <c r="AK89" i="8" s="1"/>
  <c r="AL89" i="8" s="1"/>
  <c r="AM89" i="8" s="1"/>
  <c r="Y90" i="8"/>
  <c r="Z90" i="8" s="1"/>
  <c r="AA90" i="8" s="1"/>
  <c r="AB90" i="8" s="1"/>
  <c r="AC90" i="8" s="1"/>
  <c r="AD90" i="8" s="1"/>
  <c r="AE90" i="8" s="1"/>
  <c r="AF90" i="8" s="1"/>
  <c r="AG90" i="8" s="1"/>
  <c r="AH90" i="8" s="1"/>
  <c r="AI90" i="8" s="1"/>
  <c r="AJ90" i="8" s="1"/>
  <c r="AK90" i="8" s="1"/>
  <c r="AL90" i="8" s="1"/>
  <c r="AM90" i="8" s="1"/>
  <c r="Y91" i="8"/>
  <c r="Y92" i="8"/>
  <c r="Z92" i="8" s="1"/>
  <c r="AA92" i="8" s="1"/>
  <c r="AB92" i="8" s="1"/>
  <c r="AC92" i="8" s="1"/>
  <c r="AD92" i="8" s="1"/>
  <c r="AE92" i="8" s="1"/>
  <c r="AF92" i="8" s="1"/>
  <c r="AG92" i="8" s="1"/>
  <c r="AH92" i="8" s="1"/>
  <c r="AI92" i="8" s="1"/>
  <c r="AJ92" i="8" s="1"/>
  <c r="AK92" i="8" s="1"/>
  <c r="AL92" i="8" s="1"/>
  <c r="AM92" i="8" s="1"/>
  <c r="Y93" i="8"/>
  <c r="Y94" i="8"/>
  <c r="Y95" i="8"/>
  <c r="Z95" i="8" s="1"/>
  <c r="AA95" i="8" s="1"/>
  <c r="AB95" i="8" s="1"/>
  <c r="AC95" i="8" s="1"/>
  <c r="AD95" i="8" s="1"/>
  <c r="AE95" i="8" s="1"/>
  <c r="AF95" i="8" s="1"/>
  <c r="AG95" i="8" s="1"/>
  <c r="AH95" i="8" s="1"/>
  <c r="AI95" i="8" s="1"/>
  <c r="AJ95" i="8" s="1"/>
  <c r="AK95" i="8" s="1"/>
  <c r="AL95" i="8" s="1"/>
  <c r="AM95" i="8" s="1"/>
  <c r="Y96" i="8"/>
  <c r="Z96" i="8" s="1"/>
  <c r="AA96" i="8" s="1"/>
  <c r="AB96" i="8" s="1"/>
  <c r="AC96" i="8" s="1"/>
  <c r="AD96" i="8" s="1"/>
  <c r="AE96" i="8" s="1"/>
  <c r="AF96" i="8" s="1"/>
  <c r="AG96" i="8" s="1"/>
  <c r="AH96" i="8" s="1"/>
  <c r="AI96" i="8" s="1"/>
  <c r="AJ96" i="8" s="1"/>
  <c r="AK96" i="8" s="1"/>
  <c r="AL96" i="8" s="1"/>
  <c r="AM96" i="8" s="1"/>
  <c r="Y97" i="8"/>
  <c r="Z97" i="8" s="1"/>
  <c r="Y98" i="8"/>
  <c r="Z98" i="8" s="1"/>
  <c r="AA98" i="8" s="1"/>
  <c r="AB98" i="8" s="1"/>
  <c r="AC98" i="8" s="1"/>
  <c r="AD98" i="8" s="1"/>
  <c r="AE98" i="8" s="1"/>
  <c r="AF98" i="8" s="1"/>
  <c r="AG98" i="8" s="1"/>
  <c r="AH98" i="8" s="1"/>
  <c r="AI98" i="8" s="1"/>
  <c r="AJ98" i="8" s="1"/>
  <c r="AK98" i="8" s="1"/>
  <c r="AL98" i="8" s="1"/>
  <c r="AM98" i="8" s="1"/>
  <c r="Y99" i="8"/>
  <c r="Y100" i="8"/>
  <c r="Y101" i="8"/>
  <c r="Y102" i="8"/>
  <c r="Z102" i="8" s="1"/>
  <c r="AA102" i="8" s="1"/>
  <c r="AB102" i="8" s="1"/>
  <c r="AC102" i="8" s="1"/>
  <c r="AD102" i="8" s="1"/>
  <c r="AE102" i="8" s="1"/>
  <c r="AF102" i="8" s="1"/>
  <c r="AG102" i="8" s="1"/>
  <c r="AH102" i="8" s="1"/>
  <c r="AI102" i="8" s="1"/>
  <c r="AJ102" i="8" s="1"/>
  <c r="AK102" i="8" s="1"/>
  <c r="AL102" i="8" s="1"/>
  <c r="AM102" i="8" s="1"/>
  <c r="Y103" i="8"/>
  <c r="Z103" i="8" s="1"/>
  <c r="AA103" i="8" s="1"/>
  <c r="AB103" i="8" s="1"/>
  <c r="AC103" i="8" s="1"/>
  <c r="AD103" i="8" s="1"/>
  <c r="AE103" i="8" s="1"/>
  <c r="AF103" i="8" s="1"/>
  <c r="AG103" i="8" s="1"/>
  <c r="AH103" i="8" s="1"/>
  <c r="AI103" i="8" s="1"/>
  <c r="AJ103" i="8" s="1"/>
  <c r="AK103" i="8" s="1"/>
  <c r="AL103" i="8" s="1"/>
  <c r="AM103" i="8" s="1"/>
  <c r="Y104" i="8"/>
  <c r="Y105" i="8"/>
  <c r="Z105" i="8" s="1"/>
  <c r="AA105" i="8" s="1"/>
  <c r="AB105" i="8" s="1"/>
  <c r="AC105" i="8" s="1"/>
  <c r="AD105" i="8" s="1"/>
  <c r="AE105" i="8" s="1"/>
  <c r="AF105" i="8" s="1"/>
  <c r="AG105" i="8" s="1"/>
  <c r="AH105" i="8" s="1"/>
  <c r="AI105" i="8" s="1"/>
  <c r="AJ105" i="8" s="1"/>
  <c r="AK105" i="8" s="1"/>
  <c r="AL105" i="8" s="1"/>
  <c r="AM105" i="8" s="1"/>
  <c r="Y106" i="8"/>
  <c r="Z106" i="8" s="1"/>
  <c r="AA106" i="8" s="1"/>
  <c r="AB106" i="8" s="1"/>
  <c r="AC106" i="8" s="1"/>
  <c r="AD106" i="8" s="1"/>
  <c r="AE106" i="8" s="1"/>
  <c r="AF106" i="8" s="1"/>
  <c r="AG106" i="8" s="1"/>
  <c r="AH106" i="8" s="1"/>
  <c r="AI106" i="8" s="1"/>
  <c r="AJ106" i="8" s="1"/>
  <c r="AK106" i="8" s="1"/>
  <c r="AL106" i="8" s="1"/>
  <c r="AM106" i="8" s="1"/>
  <c r="Y107" i="8"/>
  <c r="Y108" i="8"/>
  <c r="Y109" i="8"/>
  <c r="Z109" i="8" s="1"/>
  <c r="AA109" i="8" s="1"/>
  <c r="AB109" i="8" s="1"/>
  <c r="AC109" i="8" s="1"/>
  <c r="AD109" i="8" s="1"/>
  <c r="AE109" i="8" s="1"/>
  <c r="AF109" i="8" s="1"/>
  <c r="Y110" i="8"/>
  <c r="Y111" i="8"/>
  <c r="Y112" i="8"/>
  <c r="Y113" i="8"/>
  <c r="Y114" i="8"/>
  <c r="Y115" i="8"/>
  <c r="Y117" i="8"/>
  <c r="Y118" i="8"/>
  <c r="Y119" i="8"/>
  <c r="Z119" i="8" s="1"/>
  <c r="Y121" i="8"/>
  <c r="Y122" i="8"/>
  <c r="Z122" i="8" s="1"/>
  <c r="AA122" i="8" s="1"/>
  <c r="Y123" i="8"/>
  <c r="Y124" i="8"/>
  <c r="Y125" i="8"/>
  <c r="Z125" i="8" s="1"/>
  <c r="AA125" i="8" s="1"/>
  <c r="Y126" i="8"/>
  <c r="Y127" i="8"/>
  <c r="Z127" i="8" s="1"/>
  <c r="AA127" i="8" s="1"/>
  <c r="Y128" i="8"/>
  <c r="Y129" i="8"/>
  <c r="Y130" i="8"/>
  <c r="Z130" i="8" s="1"/>
  <c r="AA130" i="8" s="1"/>
  <c r="AB130" i="8" s="1"/>
  <c r="AC130" i="8" s="1"/>
  <c r="AD130" i="8" s="1"/>
  <c r="AE130" i="8" s="1"/>
  <c r="AF130" i="8" s="1"/>
  <c r="Y131" i="8"/>
  <c r="Y132" i="8"/>
  <c r="Z132" i="8" s="1"/>
  <c r="AA132" i="8" s="1"/>
  <c r="AB132" i="8" s="1"/>
  <c r="AC132" i="8" s="1"/>
  <c r="AD132" i="8" s="1"/>
  <c r="AE132" i="8" s="1"/>
  <c r="AF132" i="8" s="1"/>
  <c r="AG132" i="8" s="1"/>
  <c r="AH132" i="8" s="1"/>
  <c r="AI132" i="8" s="1"/>
  <c r="AJ132" i="8" s="1"/>
  <c r="AK132" i="8" s="1"/>
  <c r="AL132" i="8" s="1"/>
  <c r="AM132" i="8" s="1"/>
  <c r="Y133" i="8"/>
  <c r="Z133" i="8" s="1"/>
  <c r="Y134" i="8"/>
  <c r="Y135" i="8"/>
  <c r="Z135" i="8" s="1"/>
  <c r="Y136" i="8"/>
  <c r="Z136" i="8" s="1"/>
  <c r="Y137" i="8"/>
  <c r="Z137" i="8" s="1"/>
  <c r="Y138" i="8"/>
  <c r="Y143" i="8"/>
  <c r="Z143" i="8" s="1"/>
  <c r="AA143" i="8" s="1"/>
  <c r="AB143" i="8" s="1"/>
  <c r="AC143" i="8" s="1"/>
  <c r="Y144" i="8"/>
  <c r="Z144" i="8" s="1"/>
  <c r="AA144" i="8" s="1"/>
  <c r="Y145" i="8"/>
  <c r="Z145" i="8" s="1"/>
  <c r="AA145" i="8" s="1"/>
  <c r="AB145" i="8" s="1"/>
  <c r="AC145" i="8" s="1"/>
  <c r="AD145" i="8" s="1"/>
  <c r="Y146" i="8"/>
  <c r="Z146" i="8" s="1"/>
  <c r="AA146" i="8" s="1"/>
  <c r="AB146" i="8" s="1"/>
  <c r="AC146" i="8" s="1"/>
  <c r="AD146" i="8" s="1"/>
  <c r="AE146" i="8" s="1"/>
  <c r="Y147" i="8"/>
  <c r="Y148" i="8"/>
  <c r="Y149" i="8"/>
  <c r="Y150" i="8"/>
  <c r="Y151" i="8"/>
  <c r="Z151" i="8" s="1"/>
  <c r="AA151" i="8" s="1"/>
  <c r="AB151" i="8" s="1"/>
  <c r="AC151" i="8" s="1"/>
  <c r="AD151" i="8" s="1"/>
  <c r="AE151" i="8" s="1"/>
  <c r="AF151" i="8" s="1"/>
  <c r="AG151" i="8" s="1"/>
  <c r="AH151" i="8" s="1"/>
  <c r="AI151" i="8" s="1"/>
  <c r="AJ151" i="8" s="1"/>
  <c r="AK151" i="8" s="1"/>
  <c r="AL151" i="8" s="1"/>
  <c r="AM151" i="8" s="1"/>
  <c r="Y152" i="8"/>
  <c r="Y153" i="8"/>
  <c r="Y154" i="8"/>
  <c r="Y155" i="8"/>
  <c r="Y156" i="8"/>
  <c r="Y157" i="8"/>
  <c r="Y158" i="8"/>
  <c r="Y159" i="8"/>
  <c r="Y160" i="8"/>
  <c r="Y161" i="8"/>
  <c r="Z161" i="8" s="1"/>
  <c r="AA161" i="8" s="1"/>
  <c r="Y162" i="8"/>
  <c r="Z162" i="8" s="1"/>
  <c r="Y163" i="8"/>
  <c r="Y164" i="8"/>
  <c r="Y165" i="8"/>
  <c r="Y166" i="8"/>
  <c r="Y167" i="8"/>
  <c r="Z167" i="8" s="1"/>
  <c r="AA167" i="8" s="1"/>
  <c r="AB167" i="8" s="1"/>
  <c r="AC167" i="8" s="1"/>
  <c r="AD167" i="8" s="1"/>
  <c r="AE167" i="8" s="1"/>
  <c r="AF167" i="8" s="1"/>
  <c r="AG167" i="8" s="1"/>
  <c r="AH167" i="8" s="1"/>
  <c r="AI167" i="8" s="1"/>
  <c r="AJ167" i="8" s="1"/>
  <c r="AK167" i="8" s="1"/>
  <c r="AL167" i="8" s="1"/>
  <c r="AM167" i="8" s="1"/>
  <c r="Y168" i="8"/>
  <c r="Y169" i="8"/>
  <c r="Y170" i="8"/>
  <c r="Z170" i="8" s="1"/>
  <c r="Y171" i="8"/>
  <c r="Z171" i="8" s="1"/>
  <c r="AA171" i="8" s="1"/>
  <c r="AB171" i="8" s="1"/>
  <c r="Y172" i="8"/>
  <c r="Y173" i="8"/>
  <c r="Y174" i="8"/>
  <c r="Z174" i="8" s="1"/>
  <c r="AA174" i="8" s="1"/>
  <c r="Y175" i="8"/>
  <c r="Z175" i="8" s="1"/>
  <c r="AA175" i="8" s="1"/>
  <c r="Y177" i="8"/>
  <c r="Z177" i="8" s="1"/>
  <c r="Y179" i="8"/>
  <c r="Z179" i="8" s="1"/>
  <c r="AA179" i="8" s="1"/>
  <c r="AB179" i="8" s="1"/>
  <c r="Y180" i="8"/>
  <c r="Y181" i="8"/>
  <c r="Y182" i="8"/>
  <c r="Y183" i="8"/>
  <c r="Z183" i="8" s="1"/>
  <c r="Y184" i="8"/>
  <c r="Y185" i="8"/>
  <c r="Y186" i="8"/>
  <c r="Y187" i="8"/>
  <c r="Y188" i="8"/>
  <c r="Y189" i="8"/>
  <c r="Y190" i="8"/>
  <c r="Y191" i="8"/>
  <c r="Z191" i="8" s="1"/>
  <c r="AA191" i="8" s="1"/>
  <c r="Y193" i="8"/>
  <c r="Y194" i="8"/>
  <c r="Z194" i="8" s="1"/>
  <c r="AA194" i="8" s="1"/>
  <c r="Y197" i="8"/>
  <c r="Z197" i="8" s="1"/>
  <c r="AA197" i="8" s="1"/>
  <c r="AB197" i="8" s="1"/>
  <c r="Y198" i="8"/>
  <c r="Z198" i="8" s="1"/>
  <c r="AA198" i="8" s="1"/>
  <c r="AB198" i="8" s="1"/>
  <c r="AC198" i="8" s="1"/>
  <c r="Y199" i="8"/>
  <c r="Y200" i="8"/>
  <c r="Z200" i="8" s="1"/>
  <c r="AA200" i="8" s="1"/>
  <c r="AB200" i="8" s="1"/>
  <c r="AC200" i="8" s="1"/>
  <c r="AD200" i="8" s="1"/>
  <c r="AE200" i="8" s="1"/>
  <c r="AF200" i="8" s="1"/>
  <c r="AG200" i="8" s="1"/>
  <c r="AH200" i="8" s="1"/>
  <c r="AI200" i="8" s="1"/>
  <c r="AJ200" i="8" s="1"/>
  <c r="AK200" i="8" s="1"/>
  <c r="AL200" i="8" s="1"/>
  <c r="AM200" i="8" s="1"/>
  <c r="Y201" i="8"/>
  <c r="Z201" i="8" s="1"/>
  <c r="AA201" i="8" s="1"/>
  <c r="AB201" i="8" s="1"/>
  <c r="AC201" i="8" s="1"/>
  <c r="AD201" i="8" s="1"/>
  <c r="AE201" i="8" s="1"/>
  <c r="AF201" i="8" s="1"/>
  <c r="AG201" i="8" s="1"/>
  <c r="AH201" i="8" s="1"/>
  <c r="AI201" i="8" s="1"/>
  <c r="AJ201" i="8" s="1"/>
  <c r="AK201" i="8" s="1"/>
  <c r="AL201" i="8" s="1"/>
  <c r="AM201" i="8" s="1"/>
  <c r="Y202" i="8"/>
  <c r="Z202" i="8" s="1"/>
  <c r="Y205" i="8"/>
  <c r="Z205" i="8" s="1"/>
  <c r="AA205" i="8" s="1"/>
  <c r="AB205" i="8" s="1"/>
  <c r="AC205" i="8" s="1"/>
  <c r="AD205" i="8" s="1"/>
  <c r="Y206" i="8"/>
  <c r="Y207" i="8"/>
  <c r="Z207" i="8" s="1"/>
  <c r="AA207" i="8" s="1"/>
  <c r="AB207" i="8" s="1"/>
  <c r="AC207" i="8" s="1"/>
  <c r="AD207" i="8" s="1"/>
  <c r="AE207" i="8" s="1"/>
  <c r="AF207" i="8" s="1"/>
  <c r="AG207" i="8" s="1"/>
  <c r="AH207" i="8" s="1"/>
  <c r="AI207" i="8" s="1"/>
  <c r="Y208" i="8"/>
  <c r="Y209" i="8"/>
  <c r="Z209" i="8" s="1"/>
  <c r="AA209" i="8" s="1"/>
  <c r="AB209" i="8" s="1"/>
  <c r="AC209" i="8" s="1"/>
  <c r="Y210" i="8"/>
  <c r="Z210" i="8" s="1"/>
  <c r="Y211" i="8"/>
  <c r="Y212" i="8"/>
  <c r="Z212" i="8" s="1"/>
  <c r="AA212" i="8" s="1"/>
  <c r="AB212" i="8" s="1"/>
  <c r="AC212" i="8" s="1"/>
  <c r="AD212" i="8" s="1"/>
  <c r="AE212" i="8" s="1"/>
  <c r="AF212" i="8" s="1"/>
  <c r="AG212" i="8" s="1"/>
  <c r="AH212" i="8" s="1"/>
  <c r="AI212" i="8" s="1"/>
  <c r="AJ212" i="8" s="1"/>
  <c r="AK212" i="8" s="1"/>
  <c r="AL212" i="8" s="1"/>
  <c r="AM212" i="8" s="1"/>
  <c r="Y213" i="8"/>
  <c r="Y214" i="8"/>
  <c r="Y215" i="8"/>
  <c r="Y217" i="8"/>
  <c r="Y218" i="8"/>
  <c r="Y219" i="8"/>
  <c r="Y221" i="8"/>
  <c r="Y223" i="8"/>
  <c r="Z223" i="8" s="1"/>
  <c r="AA223" i="8" s="1"/>
  <c r="AB223" i="8" s="1"/>
  <c r="AC223" i="8" s="1"/>
  <c r="AD223" i="8" s="1"/>
  <c r="AE223" i="8" s="1"/>
  <c r="AF223" i="8" s="1"/>
  <c r="Y225" i="8"/>
  <c r="Z225" i="8" s="1"/>
  <c r="AA225" i="8" s="1"/>
  <c r="AB225" i="8" s="1"/>
  <c r="AC225" i="8" s="1"/>
  <c r="Y226" i="8"/>
  <c r="Z226" i="8" s="1"/>
  <c r="AA226" i="8" s="1"/>
  <c r="AB226" i="8" s="1"/>
  <c r="AC226" i="8" s="1"/>
  <c r="AD226" i="8" s="1"/>
  <c r="AE226" i="8" s="1"/>
  <c r="AF226" i="8" s="1"/>
  <c r="AG226" i="8" s="1"/>
  <c r="Y227" i="8"/>
  <c r="Y228" i="8"/>
  <c r="Y229" i="8"/>
  <c r="Y230" i="8"/>
  <c r="Z230" i="8" s="1"/>
  <c r="AA230" i="8" s="1"/>
  <c r="AB230" i="8" s="1"/>
  <c r="AC230" i="8" s="1"/>
  <c r="AD230" i="8" s="1"/>
  <c r="AE230" i="8" s="1"/>
  <c r="AF230" i="8" s="1"/>
  <c r="Y232" i="8"/>
  <c r="Z232" i="8" s="1"/>
  <c r="Y233" i="8"/>
  <c r="Y234" i="8"/>
  <c r="Z234" i="8" s="1"/>
  <c r="Y235" i="8"/>
  <c r="Y236" i="8"/>
  <c r="Y237" i="8"/>
  <c r="Y238" i="8"/>
  <c r="Y239" i="8"/>
  <c r="Y240" i="8"/>
  <c r="Y241" i="8"/>
  <c r="Z241" i="8" s="1"/>
  <c r="Y243" i="8"/>
  <c r="Y244" i="8"/>
  <c r="Z244" i="8" s="1"/>
  <c r="Y245" i="8"/>
  <c r="Y246" i="8"/>
  <c r="Y247" i="8"/>
  <c r="Y248" i="8"/>
  <c r="Z248" i="8" s="1"/>
  <c r="AA248" i="8" s="1"/>
  <c r="Y249" i="8"/>
  <c r="Z249" i="8" s="1"/>
  <c r="AA249" i="8" s="1"/>
  <c r="Y250" i="8"/>
  <c r="Y251" i="8"/>
  <c r="Y252" i="8"/>
  <c r="Z252" i="8" s="1"/>
  <c r="AA252" i="8" s="1"/>
  <c r="AB252" i="8" s="1"/>
  <c r="AC252" i="8" s="1"/>
  <c r="AD252" i="8" s="1"/>
  <c r="AE252" i="8" s="1"/>
  <c r="AF252" i="8" s="1"/>
  <c r="AG252" i="8" s="1"/>
  <c r="AH252" i="8" s="1"/>
  <c r="AI252" i="8" s="1"/>
  <c r="AJ252" i="8" s="1"/>
  <c r="AK252" i="8" s="1"/>
  <c r="AL252" i="8" s="1"/>
  <c r="AM252" i="8" s="1"/>
  <c r="Y253" i="8"/>
  <c r="Z253" i="8" s="1"/>
  <c r="AA253" i="8" s="1"/>
  <c r="AB253" i="8" s="1"/>
  <c r="AC253" i="8" s="1"/>
  <c r="AD253" i="8" s="1"/>
  <c r="AE253" i="8" s="1"/>
  <c r="AF253" i="8" s="1"/>
  <c r="AG253" i="8" s="1"/>
  <c r="AH253" i="8" s="1"/>
  <c r="AI253" i="8" s="1"/>
  <c r="AJ253" i="8" s="1"/>
  <c r="AK253" i="8" s="1"/>
  <c r="AL253" i="8" s="1"/>
  <c r="AM253" i="8" s="1"/>
  <c r="Y254" i="8"/>
  <c r="Y255" i="8"/>
  <c r="Y256" i="8"/>
  <c r="Z256" i="8" s="1"/>
  <c r="AA256" i="8" s="1"/>
  <c r="AB256" i="8" s="1"/>
  <c r="AC256" i="8" s="1"/>
  <c r="AD256" i="8" s="1"/>
  <c r="Y257" i="8"/>
  <c r="Y261" i="8"/>
  <c r="Y80" i="8"/>
  <c r="Z80" i="8" s="1"/>
  <c r="Y45" i="8"/>
  <c r="Y46" i="8"/>
  <c r="Y47" i="8"/>
  <c r="Z47" i="8" s="1"/>
  <c r="AA47" i="8" s="1"/>
  <c r="AB47" i="8" s="1"/>
  <c r="AC47" i="8" s="1"/>
  <c r="AD47" i="8" s="1"/>
  <c r="AE47" i="8" s="1"/>
  <c r="Y48" i="8"/>
  <c r="Y49" i="8"/>
  <c r="Y50" i="8"/>
  <c r="Z50" i="8" s="1"/>
  <c r="Y51" i="8"/>
  <c r="Y52" i="8"/>
  <c r="Y53" i="8"/>
  <c r="Y54" i="8"/>
  <c r="Y55" i="8"/>
  <c r="Z55" i="8" s="1"/>
  <c r="AA55" i="8" s="1"/>
  <c r="AB55" i="8" s="1"/>
  <c r="AC55" i="8" s="1"/>
  <c r="AD55" i="8" s="1"/>
  <c r="AE55" i="8" s="1"/>
  <c r="AF55" i="8" s="1"/>
  <c r="Y56" i="8"/>
  <c r="Z56" i="8" s="1"/>
  <c r="AA56" i="8" s="1"/>
  <c r="AB56" i="8" s="1"/>
  <c r="AC56" i="8" s="1"/>
  <c r="AD56" i="8" s="1"/>
  <c r="AE56" i="8" s="1"/>
  <c r="Y57" i="8"/>
  <c r="Z57" i="8" s="1"/>
  <c r="AA57" i="8" s="1"/>
  <c r="AB57" i="8" s="1"/>
  <c r="AC57" i="8" s="1"/>
  <c r="AD57" i="8" s="1"/>
  <c r="AE57" i="8" s="1"/>
  <c r="AF57" i="8" s="1"/>
  <c r="AG57" i="8" s="1"/>
  <c r="Y58" i="8"/>
  <c r="Z58" i="8" s="1"/>
  <c r="AA58" i="8" s="1"/>
  <c r="AB58" i="8" s="1"/>
  <c r="AC58" i="8" s="1"/>
  <c r="AD58" i="8" s="1"/>
  <c r="Y59" i="8"/>
  <c r="Z59" i="8" s="1"/>
  <c r="AA59" i="8" s="1"/>
  <c r="AB59" i="8" s="1"/>
  <c r="AC59" i="8" s="1"/>
  <c r="AD59" i="8" s="1"/>
  <c r="AE59" i="8" s="1"/>
  <c r="AF59" i="8" s="1"/>
  <c r="AG59" i="8" s="1"/>
  <c r="Y60" i="8"/>
  <c r="Z60" i="8" s="1"/>
  <c r="AA60" i="8" s="1"/>
  <c r="AB60" i="8" s="1"/>
  <c r="AC60" i="8" s="1"/>
  <c r="AD60" i="8" s="1"/>
  <c r="AE60" i="8" s="1"/>
  <c r="Y61" i="8"/>
  <c r="Y62" i="8"/>
  <c r="Y63" i="8"/>
  <c r="Z63" i="8" s="1"/>
  <c r="Y64" i="8"/>
  <c r="Y65" i="8"/>
  <c r="Y66" i="8"/>
  <c r="Y67" i="8"/>
  <c r="Z67" i="8" s="1"/>
  <c r="AA67" i="8" s="1"/>
  <c r="AB67" i="8" s="1"/>
  <c r="AC67" i="8" s="1"/>
  <c r="AD67" i="8" s="1"/>
  <c r="AE67" i="8" s="1"/>
  <c r="AF67" i="8" s="1"/>
  <c r="AG67" i="8" s="1"/>
  <c r="AH67" i="8" s="1"/>
  <c r="AI67" i="8" s="1"/>
  <c r="AJ67" i="8" s="1"/>
  <c r="AK67" i="8" s="1"/>
  <c r="AL67" i="8" s="1"/>
  <c r="AM67" i="8" s="1"/>
  <c r="Y68" i="8"/>
  <c r="Y69" i="8"/>
  <c r="Y70" i="8"/>
  <c r="Y71" i="8"/>
  <c r="Z71" i="8" s="1"/>
  <c r="Y72" i="8"/>
  <c r="Y73" i="8"/>
  <c r="Y74" i="8"/>
  <c r="Z74" i="8" s="1"/>
  <c r="Y75" i="8"/>
  <c r="Y76" i="8"/>
  <c r="Y37" i="8"/>
  <c r="Y38" i="8"/>
  <c r="Y39" i="8"/>
  <c r="Z39" i="8" s="1"/>
  <c r="AA39" i="8" s="1"/>
  <c r="Y40" i="8"/>
  <c r="Y41" i="8"/>
  <c r="Y42" i="8"/>
  <c r="Z42" i="8" s="1"/>
  <c r="AA42" i="8" s="1"/>
  <c r="AB42" i="8" s="1"/>
  <c r="AC42" i="8" s="1"/>
  <c r="AD42" i="8" s="1"/>
  <c r="Y43" i="8"/>
  <c r="Y44" i="8"/>
  <c r="Y4" i="8"/>
  <c r="Y5" i="8"/>
  <c r="Y6" i="8"/>
  <c r="Y7" i="8"/>
  <c r="Z7" i="8" s="1"/>
  <c r="AA7" i="8" s="1"/>
  <c r="AB7" i="8" s="1"/>
  <c r="AC7" i="8" s="1"/>
  <c r="AD7" i="8" s="1"/>
  <c r="AE7" i="8" s="1"/>
  <c r="AF7" i="8" s="1"/>
  <c r="AG7" i="8" s="1"/>
  <c r="AH7" i="8" s="1"/>
  <c r="AI7" i="8" s="1"/>
  <c r="Y8" i="8"/>
  <c r="Y9" i="8"/>
  <c r="Y10" i="8"/>
  <c r="Z10" i="8" s="1"/>
  <c r="AA10" i="8" s="1"/>
  <c r="Y11" i="8"/>
  <c r="Y12" i="8"/>
  <c r="Y13" i="8"/>
  <c r="Y14" i="8"/>
  <c r="Y15" i="8"/>
  <c r="Z15" i="8" s="1"/>
  <c r="AA15" i="8" s="1"/>
  <c r="AB15" i="8" s="1"/>
  <c r="AC15" i="8" s="1"/>
  <c r="AD15" i="8" s="1"/>
  <c r="AE15" i="8" s="1"/>
  <c r="AF15" i="8" s="1"/>
  <c r="AG15" i="8" s="1"/>
  <c r="AH15" i="8" s="1"/>
  <c r="AI15" i="8" s="1"/>
  <c r="AJ15" i="8" s="1"/>
  <c r="AK15" i="8" s="1"/>
  <c r="AL15" i="8" s="1"/>
  <c r="AM15" i="8" s="1"/>
  <c r="Y16" i="8"/>
  <c r="Y17" i="8"/>
  <c r="Y18" i="8"/>
  <c r="Z18" i="8" s="1"/>
  <c r="AA18" i="8" s="1"/>
  <c r="AB18" i="8" s="1"/>
  <c r="AC18" i="8" s="1"/>
  <c r="AD18" i="8" s="1"/>
  <c r="AE18" i="8" s="1"/>
  <c r="AF18" i="8" s="1"/>
  <c r="AG18" i="8" s="1"/>
  <c r="AH18" i="8" s="1"/>
  <c r="AI18" i="8" s="1"/>
  <c r="AJ18" i="8" s="1"/>
  <c r="AK18" i="8" s="1"/>
  <c r="AL18" i="8" s="1"/>
  <c r="AM18" i="8" s="1"/>
  <c r="Y19" i="8"/>
  <c r="Y20" i="8"/>
  <c r="Y21" i="8"/>
  <c r="Y22" i="8"/>
  <c r="Y23" i="8"/>
  <c r="Z23" i="8" s="1"/>
  <c r="AA23" i="8" s="1"/>
  <c r="AB23" i="8" s="1"/>
  <c r="AC23" i="8" s="1"/>
  <c r="AD23" i="8" s="1"/>
  <c r="AE23" i="8" s="1"/>
  <c r="AF23" i="8" s="1"/>
  <c r="AG23" i="8" s="1"/>
  <c r="AH23" i="8" s="1"/>
  <c r="AI23" i="8" s="1"/>
  <c r="AJ23" i="8" s="1"/>
  <c r="AK23" i="8" s="1"/>
  <c r="AL23" i="8" s="1"/>
  <c r="AM23" i="8" s="1"/>
  <c r="Y24" i="8"/>
  <c r="Y25" i="8"/>
  <c r="Y26" i="8"/>
  <c r="Z26" i="8" s="1"/>
  <c r="AA26" i="8" s="1"/>
  <c r="AB26" i="8" s="1"/>
  <c r="AC26" i="8" s="1"/>
  <c r="AD26" i="8" s="1"/>
  <c r="AE26" i="8" s="1"/>
  <c r="Y27" i="8"/>
  <c r="Y28" i="8"/>
  <c r="Y29" i="8"/>
  <c r="Y30" i="8"/>
  <c r="Z30" i="8" s="1"/>
  <c r="AA30" i="8" s="1"/>
  <c r="AB30" i="8" s="1"/>
  <c r="AC30" i="8" s="1"/>
  <c r="AD30" i="8" s="1"/>
  <c r="Y31" i="8"/>
  <c r="Y32" i="8"/>
  <c r="Y33" i="8"/>
  <c r="Z33" i="8" s="1"/>
  <c r="Y34" i="8"/>
  <c r="Z34" i="8" s="1"/>
  <c r="AA34" i="8" s="1"/>
  <c r="AB34" i="8" s="1"/>
  <c r="AC34" i="8" s="1"/>
  <c r="Y35" i="8"/>
  <c r="Y3" i="8"/>
  <c r="BW79" i="7"/>
  <c r="BW78" i="7"/>
  <c r="BL79" i="7"/>
  <c r="BL78" i="7"/>
  <c r="AZ79" i="7"/>
  <c r="AZ78" i="7"/>
  <c r="AN79" i="7"/>
  <c r="R75" i="7"/>
  <c r="S75" i="7"/>
  <c r="T75" i="7"/>
  <c r="U75" i="7"/>
  <c r="V75" i="7"/>
  <c r="W75" i="7"/>
  <c r="X75" i="7"/>
  <c r="Y75" i="7"/>
  <c r="Z75" i="7"/>
  <c r="AA75" i="7"/>
  <c r="AB75" i="7"/>
  <c r="AB78" i="7" s="1"/>
  <c r="AB80" i="7" s="1"/>
  <c r="AC75" i="7"/>
  <c r="AD75" i="7"/>
  <c r="AE75" i="7"/>
  <c r="AF75" i="7"/>
  <c r="AG75" i="7"/>
  <c r="AH75" i="7"/>
  <c r="AI75" i="7"/>
  <c r="AJ75" i="7"/>
  <c r="AK75" i="7"/>
  <c r="AL75" i="7"/>
  <c r="AM75" i="7"/>
  <c r="AN75" i="7"/>
  <c r="AO75" i="7"/>
  <c r="AP75" i="7"/>
  <c r="AQ75" i="7"/>
  <c r="AR75" i="7"/>
  <c r="AS75" i="7"/>
  <c r="AT75" i="7"/>
  <c r="AU75" i="7"/>
  <c r="AV75" i="7"/>
  <c r="AW75" i="7"/>
  <c r="AX75" i="7"/>
  <c r="AY75" i="7"/>
  <c r="AZ75" i="7"/>
  <c r="BA75" i="7"/>
  <c r="BB75" i="7"/>
  <c r="BC75" i="7"/>
  <c r="BD75" i="7"/>
  <c r="BE75" i="7"/>
  <c r="BF75" i="7"/>
  <c r="BG75" i="7"/>
  <c r="BH75" i="7"/>
  <c r="BI75" i="7"/>
  <c r="BJ75" i="7"/>
  <c r="BK75" i="7"/>
  <c r="BL75" i="7"/>
  <c r="BM75" i="7"/>
  <c r="BN75" i="7"/>
  <c r="BO75" i="7"/>
  <c r="BP75" i="7"/>
  <c r="BQ75" i="7"/>
  <c r="BR75" i="7"/>
  <c r="BS75" i="7"/>
  <c r="BT75" i="7"/>
  <c r="BU75" i="7"/>
  <c r="BV75" i="7"/>
  <c r="BW75" i="7"/>
  <c r="Q75" i="7"/>
  <c r="BL69" i="7"/>
  <c r="BD69" i="7"/>
  <c r="AV69" i="7"/>
  <c r="AN69" i="7"/>
  <c r="AF69" i="7"/>
  <c r="BV68" i="7"/>
  <c r="BV76" i="7" s="1"/>
  <c r="BU68" i="7"/>
  <c r="BU76" i="7" s="1"/>
  <c r="BT68" i="7"/>
  <c r="BT76" i="7" s="1"/>
  <c r="BS68" i="7"/>
  <c r="BS69" i="7" s="1"/>
  <c r="BR68" i="7"/>
  <c r="BR69" i="7" s="1"/>
  <c r="BQ68" i="7"/>
  <c r="BQ69" i="7" s="1"/>
  <c r="BP68" i="7"/>
  <c r="BP69" i="7" s="1"/>
  <c r="BO68" i="7"/>
  <c r="BO69" i="7" s="1"/>
  <c r="BN68" i="7"/>
  <c r="BN69" i="7" s="1"/>
  <c r="BM68" i="7"/>
  <c r="BM69" i="7" s="1"/>
  <c r="BL68" i="7"/>
  <c r="BK68" i="7"/>
  <c r="BK69" i="7" s="1"/>
  <c r="BJ68" i="7"/>
  <c r="BJ69" i="7" s="1"/>
  <c r="BI68" i="7"/>
  <c r="BI69" i="7" s="1"/>
  <c r="BH68" i="7"/>
  <c r="BH69" i="7" s="1"/>
  <c r="BG68" i="7"/>
  <c r="BG69" i="7" s="1"/>
  <c r="BF68" i="7"/>
  <c r="BF69" i="7" s="1"/>
  <c r="BE68" i="7"/>
  <c r="BE69" i="7" s="1"/>
  <c r="BD68" i="7"/>
  <c r="BC68" i="7"/>
  <c r="BC69" i="7" s="1"/>
  <c r="BB68" i="7"/>
  <c r="BB69" i="7" s="1"/>
  <c r="BA68" i="7"/>
  <c r="BA69" i="7" s="1"/>
  <c r="AZ68" i="7"/>
  <c r="AZ69" i="7" s="1"/>
  <c r="AY68" i="7"/>
  <c r="AY69" i="7" s="1"/>
  <c r="AX68" i="7"/>
  <c r="AX69" i="7" s="1"/>
  <c r="AW68" i="7"/>
  <c r="AW69" i="7" s="1"/>
  <c r="AV68" i="7"/>
  <c r="AU68" i="7"/>
  <c r="AU69" i="7" s="1"/>
  <c r="AT68" i="7"/>
  <c r="AT69" i="7" s="1"/>
  <c r="AS68" i="7"/>
  <c r="AS69" i="7" s="1"/>
  <c r="AR68" i="7"/>
  <c r="AR69" i="7" s="1"/>
  <c r="AQ68" i="7"/>
  <c r="AQ69" i="7" s="1"/>
  <c r="AP68" i="7"/>
  <c r="AP69" i="7" s="1"/>
  <c r="AO68" i="7"/>
  <c r="AO69" i="7" s="1"/>
  <c r="AN68" i="7"/>
  <c r="AM68" i="7"/>
  <c r="AM69" i="7" s="1"/>
  <c r="AL68" i="7"/>
  <c r="AL69" i="7" s="1"/>
  <c r="AK68" i="7"/>
  <c r="AK69" i="7" s="1"/>
  <c r="AJ68" i="7"/>
  <c r="AJ69" i="7" s="1"/>
  <c r="AI68" i="7"/>
  <c r="AI69" i="7" s="1"/>
  <c r="AH68" i="7"/>
  <c r="AH69" i="7" s="1"/>
  <c r="AG68" i="7"/>
  <c r="AG69" i="7" s="1"/>
  <c r="AF68" i="7"/>
  <c r="AE68" i="7"/>
  <c r="AE69" i="7" s="1"/>
  <c r="AD68" i="7"/>
  <c r="AD69" i="7" s="1"/>
  <c r="AC68" i="7"/>
  <c r="AC69" i="7" s="1"/>
  <c r="AB68" i="7"/>
  <c r="AB69" i="7" s="1"/>
  <c r="AB66" i="7"/>
  <c r="AC66" i="7" s="1"/>
  <c r="AD66" i="7" s="1"/>
  <c r="AE66" i="7" s="1"/>
  <c r="AF66" i="7" s="1"/>
  <c r="AG66" i="7" s="1"/>
  <c r="AH66" i="7" s="1"/>
  <c r="AI66" i="7" s="1"/>
  <c r="BW65" i="7"/>
  <c r="BW68" i="7" s="1"/>
  <c r="BW76" i="7" s="1"/>
  <c r="Y61" i="7"/>
  <c r="Y62" i="7" s="1"/>
  <c r="X61" i="7"/>
  <c r="X62" i="7" s="1"/>
  <c r="W61" i="7"/>
  <c r="W62" i="7" s="1"/>
  <c r="V61" i="7"/>
  <c r="V62" i="7" s="1"/>
  <c r="U61" i="7"/>
  <c r="U62" i="7" s="1"/>
  <c r="T61" i="7"/>
  <c r="S61" i="7"/>
  <c r="R61" i="7"/>
  <c r="R62" i="7" s="1"/>
  <c r="Q61" i="7"/>
  <c r="Q62" i="7" s="1"/>
  <c r="P61" i="7"/>
  <c r="P62" i="7" s="1"/>
  <c r="O61" i="7"/>
  <c r="O62" i="7" s="1"/>
  <c r="N61" i="7"/>
  <c r="N62" i="7" s="1"/>
  <c r="M61" i="7"/>
  <c r="M62" i="7" s="1"/>
  <c r="L61" i="7"/>
  <c r="K61" i="7"/>
  <c r="K62" i="7" s="1"/>
  <c r="J61" i="7"/>
  <c r="J62" i="7" s="1"/>
  <c r="L59" i="7"/>
  <c r="M59" i="7" s="1"/>
  <c r="N59" i="7" s="1"/>
  <c r="O59" i="7" s="1"/>
  <c r="P59" i="7" s="1"/>
  <c r="I58" i="7"/>
  <c r="I59" i="7" s="1"/>
  <c r="J59" i="7" s="1"/>
  <c r="K59" i="7" s="1"/>
  <c r="BL55" i="7"/>
  <c r="BD55" i="7"/>
  <c r="AV55" i="7"/>
  <c r="AN55" i="7"/>
  <c r="AF55" i="7"/>
  <c r="X55" i="7"/>
  <c r="P55" i="7"/>
  <c r="BQ54" i="7"/>
  <c r="BQ55" i="7" s="1"/>
  <c r="BP54" i="7"/>
  <c r="BO54" i="7"/>
  <c r="BN54" i="7"/>
  <c r="BM54" i="7"/>
  <c r="BL54" i="7"/>
  <c r="BK54" i="7"/>
  <c r="BK55" i="7" s="1"/>
  <c r="BJ54" i="7"/>
  <c r="BJ55" i="7" s="1"/>
  <c r="BI54" i="7"/>
  <c r="BI55" i="7" s="1"/>
  <c r="BH54" i="7"/>
  <c r="BG54" i="7"/>
  <c r="BF54" i="7"/>
  <c r="BE54" i="7"/>
  <c r="BD54" i="7"/>
  <c r="BC54" i="7"/>
  <c r="BC55" i="7" s="1"/>
  <c r="BB54" i="7"/>
  <c r="BB55" i="7" s="1"/>
  <c r="BA54" i="7"/>
  <c r="BA55" i="7" s="1"/>
  <c r="AZ54" i="7"/>
  <c r="AY54" i="7"/>
  <c r="AX54" i="7"/>
  <c r="AW54" i="7"/>
  <c r="AV54" i="7"/>
  <c r="AU54" i="7"/>
  <c r="AU55" i="7" s="1"/>
  <c r="AT54" i="7"/>
  <c r="AT55" i="7" s="1"/>
  <c r="AS54" i="7"/>
  <c r="AS55" i="7" s="1"/>
  <c r="AR54" i="7"/>
  <c r="AQ54" i="7"/>
  <c r="AP54" i="7"/>
  <c r="AO54" i="7"/>
  <c r="AN54" i="7"/>
  <c r="AM54" i="7"/>
  <c r="AM55" i="7" s="1"/>
  <c r="AL54" i="7"/>
  <c r="AL55" i="7" s="1"/>
  <c r="AK54" i="7"/>
  <c r="AK55" i="7" s="1"/>
  <c r="AJ54" i="7"/>
  <c r="AI54" i="7"/>
  <c r="AH54" i="7"/>
  <c r="AG54" i="7"/>
  <c r="AF54" i="7"/>
  <c r="AE54" i="7"/>
  <c r="AE55" i="7" s="1"/>
  <c r="AD54" i="7"/>
  <c r="AD55" i="7" s="1"/>
  <c r="AC54" i="7"/>
  <c r="AC55" i="7" s="1"/>
  <c r="AB54" i="7"/>
  <c r="AA54" i="7"/>
  <c r="Z54" i="7"/>
  <c r="Y54" i="7"/>
  <c r="Y55" i="7" s="1"/>
  <c r="X54" i="7"/>
  <c r="W54" i="7"/>
  <c r="W55" i="7" s="1"/>
  <c r="V54" i="7"/>
  <c r="V55" i="7" s="1"/>
  <c r="U54" i="7"/>
  <c r="U55" i="7" s="1"/>
  <c r="T54" i="7"/>
  <c r="T55" i="7" s="1"/>
  <c r="S54" i="7"/>
  <c r="S55" i="7" s="1"/>
  <c r="R54" i="7"/>
  <c r="R55" i="7" s="1"/>
  <c r="Q54" i="7"/>
  <c r="Q55" i="7" s="1"/>
  <c r="P54" i="7"/>
  <c r="O54" i="7"/>
  <c r="O55" i="7" s="1"/>
  <c r="N54" i="7"/>
  <c r="N55" i="7" s="1"/>
  <c r="M54" i="7"/>
  <c r="M55" i="7" s="1"/>
  <c r="L54" i="7"/>
  <c r="L55" i="7" s="1"/>
  <c r="K54" i="7"/>
  <c r="K55" i="7" s="1"/>
  <c r="J54" i="7"/>
  <c r="J55" i="7" s="1"/>
  <c r="I52" i="7"/>
  <c r="J52" i="7" s="1"/>
  <c r="K52" i="7" s="1"/>
  <c r="L52" i="7" s="1"/>
  <c r="M52" i="7" s="1"/>
  <c r="N52" i="7" s="1"/>
  <c r="O52" i="7" s="1"/>
  <c r="P52" i="7" s="1"/>
  <c r="Q52" i="7" s="1"/>
  <c r="R52" i="7" s="1"/>
  <c r="S52" i="7" s="1"/>
  <c r="T52" i="7" s="1"/>
  <c r="U52" i="7" s="1"/>
  <c r="V52" i="7" s="1"/>
  <c r="W52" i="7" s="1"/>
  <c r="X52" i="7" s="1"/>
  <c r="Y52" i="7" s="1"/>
  <c r="Z52" i="7" s="1"/>
  <c r="AA52" i="7" s="1"/>
  <c r="AB52" i="7" s="1"/>
  <c r="AC52" i="7" s="1"/>
  <c r="AD52" i="7" s="1"/>
  <c r="AE52" i="7" s="1"/>
  <c r="AF52" i="7" s="1"/>
  <c r="AG52" i="7" s="1"/>
  <c r="AH52" i="7" s="1"/>
  <c r="AI52" i="7" s="1"/>
  <c r="AJ52" i="7" s="1"/>
  <c r="AK52" i="7" s="1"/>
  <c r="AL52" i="7" s="1"/>
  <c r="AM52" i="7" s="1"/>
  <c r="AN52" i="7" s="1"/>
  <c r="AO52" i="7" s="1"/>
  <c r="BN48" i="7"/>
  <c r="BF48" i="7"/>
  <c r="AX48" i="7"/>
  <c r="AP48" i="7"/>
  <c r="AH48" i="7"/>
  <c r="Z48" i="7"/>
  <c r="R48" i="7"/>
  <c r="J48" i="7"/>
  <c r="BP47" i="7"/>
  <c r="BP48" i="7" s="1"/>
  <c r="BO47" i="7"/>
  <c r="BO48" i="7" s="1"/>
  <c r="BN47" i="7"/>
  <c r="BM47" i="7"/>
  <c r="BM48" i="7" s="1"/>
  <c r="BL47" i="7"/>
  <c r="BL48" i="7" s="1"/>
  <c r="BK47" i="7"/>
  <c r="BK48" i="7" s="1"/>
  <c r="BJ47" i="7"/>
  <c r="BJ48" i="7" s="1"/>
  <c r="BI47" i="7"/>
  <c r="BI48" i="7" s="1"/>
  <c r="BH47" i="7"/>
  <c r="BH48" i="7" s="1"/>
  <c r="BG47" i="7"/>
  <c r="BG48" i="7" s="1"/>
  <c r="BF47" i="7"/>
  <c r="BE47" i="7"/>
  <c r="BE48" i="7" s="1"/>
  <c r="BD47" i="7"/>
  <c r="BD48" i="7" s="1"/>
  <c r="BC47" i="7"/>
  <c r="BC48" i="7" s="1"/>
  <c r="BB47" i="7"/>
  <c r="BB48" i="7" s="1"/>
  <c r="BA47" i="7"/>
  <c r="BA48" i="7" s="1"/>
  <c r="AZ47" i="7"/>
  <c r="AZ48" i="7" s="1"/>
  <c r="AY47" i="7"/>
  <c r="AY48" i="7" s="1"/>
  <c r="AX47" i="7"/>
  <c r="AW47" i="7"/>
  <c r="AW48" i="7" s="1"/>
  <c r="AV47" i="7"/>
  <c r="AV48" i="7" s="1"/>
  <c r="AU47" i="7"/>
  <c r="AU48" i="7" s="1"/>
  <c r="AT47" i="7"/>
  <c r="AT48" i="7" s="1"/>
  <c r="AS47" i="7"/>
  <c r="AS48" i="7" s="1"/>
  <c r="AR47" i="7"/>
  <c r="AR48" i="7" s="1"/>
  <c r="AQ47" i="7"/>
  <c r="AQ48" i="7" s="1"/>
  <c r="AP47" i="7"/>
  <c r="AO47" i="7"/>
  <c r="AO48" i="7" s="1"/>
  <c r="AN47" i="7"/>
  <c r="AN48" i="7" s="1"/>
  <c r="AM47" i="7"/>
  <c r="AM48" i="7" s="1"/>
  <c r="AL47" i="7"/>
  <c r="AL48" i="7" s="1"/>
  <c r="AK47" i="7"/>
  <c r="AK48" i="7" s="1"/>
  <c r="AJ47" i="7"/>
  <c r="AJ48" i="7" s="1"/>
  <c r="AI47" i="7"/>
  <c r="AI48" i="7" s="1"/>
  <c r="AH47" i="7"/>
  <c r="AG47" i="7"/>
  <c r="AG48" i="7" s="1"/>
  <c r="AF47" i="7"/>
  <c r="AF48" i="7" s="1"/>
  <c r="AE47" i="7"/>
  <c r="AE48" i="7" s="1"/>
  <c r="AD47" i="7"/>
  <c r="AD48" i="7" s="1"/>
  <c r="AC47" i="7"/>
  <c r="AC48" i="7" s="1"/>
  <c r="AB47" i="7"/>
  <c r="AB48" i="7" s="1"/>
  <c r="AA47" i="7"/>
  <c r="AA48" i="7" s="1"/>
  <c r="Z47" i="7"/>
  <c r="Y47" i="7"/>
  <c r="Y48" i="7" s="1"/>
  <c r="X47" i="7"/>
  <c r="X48" i="7" s="1"/>
  <c r="W47" i="7"/>
  <c r="W48" i="7" s="1"/>
  <c r="V47" i="7"/>
  <c r="V48" i="7" s="1"/>
  <c r="U47" i="7"/>
  <c r="U48" i="7" s="1"/>
  <c r="T47" i="7"/>
  <c r="T48" i="7" s="1"/>
  <c r="S47" i="7"/>
  <c r="S48" i="7" s="1"/>
  <c r="R47" i="7"/>
  <c r="Q47" i="7"/>
  <c r="Q48" i="7" s="1"/>
  <c r="P47" i="7"/>
  <c r="P48" i="7" s="1"/>
  <c r="O47" i="7"/>
  <c r="O48" i="7" s="1"/>
  <c r="N47" i="7"/>
  <c r="N48" i="7" s="1"/>
  <c r="M47" i="7"/>
  <c r="M48" i="7" s="1"/>
  <c r="L47" i="7"/>
  <c r="L48" i="7" s="1"/>
  <c r="K47" i="7"/>
  <c r="K48" i="7" s="1"/>
  <c r="J47" i="7"/>
  <c r="I47" i="7"/>
  <c r="I48" i="7" s="1"/>
  <c r="I45" i="7"/>
  <c r="J45" i="7" s="1"/>
  <c r="K45" i="7" s="1"/>
  <c r="L45" i="7" s="1"/>
  <c r="M45" i="7" s="1"/>
  <c r="N45" i="7" s="1"/>
  <c r="O45" i="7" s="1"/>
  <c r="P45" i="7" s="1"/>
  <c r="Q45" i="7" s="1"/>
  <c r="R45" i="7" s="1"/>
  <c r="S45" i="7" s="1"/>
  <c r="T45" i="7" s="1"/>
  <c r="U45" i="7" s="1"/>
  <c r="V45" i="7" s="1"/>
  <c r="W45" i="7" s="1"/>
  <c r="X45" i="7" s="1"/>
  <c r="Y45" i="7" s="1"/>
  <c r="Z45" i="7" s="1"/>
  <c r="AA45" i="7" s="1"/>
  <c r="AB45" i="7" s="1"/>
  <c r="AC45" i="7" s="1"/>
  <c r="AD45" i="7" s="1"/>
  <c r="BP41" i="7"/>
  <c r="BJ41" i="7"/>
  <c r="BI41" i="7"/>
  <c r="BH41" i="7"/>
  <c r="BB41" i="7"/>
  <c r="BA41" i="7"/>
  <c r="AZ41" i="7"/>
  <c r="AT41" i="7"/>
  <c r="AS41" i="7"/>
  <c r="AR41" i="7"/>
  <c r="AL41" i="7"/>
  <c r="AK41" i="7"/>
  <c r="AJ41" i="7"/>
  <c r="AD41" i="7"/>
  <c r="AC41" i="7"/>
  <c r="AB41" i="7"/>
  <c r="V41" i="7"/>
  <c r="U41" i="7"/>
  <c r="T41" i="7"/>
  <c r="N41" i="7"/>
  <c r="M41" i="7"/>
  <c r="L41" i="7"/>
  <c r="BP40" i="7"/>
  <c r="BO40" i="7"/>
  <c r="BO41" i="7" s="1"/>
  <c r="BN40" i="7"/>
  <c r="BN41" i="7" s="1"/>
  <c r="BM40" i="7"/>
  <c r="BM41" i="7" s="1"/>
  <c r="BL40" i="7"/>
  <c r="BL41" i="7" s="1"/>
  <c r="BK40" i="7"/>
  <c r="BK41" i="7" s="1"/>
  <c r="BJ40" i="7"/>
  <c r="BI40" i="7"/>
  <c r="BH40" i="7"/>
  <c r="BG40" i="7"/>
  <c r="BG41" i="7" s="1"/>
  <c r="BF40" i="7"/>
  <c r="BF41" i="7" s="1"/>
  <c r="BE40" i="7"/>
  <c r="BE41" i="7" s="1"/>
  <c r="BD40" i="7"/>
  <c r="BD41" i="7" s="1"/>
  <c r="BC40" i="7"/>
  <c r="BC41" i="7" s="1"/>
  <c r="BB40" i="7"/>
  <c r="BA40" i="7"/>
  <c r="AZ40" i="7"/>
  <c r="AY40" i="7"/>
  <c r="AY41" i="7" s="1"/>
  <c r="AX40" i="7"/>
  <c r="AX41" i="7" s="1"/>
  <c r="AW40" i="7"/>
  <c r="AW41" i="7" s="1"/>
  <c r="AV40" i="7"/>
  <c r="AV41" i="7" s="1"/>
  <c r="AU40" i="7"/>
  <c r="AU41" i="7" s="1"/>
  <c r="AT40" i="7"/>
  <c r="AS40" i="7"/>
  <c r="AR40" i="7"/>
  <c r="AQ40" i="7"/>
  <c r="AQ41" i="7" s="1"/>
  <c r="AP40" i="7"/>
  <c r="AP41" i="7" s="1"/>
  <c r="AO40" i="7"/>
  <c r="AO41" i="7" s="1"/>
  <c r="AN40" i="7"/>
  <c r="AN41" i="7" s="1"/>
  <c r="AM40" i="7"/>
  <c r="AM41" i="7" s="1"/>
  <c r="AL40" i="7"/>
  <c r="AK40" i="7"/>
  <c r="AJ40" i="7"/>
  <c r="AI40" i="7"/>
  <c r="AI41" i="7" s="1"/>
  <c r="AH40" i="7"/>
  <c r="AH41" i="7" s="1"/>
  <c r="AG40" i="7"/>
  <c r="AG41" i="7" s="1"/>
  <c r="AF40" i="7"/>
  <c r="AF41" i="7" s="1"/>
  <c r="AE40" i="7"/>
  <c r="AE41" i="7" s="1"/>
  <c r="AD40" i="7"/>
  <c r="AC40" i="7"/>
  <c r="AB40" i="7"/>
  <c r="AA40" i="7"/>
  <c r="AA41" i="7" s="1"/>
  <c r="Z40" i="7"/>
  <c r="Z41" i="7" s="1"/>
  <c r="Y40" i="7"/>
  <c r="Y41" i="7" s="1"/>
  <c r="X40" i="7"/>
  <c r="X41" i="7" s="1"/>
  <c r="W40" i="7"/>
  <c r="W41" i="7" s="1"/>
  <c r="V40" i="7"/>
  <c r="U40" i="7"/>
  <c r="T40" i="7"/>
  <c r="S40" i="7"/>
  <c r="S41" i="7" s="1"/>
  <c r="R40" i="7"/>
  <c r="R41" i="7" s="1"/>
  <c r="Q40" i="7"/>
  <c r="Q41" i="7" s="1"/>
  <c r="P40" i="7"/>
  <c r="P41" i="7" s="1"/>
  <c r="O40" i="7"/>
  <c r="O41" i="7" s="1"/>
  <c r="N40" i="7"/>
  <c r="M40" i="7"/>
  <c r="L40" i="7"/>
  <c r="K40" i="7"/>
  <c r="K41" i="7" s="1"/>
  <c r="J40" i="7"/>
  <c r="J41" i="7" s="1"/>
  <c r="I40" i="7"/>
  <c r="I41" i="7" s="1"/>
  <c r="I38" i="7"/>
  <c r="J38" i="7" s="1"/>
  <c r="K38" i="7" s="1"/>
  <c r="L38" i="7" s="1"/>
  <c r="M38" i="7" s="1"/>
  <c r="N38" i="7" s="1"/>
  <c r="O38" i="7" s="1"/>
  <c r="P38" i="7" s="1"/>
  <c r="BR34" i="7"/>
  <c r="BP34" i="7"/>
  <c r="BK34" i="7"/>
  <c r="BJ34" i="7"/>
  <c r="BH34" i="7"/>
  <c r="BC34" i="7"/>
  <c r="BB34" i="7"/>
  <c r="AZ34" i="7"/>
  <c r="AU34" i="7"/>
  <c r="AT34" i="7"/>
  <c r="AR34" i="7"/>
  <c r="AM34" i="7"/>
  <c r="AL34" i="7"/>
  <c r="AJ34" i="7"/>
  <c r="AE34" i="7"/>
  <c r="AD34" i="7"/>
  <c r="AB34" i="7"/>
  <c r="W34" i="7"/>
  <c r="V34" i="7"/>
  <c r="T34" i="7"/>
  <c r="O34" i="7"/>
  <c r="N34" i="7"/>
  <c r="L34" i="7"/>
  <c r="BR33" i="7"/>
  <c r="BQ33" i="7"/>
  <c r="BP33" i="7"/>
  <c r="BO33" i="7"/>
  <c r="BO34" i="7" s="1"/>
  <c r="BN33" i="7"/>
  <c r="BN34" i="7" s="1"/>
  <c r="BM33" i="7"/>
  <c r="BM34" i="7" s="1"/>
  <c r="BL33" i="7"/>
  <c r="BL34" i="7" s="1"/>
  <c r="BK33" i="7"/>
  <c r="BJ33" i="7"/>
  <c r="BI33" i="7"/>
  <c r="BI34" i="7" s="1"/>
  <c r="BH33" i="7"/>
  <c r="BG33" i="7"/>
  <c r="BG34" i="7" s="1"/>
  <c r="BF33" i="7"/>
  <c r="BF34" i="7" s="1"/>
  <c r="BE33" i="7"/>
  <c r="BE34" i="7" s="1"/>
  <c r="BD33" i="7"/>
  <c r="BD34" i="7" s="1"/>
  <c r="BC33" i="7"/>
  <c r="BB33" i="7"/>
  <c r="BA33" i="7"/>
  <c r="BA34" i="7" s="1"/>
  <c r="AZ33" i="7"/>
  <c r="AY33" i="7"/>
  <c r="AY34" i="7" s="1"/>
  <c r="AX33" i="7"/>
  <c r="AX34" i="7" s="1"/>
  <c r="AW33" i="7"/>
  <c r="AW34" i="7" s="1"/>
  <c r="AV33" i="7"/>
  <c r="AV34" i="7" s="1"/>
  <c r="AU33" i="7"/>
  <c r="AT33" i="7"/>
  <c r="AS33" i="7"/>
  <c r="AS34" i="7" s="1"/>
  <c r="AR33" i="7"/>
  <c r="AQ33" i="7"/>
  <c r="AQ34" i="7" s="1"/>
  <c r="AP33" i="7"/>
  <c r="AP34" i="7" s="1"/>
  <c r="AO33" i="7"/>
  <c r="AO34" i="7" s="1"/>
  <c r="AN33" i="7"/>
  <c r="AN34" i="7" s="1"/>
  <c r="AM33" i="7"/>
  <c r="AL33" i="7"/>
  <c r="AK33" i="7"/>
  <c r="AK34" i="7" s="1"/>
  <c r="AJ33" i="7"/>
  <c r="AI33" i="7"/>
  <c r="AI34" i="7" s="1"/>
  <c r="AH33" i="7"/>
  <c r="AH34" i="7" s="1"/>
  <c r="AG33" i="7"/>
  <c r="AG34" i="7" s="1"/>
  <c r="AF33" i="7"/>
  <c r="AF34" i="7" s="1"/>
  <c r="AE33" i="7"/>
  <c r="AD33" i="7"/>
  <c r="AC33" i="7"/>
  <c r="AC34" i="7" s="1"/>
  <c r="AB33" i="7"/>
  <c r="AA33" i="7"/>
  <c r="AA34" i="7" s="1"/>
  <c r="Z33" i="7"/>
  <c r="Z34" i="7" s="1"/>
  <c r="Y33" i="7"/>
  <c r="Y34" i="7" s="1"/>
  <c r="X33" i="7"/>
  <c r="X34" i="7" s="1"/>
  <c r="W33" i="7"/>
  <c r="V33" i="7"/>
  <c r="U33" i="7"/>
  <c r="U34" i="7" s="1"/>
  <c r="T33" i="7"/>
  <c r="S33" i="7"/>
  <c r="S34" i="7" s="1"/>
  <c r="R33" i="7"/>
  <c r="R34" i="7" s="1"/>
  <c r="Q33" i="7"/>
  <c r="Q34" i="7" s="1"/>
  <c r="P33" i="7"/>
  <c r="P34" i="7" s="1"/>
  <c r="O33" i="7"/>
  <c r="N33" i="7"/>
  <c r="M33" i="7"/>
  <c r="M34" i="7" s="1"/>
  <c r="L33" i="7"/>
  <c r="K33" i="7"/>
  <c r="K34" i="7" s="1"/>
  <c r="M31" i="7"/>
  <c r="N31" i="7" s="1"/>
  <c r="O31" i="7" s="1"/>
  <c r="P31" i="7" s="1"/>
  <c r="Q31" i="7" s="1"/>
  <c r="R31" i="7" s="1"/>
  <c r="S31" i="7" s="1"/>
  <c r="T31" i="7" s="1"/>
  <c r="K31" i="7"/>
  <c r="L31" i="7" s="1"/>
  <c r="BP27" i="7"/>
  <c r="BK27" i="7"/>
  <c r="BJ27" i="7"/>
  <c r="BH27" i="7"/>
  <c r="BC27" i="7"/>
  <c r="BB27" i="7"/>
  <c r="AZ27" i="7"/>
  <c r="AU27" i="7"/>
  <c r="AT27" i="7"/>
  <c r="AR27" i="7"/>
  <c r="AM27" i="7"/>
  <c r="AL27" i="7"/>
  <c r="AJ27" i="7"/>
  <c r="AE27" i="7"/>
  <c r="AD27" i="7"/>
  <c r="AB27" i="7"/>
  <c r="W27" i="7"/>
  <c r="V27" i="7"/>
  <c r="T27" i="7"/>
  <c r="O27" i="7"/>
  <c r="N27" i="7"/>
  <c r="L27" i="7"/>
  <c r="BQ26" i="7"/>
  <c r="BQ27" i="7" s="1"/>
  <c r="BP26" i="7"/>
  <c r="BO26" i="7"/>
  <c r="BO27" i="7" s="1"/>
  <c r="BN26" i="7"/>
  <c r="BN27" i="7" s="1"/>
  <c r="BM26" i="7"/>
  <c r="BM27" i="7" s="1"/>
  <c r="BL26" i="7"/>
  <c r="BL27" i="7" s="1"/>
  <c r="BK26" i="7"/>
  <c r="BJ26" i="7"/>
  <c r="BI26" i="7"/>
  <c r="BI27" i="7" s="1"/>
  <c r="BH26" i="7"/>
  <c r="BG26" i="7"/>
  <c r="BG27" i="7" s="1"/>
  <c r="BF26" i="7"/>
  <c r="BF27" i="7" s="1"/>
  <c r="BE26" i="7"/>
  <c r="BE27" i="7" s="1"/>
  <c r="BD26" i="7"/>
  <c r="BD27" i="7" s="1"/>
  <c r="BC26" i="7"/>
  <c r="BB26" i="7"/>
  <c r="BA26" i="7"/>
  <c r="BA27" i="7" s="1"/>
  <c r="AZ26" i="7"/>
  <c r="AY26" i="7"/>
  <c r="AY27" i="7" s="1"/>
  <c r="AX26" i="7"/>
  <c r="AX27" i="7" s="1"/>
  <c r="AW26" i="7"/>
  <c r="AW27" i="7" s="1"/>
  <c r="AV26" i="7"/>
  <c r="AV27" i="7" s="1"/>
  <c r="AU26" i="7"/>
  <c r="AT26" i="7"/>
  <c r="AS26" i="7"/>
  <c r="AS27" i="7" s="1"/>
  <c r="AR26" i="7"/>
  <c r="AQ26" i="7"/>
  <c r="AQ27" i="7" s="1"/>
  <c r="AP26" i="7"/>
  <c r="AP27" i="7" s="1"/>
  <c r="AO26" i="7"/>
  <c r="AO27" i="7" s="1"/>
  <c r="AN26" i="7"/>
  <c r="AN27" i="7" s="1"/>
  <c r="AM26" i="7"/>
  <c r="AL26" i="7"/>
  <c r="AK26" i="7"/>
  <c r="AK27" i="7" s="1"/>
  <c r="AJ26" i="7"/>
  <c r="AI26" i="7"/>
  <c r="AI27" i="7" s="1"/>
  <c r="AH26" i="7"/>
  <c r="AH27" i="7" s="1"/>
  <c r="AG26" i="7"/>
  <c r="AG27" i="7" s="1"/>
  <c r="AF26" i="7"/>
  <c r="AF27" i="7" s="1"/>
  <c r="AE26" i="7"/>
  <c r="AD26" i="7"/>
  <c r="AC26" i="7"/>
  <c r="AC27" i="7" s="1"/>
  <c r="AB26" i="7"/>
  <c r="AA26" i="7"/>
  <c r="AA27" i="7" s="1"/>
  <c r="Z26" i="7"/>
  <c r="Z27" i="7" s="1"/>
  <c r="Y26" i="7"/>
  <c r="Y27" i="7" s="1"/>
  <c r="X26" i="7"/>
  <c r="X27" i="7" s="1"/>
  <c r="W26" i="7"/>
  <c r="V26" i="7"/>
  <c r="U26" i="7"/>
  <c r="U27" i="7" s="1"/>
  <c r="T26" i="7"/>
  <c r="S26" i="7"/>
  <c r="S27" i="7" s="1"/>
  <c r="R26" i="7"/>
  <c r="R27" i="7" s="1"/>
  <c r="Q26" i="7"/>
  <c r="Q27" i="7" s="1"/>
  <c r="P26" i="7"/>
  <c r="P27" i="7" s="1"/>
  <c r="O26" i="7"/>
  <c r="N26" i="7"/>
  <c r="M26" i="7"/>
  <c r="M27" i="7" s="1"/>
  <c r="L26" i="7"/>
  <c r="K26" i="7"/>
  <c r="K27" i="7" s="1"/>
  <c r="J26" i="7"/>
  <c r="J27" i="7" s="1"/>
  <c r="J24" i="7"/>
  <c r="K24" i="7" s="1"/>
  <c r="BR20" i="7"/>
  <c r="BO20" i="7"/>
  <c r="BK20" i="7"/>
  <c r="BJ20" i="7"/>
  <c r="BG20" i="7"/>
  <c r="BC20" i="7"/>
  <c r="BB20" i="7"/>
  <c r="AY20" i="7"/>
  <c r="AU20" i="7"/>
  <c r="AT20" i="7"/>
  <c r="AQ20" i="7"/>
  <c r="AM20" i="7"/>
  <c r="AL20" i="7"/>
  <c r="AI20" i="7"/>
  <c r="AE20" i="7"/>
  <c r="AD20" i="7"/>
  <c r="AA20" i="7"/>
  <c r="W20" i="7"/>
  <c r="V20" i="7"/>
  <c r="BR19" i="7"/>
  <c r="BQ19" i="7"/>
  <c r="BQ20" i="7" s="1"/>
  <c r="BP19" i="7"/>
  <c r="BP20" i="7" s="1"/>
  <c r="BO19" i="7"/>
  <c r="BN19" i="7"/>
  <c r="BN20" i="7" s="1"/>
  <c r="BM19" i="7"/>
  <c r="BM20" i="7" s="1"/>
  <c r="BL19" i="7"/>
  <c r="BL20" i="7" s="1"/>
  <c r="BK19" i="7"/>
  <c r="BJ19" i="7"/>
  <c r="BI19" i="7"/>
  <c r="BI20" i="7" s="1"/>
  <c r="BH19" i="7"/>
  <c r="BH20" i="7" s="1"/>
  <c r="BG19" i="7"/>
  <c r="BF19" i="7"/>
  <c r="BF20" i="7" s="1"/>
  <c r="BE19" i="7"/>
  <c r="BE20" i="7" s="1"/>
  <c r="BD19" i="7"/>
  <c r="BD20" i="7" s="1"/>
  <c r="BC19" i="7"/>
  <c r="BB19" i="7"/>
  <c r="BA19" i="7"/>
  <c r="BA20" i="7" s="1"/>
  <c r="AZ19" i="7"/>
  <c r="AZ20" i="7" s="1"/>
  <c r="AY19" i="7"/>
  <c r="AX19" i="7"/>
  <c r="AX20" i="7" s="1"/>
  <c r="AW19" i="7"/>
  <c r="AW20" i="7" s="1"/>
  <c r="AV19" i="7"/>
  <c r="AV20" i="7" s="1"/>
  <c r="AU19" i="7"/>
  <c r="AT19" i="7"/>
  <c r="AS19" i="7"/>
  <c r="AS20" i="7" s="1"/>
  <c r="AR19" i="7"/>
  <c r="AR20" i="7" s="1"/>
  <c r="AQ19" i="7"/>
  <c r="AP19" i="7"/>
  <c r="AP20" i="7" s="1"/>
  <c r="AO19" i="7"/>
  <c r="AO20" i="7" s="1"/>
  <c r="AN19" i="7"/>
  <c r="AN20" i="7" s="1"/>
  <c r="AM19" i="7"/>
  <c r="AL19" i="7"/>
  <c r="AK19" i="7"/>
  <c r="AK20" i="7" s="1"/>
  <c r="AJ19" i="7"/>
  <c r="AJ20" i="7" s="1"/>
  <c r="AI19" i="7"/>
  <c r="AH19" i="7"/>
  <c r="AH20" i="7" s="1"/>
  <c r="AG19" i="7"/>
  <c r="AG20" i="7" s="1"/>
  <c r="AF19" i="7"/>
  <c r="AF20" i="7" s="1"/>
  <c r="AE19" i="7"/>
  <c r="AD19" i="7"/>
  <c r="AC19" i="7"/>
  <c r="AC20" i="7" s="1"/>
  <c r="AB19" i="7"/>
  <c r="AB20" i="7" s="1"/>
  <c r="AA19" i="7"/>
  <c r="Z19" i="7"/>
  <c r="Z20" i="7" s="1"/>
  <c r="Y19" i="7"/>
  <c r="Y20" i="7" s="1"/>
  <c r="X19" i="7"/>
  <c r="X20" i="7" s="1"/>
  <c r="W19" i="7"/>
  <c r="V19" i="7"/>
  <c r="V17" i="7"/>
  <c r="W17" i="7" s="1"/>
  <c r="X17" i="7" s="1"/>
  <c r="Y17" i="7" s="1"/>
  <c r="Z17" i="7" s="1"/>
  <c r="AR13" i="7"/>
  <c r="AQ13" i="7"/>
  <c r="AN13" i="7"/>
  <c r="AM13" i="7"/>
  <c r="AJ13" i="7"/>
  <c r="AI13" i="7"/>
  <c r="AF13" i="7"/>
  <c r="AE13" i="7"/>
  <c r="AB13" i="7"/>
  <c r="AA13" i="7"/>
  <c r="X13" i="7"/>
  <c r="W13" i="7"/>
  <c r="AS12" i="7"/>
  <c r="AS13" i="7" s="1"/>
  <c r="AR12" i="7"/>
  <c r="AQ12" i="7"/>
  <c r="AP12" i="7"/>
  <c r="AP13" i="7" s="1"/>
  <c r="AO12" i="7"/>
  <c r="AO13" i="7" s="1"/>
  <c r="AN12" i="7"/>
  <c r="AM12" i="7"/>
  <c r="AL12" i="7"/>
  <c r="AL13" i="7" s="1"/>
  <c r="AK12" i="7"/>
  <c r="AK13" i="7" s="1"/>
  <c r="AJ12" i="7"/>
  <c r="AI12" i="7"/>
  <c r="AH12" i="7"/>
  <c r="AH13" i="7" s="1"/>
  <c r="AG12" i="7"/>
  <c r="AG13" i="7" s="1"/>
  <c r="AF12" i="7"/>
  <c r="AE12" i="7"/>
  <c r="AD12" i="7"/>
  <c r="AD13" i="7" s="1"/>
  <c r="AC12" i="7"/>
  <c r="AC13" i="7" s="1"/>
  <c r="AB12" i="7"/>
  <c r="AA12" i="7"/>
  <c r="Z12" i="7"/>
  <c r="Z13" i="7" s="1"/>
  <c r="Y12" i="7"/>
  <c r="Y13" i="7" s="1"/>
  <c r="X12" i="7"/>
  <c r="W12" i="7"/>
  <c r="V12" i="7"/>
  <c r="V13" i="7" s="1"/>
  <c r="U12" i="7"/>
  <c r="U76" i="7" s="1"/>
  <c r="W10" i="7"/>
  <c r="X10" i="7" s="1"/>
  <c r="Y10" i="7" s="1"/>
  <c r="Z10" i="7" s="1"/>
  <c r="V10" i="7"/>
  <c r="U10" i="7"/>
  <c r="AV6" i="7"/>
  <c r="AU6" i="7"/>
  <c r="AP6" i="7"/>
  <c r="AO6" i="7"/>
  <c r="AN6" i="7"/>
  <c r="AM6" i="7"/>
  <c r="AH6" i="7"/>
  <c r="AG6" i="7"/>
  <c r="AF6" i="7"/>
  <c r="AE6" i="7"/>
  <c r="Z6" i="7"/>
  <c r="Y6" i="7"/>
  <c r="X6" i="7"/>
  <c r="W6" i="7"/>
  <c r="R6" i="7"/>
  <c r="Q6" i="7"/>
  <c r="P6" i="7"/>
  <c r="O6" i="7"/>
  <c r="AV5" i="7"/>
  <c r="AU5" i="7"/>
  <c r="AT5" i="7"/>
  <c r="AT6" i="7" s="1"/>
  <c r="AS5" i="7"/>
  <c r="AS6" i="7" s="1"/>
  <c r="AR5" i="7"/>
  <c r="AR6" i="7" s="1"/>
  <c r="AQ5" i="7"/>
  <c r="AQ6" i="7" s="1"/>
  <c r="AP5" i="7"/>
  <c r="AO5" i="7"/>
  <c r="AN5" i="7"/>
  <c r="AM5" i="7"/>
  <c r="AL5" i="7"/>
  <c r="AL6" i="7" s="1"/>
  <c r="AK5" i="7"/>
  <c r="AK6" i="7" s="1"/>
  <c r="AJ5" i="7"/>
  <c r="AJ6" i="7" s="1"/>
  <c r="AI5" i="7"/>
  <c r="AI6" i="7" s="1"/>
  <c r="AH5" i="7"/>
  <c r="AG5" i="7"/>
  <c r="AF5" i="7"/>
  <c r="AE5" i="7"/>
  <c r="AD5" i="7"/>
  <c r="AD6" i="7" s="1"/>
  <c r="AC5" i="7"/>
  <c r="AC6" i="7" s="1"/>
  <c r="AB5" i="7"/>
  <c r="AB6" i="7" s="1"/>
  <c r="AA5" i="7"/>
  <c r="AA6" i="7" s="1"/>
  <c r="Z5" i="7"/>
  <c r="Y5" i="7"/>
  <c r="X5" i="7"/>
  <c r="W5" i="7"/>
  <c r="V5" i="7"/>
  <c r="V6" i="7" s="1"/>
  <c r="U5" i="7"/>
  <c r="U6" i="7" s="1"/>
  <c r="T5" i="7"/>
  <c r="T6" i="7" s="1"/>
  <c r="S5" i="7"/>
  <c r="S6" i="7" s="1"/>
  <c r="R5" i="7"/>
  <c r="Q5" i="7"/>
  <c r="P5" i="7"/>
  <c r="O5" i="7"/>
  <c r="N5" i="7"/>
  <c r="N6" i="7" s="1"/>
  <c r="M5" i="7"/>
  <c r="M6" i="7" s="1"/>
  <c r="M3" i="7"/>
  <c r="N3" i="7" s="1"/>
  <c r="O3" i="7" s="1"/>
  <c r="G75" i="27" l="1"/>
  <c r="D75" i="27"/>
  <c r="K51" i="23"/>
  <c r="H11" i="18"/>
  <c r="G52" i="23"/>
  <c r="C53" i="23" s="1"/>
  <c r="D52" i="23"/>
  <c r="F52" i="23" s="1"/>
  <c r="Z3" i="8"/>
  <c r="AA50" i="8"/>
  <c r="AB50" i="8" s="1"/>
  <c r="AC50" i="8" s="1"/>
  <c r="AD50" i="8" s="1"/>
  <c r="AE50" i="8" s="1"/>
  <c r="AF50" i="8" s="1"/>
  <c r="AA119" i="8"/>
  <c r="AB119" i="8" s="1"/>
  <c r="AC119" i="8" s="1"/>
  <c r="AD119" i="8" s="1"/>
  <c r="AE119" i="8" s="1"/>
  <c r="AA170" i="8"/>
  <c r="AA63" i="8"/>
  <c r="AB63" i="8" s="1"/>
  <c r="AC63" i="8" s="1"/>
  <c r="AD63" i="8" s="1"/>
  <c r="AE63" i="8" s="1"/>
  <c r="Z29" i="8"/>
  <c r="AA29" i="8" s="1"/>
  <c r="AB29" i="8" s="1"/>
  <c r="AC29" i="8" s="1"/>
  <c r="AD29" i="8" s="1"/>
  <c r="AE29" i="8" s="1"/>
  <c r="AF29" i="8" s="1"/>
  <c r="AG29" i="8" s="1"/>
  <c r="AH29" i="8" s="1"/>
  <c r="AI29" i="8" s="1"/>
  <c r="AJ29" i="8" s="1"/>
  <c r="AK29" i="8" s="1"/>
  <c r="AL29" i="8" s="1"/>
  <c r="AM29" i="8" s="1"/>
  <c r="Z21" i="8"/>
  <c r="AA21" i="8" s="1"/>
  <c r="Z13" i="8"/>
  <c r="AA13" i="8" s="1"/>
  <c r="AB13" i="8" s="1"/>
  <c r="AC13" i="8" s="1"/>
  <c r="AD13" i="8" s="1"/>
  <c r="AE13" i="8" s="1"/>
  <c r="AF13" i="8" s="1"/>
  <c r="AG13" i="8" s="1"/>
  <c r="AH13" i="8" s="1"/>
  <c r="AI13" i="8" s="1"/>
  <c r="AJ13" i="8" s="1"/>
  <c r="AK13" i="8" s="1"/>
  <c r="AL13" i="8" s="1"/>
  <c r="AM13" i="8" s="1"/>
  <c r="AA210" i="8"/>
  <c r="AB210" i="8" s="1"/>
  <c r="AC210" i="8" s="1"/>
  <c r="AD210" i="8" s="1"/>
  <c r="AA202" i="8"/>
  <c r="AB202" i="8" s="1"/>
  <c r="AA97" i="8"/>
  <c r="AB97" i="8" s="1"/>
  <c r="AC97" i="8" s="1"/>
  <c r="AD97" i="8" s="1"/>
  <c r="AE97" i="8" s="1"/>
  <c r="AF97" i="8" s="1"/>
  <c r="AG97" i="8" s="1"/>
  <c r="AH97" i="8" s="1"/>
  <c r="AI97" i="8" s="1"/>
  <c r="AJ97" i="8" s="1"/>
  <c r="AK97" i="8" s="1"/>
  <c r="AL97" i="8" s="1"/>
  <c r="AM97" i="8" s="1"/>
  <c r="Z62" i="8"/>
  <c r="AA62" i="8" s="1"/>
  <c r="AB62" i="8" s="1"/>
  <c r="AC62" i="8" s="1"/>
  <c r="AD62" i="8" s="1"/>
  <c r="AE62" i="8" s="1"/>
  <c r="AF62" i="8" s="1"/>
  <c r="Z184" i="8"/>
  <c r="Z115" i="8"/>
  <c r="AA115" i="8" s="1"/>
  <c r="AB115" i="8" s="1"/>
  <c r="AC115" i="8" s="1"/>
  <c r="AD115" i="8" s="1"/>
  <c r="AE115" i="8" s="1"/>
  <c r="AF115" i="8" s="1"/>
  <c r="AG115" i="8" s="1"/>
  <c r="AH115" i="8" s="1"/>
  <c r="AI115" i="8" s="1"/>
  <c r="AJ115" i="8" s="1"/>
  <c r="AK115" i="8" s="1"/>
  <c r="AL115" i="8" s="1"/>
  <c r="AM115" i="8" s="1"/>
  <c r="Z28" i="8"/>
  <c r="AA28" i="8" s="1"/>
  <c r="AB28" i="8" s="1"/>
  <c r="AC28" i="8" s="1"/>
  <c r="AD28" i="8" s="1"/>
  <c r="AE28" i="8" s="1"/>
  <c r="AF28" i="8" s="1"/>
  <c r="AG28" i="8" s="1"/>
  <c r="AH28" i="8" s="1"/>
  <c r="AI28" i="8" s="1"/>
  <c r="AJ28" i="8" s="1"/>
  <c r="AK28" i="8" s="1"/>
  <c r="AL28" i="8" s="1"/>
  <c r="AM28" i="8" s="1"/>
  <c r="Z4" i="8"/>
  <c r="AA4" i="8" s="1"/>
  <c r="AB4" i="8" s="1"/>
  <c r="AC4" i="8" s="1"/>
  <c r="AD4" i="8" s="1"/>
  <c r="AE4" i="8" s="1"/>
  <c r="AF4" i="8" s="1"/>
  <c r="AG4" i="8" s="1"/>
  <c r="AH4" i="8" s="1"/>
  <c r="AI4" i="8" s="1"/>
  <c r="Z61" i="8"/>
  <c r="AA61" i="8" s="1"/>
  <c r="AB61" i="8" s="1"/>
  <c r="AC61" i="8" s="1"/>
  <c r="AD61" i="8" s="1"/>
  <c r="AE61" i="8" s="1"/>
  <c r="Z53" i="8"/>
  <c r="AA53" i="8" s="1"/>
  <c r="AB53" i="8" s="1"/>
  <c r="AC53" i="8" s="1"/>
  <c r="AD53" i="8" s="1"/>
  <c r="AE53" i="8" s="1"/>
  <c r="AF53" i="8" s="1"/>
  <c r="AG53" i="8" s="1"/>
  <c r="Z166" i="8"/>
  <c r="AA166" i="8" s="1"/>
  <c r="AB166" i="8" s="1"/>
  <c r="AC166" i="8" s="1"/>
  <c r="AD166" i="8" s="1"/>
  <c r="AE166" i="8" s="1"/>
  <c r="AF166" i="8" s="1"/>
  <c r="AG166" i="8" s="1"/>
  <c r="AH166" i="8" s="1"/>
  <c r="AI166" i="8" s="1"/>
  <c r="AJ166" i="8" s="1"/>
  <c r="AK166" i="8" s="1"/>
  <c r="AL166" i="8" s="1"/>
  <c r="AM166" i="8" s="1"/>
  <c r="Z158" i="8"/>
  <c r="AA158" i="8" s="1"/>
  <c r="AB158" i="8" s="1"/>
  <c r="AC158" i="8" s="1"/>
  <c r="AD158" i="8" s="1"/>
  <c r="AE158" i="8" s="1"/>
  <c r="AF158" i="8" s="1"/>
  <c r="AG158" i="8" s="1"/>
  <c r="AH158" i="8" s="1"/>
  <c r="Z150" i="8"/>
  <c r="AA150" i="8" s="1"/>
  <c r="AB150" i="8" s="1"/>
  <c r="AC150" i="8" s="1"/>
  <c r="AD150" i="8" s="1"/>
  <c r="AE150" i="8" s="1"/>
  <c r="AF150" i="8" s="1"/>
  <c r="AG150" i="8" s="1"/>
  <c r="AH150" i="8" s="1"/>
  <c r="AI150" i="8" s="1"/>
  <c r="AJ150" i="8" s="1"/>
  <c r="AK150" i="8" s="1"/>
  <c r="AL150" i="8" s="1"/>
  <c r="AM150" i="8" s="1"/>
  <c r="Z199" i="8"/>
  <c r="AA199" i="8" s="1"/>
  <c r="AB199" i="8" s="1"/>
  <c r="AC199" i="8" s="1"/>
  <c r="AD199" i="8" s="1"/>
  <c r="Z193" i="8"/>
  <c r="AA193" i="8" s="1"/>
  <c r="AB193" i="8" s="1"/>
  <c r="AC193" i="8" s="1"/>
  <c r="AD193" i="8" s="1"/>
  <c r="AE193" i="8" s="1"/>
  <c r="AF193" i="8" s="1"/>
  <c r="AG193" i="8" s="1"/>
  <c r="AH193" i="8" s="1"/>
  <c r="AI193" i="8" s="1"/>
  <c r="AJ193" i="8" s="1"/>
  <c r="AK193" i="8" s="1"/>
  <c r="AL193" i="8" s="1"/>
  <c r="AM193" i="8" s="1"/>
  <c r="Z159" i="8"/>
  <c r="AA159" i="8" s="1"/>
  <c r="AB159" i="8" s="1"/>
  <c r="AC159" i="8" s="1"/>
  <c r="AD159" i="8" s="1"/>
  <c r="AE159" i="8" s="1"/>
  <c r="AF159" i="8" s="1"/>
  <c r="AG159" i="8" s="1"/>
  <c r="AH159" i="8" s="1"/>
  <c r="Z153" i="8"/>
  <c r="AA153" i="8" s="1"/>
  <c r="AB153" i="8" s="1"/>
  <c r="AC153" i="8" s="1"/>
  <c r="AD153" i="8" s="1"/>
  <c r="Z114" i="8"/>
  <c r="AA114" i="8" s="1"/>
  <c r="AB114" i="8" s="1"/>
  <c r="AC114" i="8" s="1"/>
  <c r="AD114" i="8" s="1"/>
  <c r="AE114" i="8" s="1"/>
  <c r="AF114" i="8" s="1"/>
  <c r="AG114" i="8" s="1"/>
  <c r="AH114" i="8" s="1"/>
  <c r="AI114" i="8" s="1"/>
  <c r="AJ114" i="8" s="1"/>
  <c r="AK114" i="8" s="1"/>
  <c r="AL114" i="8" s="1"/>
  <c r="AM114" i="8" s="1"/>
  <c r="Z69" i="8"/>
  <c r="Z45" i="8"/>
  <c r="AA45" i="8" s="1"/>
  <c r="AB45" i="8" s="1"/>
  <c r="Z70" i="8"/>
  <c r="AA70" i="8" s="1"/>
  <c r="AB70" i="8" s="1"/>
  <c r="Z131" i="8"/>
  <c r="AA131" i="8" s="1"/>
  <c r="AB131" i="8" s="1"/>
  <c r="AC131" i="8" s="1"/>
  <c r="AD131" i="8" s="1"/>
  <c r="AE131" i="8" s="1"/>
  <c r="AF131" i="8" s="1"/>
  <c r="AG131" i="8" s="1"/>
  <c r="AH131" i="8" s="1"/>
  <c r="AI131" i="8" s="1"/>
  <c r="AJ131" i="8" s="1"/>
  <c r="AK131" i="8" s="1"/>
  <c r="AL131" i="8" s="1"/>
  <c r="AM131" i="8" s="1"/>
  <c r="Z123" i="8"/>
  <c r="AA123" i="8" s="1"/>
  <c r="Z99" i="8"/>
  <c r="AA99" i="8" s="1"/>
  <c r="AB99" i="8" s="1"/>
  <c r="AC99" i="8" s="1"/>
  <c r="AD99" i="8" s="1"/>
  <c r="AE99" i="8" s="1"/>
  <c r="AF99" i="8" s="1"/>
  <c r="AG99" i="8" s="1"/>
  <c r="AH99" i="8" s="1"/>
  <c r="AI99" i="8" s="1"/>
  <c r="AJ99" i="8" s="1"/>
  <c r="AK99" i="8" s="1"/>
  <c r="AL99" i="8" s="1"/>
  <c r="AM99" i="8" s="1"/>
  <c r="Z83" i="8"/>
  <c r="Z229" i="8"/>
  <c r="AA229" i="8" s="1"/>
  <c r="AB229" i="8" s="1"/>
  <c r="AC229" i="8" s="1"/>
  <c r="AD229" i="8" s="1"/>
  <c r="AE229" i="8" s="1"/>
  <c r="AF229" i="8" s="1"/>
  <c r="Z54" i="8"/>
  <c r="AA54" i="8" s="1"/>
  <c r="AB54" i="8" s="1"/>
  <c r="AC54" i="8" s="1"/>
  <c r="AD54" i="8" s="1"/>
  <c r="AE54" i="8" s="1"/>
  <c r="AF54" i="8" s="1"/>
  <c r="Z5" i="8"/>
  <c r="AA5" i="8" s="1"/>
  <c r="AB5" i="8" s="1"/>
  <c r="AC5" i="8" s="1"/>
  <c r="AD5" i="8" s="1"/>
  <c r="AE5" i="8" s="1"/>
  <c r="AF5" i="8" s="1"/>
  <c r="AG5" i="8" s="1"/>
  <c r="AH5" i="8" s="1"/>
  <c r="AI5" i="8" s="1"/>
  <c r="AJ5" i="8" s="1"/>
  <c r="Z35" i="8"/>
  <c r="AA35" i="8" s="1"/>
  <c r="AB35" i="8" s="1"/>
  <c r="AC35" i="8" s="1"/>
  <c r="AD35" i="8" s="1"/>
  <c r="AE35" i="8" s="1"/>
  <c r="Z27" i="8"/>
  <c r="AA27" i="8" s="1"/>
  <c r="AB27" i="8" s="1"/>
  <c r="AC27" i="8" s="1"/>
  <c r="AD27" i="8" s="1"/>
  <c r="AE27" i="8" s="1"/>
  <c r="AF27" i="8" s="1"/>
  <c r="Z11" i="8"/>
  <c r="AA11" i="8" s="1"/>
  <c r="Z44" i="8"/>
  <c r="AA44" i="8" s="1"/>
  <c r="AB44" i="8" s="1"/>
  <c r="Z76" i="8"/>
  <c r="AA76" i="8" s="1"/>
  <c r="AB76" i="8" s="1"/>
  <c r="Z68" i="8"/>
  <c r="AA68" i="8" s="1"/>
  <c r="AB68" i="8" s="1"/>
  <c r="AC68" i="8" s="1"/>
  <c r="AD68" i="8" s="1"/>
  <c r="AE68" i="8" s="1"/>
  <c r="Z52" i="8"/>
  <c r="AA52" i="8" s="1"/>
  <c r="AB52" i="8" s="1"/>
  <c r="Z173" i="8"/>
  <c r="AA173" i="8" s="1"/>
  <c r="AB173" i="8" s="1"/>
  <c r="AC173" i="8" s="1"/>
  <c r="Z165" i="8"/>
  <c r="AA165" i="8" s="1"/>
  <c r="AB165" i="8" s="1"/>
  <c r="AC165" i="8" s="1"/>
  <c r="AD165" i="8" s="1"/>
  <c r="AE165" i="8" s="1"/>
  <c r="AF165" i="8" s="1"/>
  <c r="AG165" i="8" s="1"/>
  <c r="AH165" i="8" s="1"/>
  <c r="AI165" i="8" s="1"/>
  <c r="AJ165" i="8" s="1"/>
  <c r="AK165" i="8" s="1"/>
  <c r="AL165" i="8" s="1"/>
  <c r="AM165" i="8" s="1"/>
  <c r="Z157" i="8"/>
  <c r="AA157" i="8" s="1"/>
  <c r="AB157" i="8" s="1"/>
  <c r="Z257" i="8"/>
  <c r="AA257" i="8" s="1"/>
  <c r="AB257" i="8" s="1"/>
  <c r="AC257" i="8" s="1"/>
  <c r="AD257" i="8" s="1"/>
  <c r="Z228" i="8"/>
  <c r="AA228" i="8" s="1"/>
  <c r="AB228" i="8" s="1"/>
  <c r="AC228" i="8" s="1"/>
  <c r="AD228" i="8" s="1"/>
  <c r="AE228" i="8" s="1"/>
  <c r="AF228" i="8" s="1"/>
  <c r="Z219" i="8"/>
  <c r="Z169" i="8"/>
  <c r="AA169" i="8" s="1"/>
  <c r="Z113" i="8"/>
  <c r="AA113" i="8" s="1"/>
  <c r="AB113" i="8" s="1"/>
  <c r="AC113" i="8" s="1"/>
  <c r="AD113" i="8" s="1"/>
  <c r="AE113" i="8" s="1"/>
  <c r="AF113" i="8" s="1"/>
  <c r="AG113" i="8" s="1"/>
  <c r="AH113" i="8" s="1"/>
  <c r="AI113" i="8" s="1"/>
  <c r="AJ113" i="8" s="1"/>
  <c r="AK113" i="8" s="1"/>
  <c r="AL113" i="8" s="1"/>
  <c r="AM113" i="8" s="1"/>
  <c r="Z87" i="8"/>
  <c r="AA87" i="8" s="1"/>
  <c r="AB87" i="8" s="1"/>
  <c r="AC87" i="8" s="1"/>
  <c r="AD87" i="8" s="1"/>
  <c r="AE87" i="8" s="1"/>
  <c r="AF87" i="8" s="1"/>
  <c r="AG87" i="8" s="1"/>
  <c r="AH87" i="8" s="1"/>
  <c r="AI87" i="8" s="1"/>
  <c r="AJ87" i="8" s="1"/>
  <c r="AK87" i="8" s="1"/>
  <c r="AL87" i="8" s="1"/>
  <c r="AM87" i="8" s="1"/>
  <c r="Z12" i="8"/>
  <c r="AA12" i="8" s="1"/>
  <c r="Z25" i="8"/>
  <c r="AA25" i="8" s="1"/>
  <c r="AB25" i="8" s="1"/>
  <c r="AC25" i="8" s="1"/>
  <c r="AD25" i="8" s="1"/>
  <c r="Z17" i="8"/>
  <c r="AA17" i="8" s="1"/>
  <c r="AB17" i="8" s="1"/>
  <c r="AC17" i="8" s="1"/>
  <c r="AD17" i="8" s="1"/>
  <c r="AE17" i="8" s="1"/>
  <c r="AF17" i="8" s="1"/>
  <c r="AG17" i="8" s="1"/>
  <c r="AH17" i="8" s="1"/>
  <c r="AI17" i="8" s="1"/>
  <c r="AJ17" i="8" s="1"/>
  <c r="AK17" i="8" s="1"/>
  <c r="AL17" i="8" s="1"/>
  <c r="AM17" i="8" s="1"/>
  <c r="Z9" i="8"/>
  <c r="AA9" i="8" s="1"/>
  <c r="AB9" i="8" s="1"/>
  <c r="AC9" i="8" s="1"/>
  <c r="AD9" i="8" s="1"/>
  <c r="AE9" i="8" s="1"/>
  <c r="AF9" i="8" s="1"/>
  <c r="AG9" i="8" s="1"/>
  <c r="AH9" i="8" s="1"/>
  <c r="AI9" i="8" s="1"/>
  <c r="Z147" i="8"/>
  <c r="AA147" i="8" s="1"/>
  <c r="AB147" i="8" s="1"/>
  <c r="AC147" i="8" s="1"/>
  <c r="AD147" i="8" s="1"/>
  <c r="AE147" i="8" s="1"/>
  <c r="AF147" i="8" s="1"/>
  <c r="AG147" i="8" s="1"/>
  <c r="Z251" i="8"/>
  <c r="AA251" i="8" s="1"/>
  <c r="AB251" i="8" s="1"/>
  <c r="AC251" i="8" s="1"/>
  <c r="AD251" i="8" s="1"/>
  <c r="AE251" i="8" s="1"/>
  <c r="AF251" i="8" s="1"/>
  <c r="AG251" i="8" s="1"/>
  <c r="AH251" i="8" s="1"/>
  <c r="AI251" i="8" s="1"/>
  <c r="AJ251" i="8" s="1"/>
  <c r="AK251" i="8" s="1"/>
  <c r="AL251" i="8" s="1"/>
  <c r="AM251" i="8" s="1"/>
  <c r="Z227" i="8"/>
  <c r="AA227" i="8" s="1"/>
  <c r="AB227" i="8" s="1"/>
  <c r="AC227" i="8" s="1"/>
  <c r="AD227" i="8" s="1"/>
  <c r="AE227" i="8" s="1"/>
  <c r="AF227" i="8" s="1"/>
  <c r="AG227" i="8" s="1"/>
  <c r="Z218" i="8"/>
  <c r="AA218" i="8" s="1"/>
  <c r="AB218" i="8" s="1"/>
  <c r="Z111" i="8"/>
  <c r="AA111" i="8" s="1"/>
  <c r="AB111" i="8" s="1"/>
  <c r="Z66" i="8"/>
  <c r="AA66" i="8" s="1"/>
  <c r="AB66" i="8" s="1"/>
  <c r="AC66" i="8" s="1"/>
  <c r="AD66" i="8" s="1"/>
  <c r="AE66" i="8" s="1"/>
  <c r="Z43" i="8"/>
  <c r="AA43" i="8" s="1"/>
  <c r="Z51" i="8"/>
  <c r="AA51" i="8" s="1"/>
  <c r="AB51" i="8" s="1"/>
  <c r="AC51" i="8" s="1"/>
  <c r="AD51" i="8" s="1"/>
  <c r="AE51" i="8" s="1"/>
  <c r="AF51" i="8" s="1"/>
  <c r="Z181" i="8"/>
  <c r="Z172" i="8"/>
  <c r="AA172" i="8" s="1"/>
  <c r="AB172" i="8" s="1"/>
  <c r="Z164" i="8"/>
  <c r="AA164" i="8" s="1"/>
  <c r="AB164" i="8" s="1"/>
  <c r="AC164" i="8" s="1"/>
  <c r="AD164" i="8" s="1"/>
  <c r="AE164" i="8" s="1"/>
  <c r="AF164" i="8" s="1"/>
  <c r="AG164" i="8" s="1"/>
  <c r="AH164" i="8" s="1"/>
  <c r="AI164" i="8" s="1"/>
  <c r="AJ164" i="8" s="1"/>
  <c r="AK164" i="8" s="1"/>
  <c r="AL164" i="8" s="1"/>
  <c r="AM164" i="8" s="1"/>
  <c r="Z24" i="8"/>
  <c r="AA24" i="8" s="1"/>
  <c r="AB24" i="8" s="1"/>
  <c r="AC24" i="8" s="1"/>
  <c r="AD24" i="8" s="1"/>
  <c r="AE24" i="8" s="1"/>
  <c r="AF24" i="8" s="1"/>
  <c r="AG24" i="8" s="1"/>
  <c r="AH24" i="8" s="1"/>
  <c r="AI24" i="8" s="1"/>
  <c r="AJ24" i="8" s="1"/>
  <c r="AK24" i="8" s="1"/>
  <c r="AL24" i="8" s="1"/>
  <c r="AM24" i="8" s="1"/>
  <c r="Z16" i="8"/>
  <c r="AA16" i="8" s="1"/>
  <c r="AB16" i="8" s="1"/>
  <c r="Z41" i="8"/>
  <c r="AA41" i="8" s="1"/>
  <c r="AB41" i="8" s="1"/>
  <c r="AC41" i="8" s="1"/>
  <c r="AD41" i="8" s="1"/>
  <c r="Z65" i="8"/>
  <c r="AA65" i="8" s="1"/>
  <c r="AB65" i="8" s="1"/>
  <c r="Z110" i="8"/>
  <c r="AA110" i="8" s="1"/>
  <c r="Z94" i="8"/>
  <c r="AA94" i="8" s="1"/>
  <c r="AB94" i="8" s="1"/>
  <c r="AC94" i="8" s="1"/>
  <c r="AD94" i="8" s="1"/>
  <c r="AE94" i="8" s="1"/>
  <c r="AF94" i="8" s="1"/>
  <c r="AG94" i="8" s="1"/>
  <c r="AH94" i="8" s="1"/>
  <c r="AI94" i="8" s="1"/>
  <c r="AJ94" i="8" s="1"/>
  <c r="AK94" i="8" s="1"/>
  <c r="AL94" i="8" s="1"/>
  <c r="AM94" i="8" s="1"/>
  <c r="Z86" i="8"/>
  <c r="Z261" i="8"/>
  <c r="Z255" i="8"/>
  <c r="AA255" i="8" s="1"/>
  <c r="AB255" i="8" s="1"/>
  <c r="Z206" i="8"/>
  <c r="AA206" i="8" s="1"/>
  <c r="AB206" i="8" s="1"/>
  <c r="AC206" i="8" s="1"/>
  <c r="AD206" i="8" s="1"/>
  <c r="AE206" i="8" s="1"/>
  <c r="AF206" i="8" s="1"/>
  <c r="AG206" i="8" s="1"/>
  <c r="AH206" i="8" s="1"/>
  <c r="AI206" i="8" s="1"/>
  <c r="AJ206" i="8" s="1"/>
  <c r="AK206" i="8" s="1"/>
  <c r="AL206" i="8" s="1"/>
  <c r="AM206" i="8" s="1"/>
  <c r="Z182" i="8"/>
  <c r="AA182" i="8" s="1"/>
  <c r="AB182" i="8" s="1"/>
  <c r="Z149" i="8"/>
  <c r="AA149" i="8" s="1"/>
  <c r="AB149" i="8" s="1"/>
  <c r="AC149" i="8" s="1"/>
  <c r="AD149" i="8" s="1"/>
  <c r="AE149" i="8" s="1"/>
  <c r="AF149" i="8" s="1"/>
  <c r="AG149" i="8" s="1"/>
  <c r="AH149" i="8" s="1"/>
  <c r="AI149" i="8" s="1"/>
  <c r="AJ149" i="8" s="1"/>
  <c r="AK149" i="8" s="1"/>
  <c r="AL149" i="8" s="1"/>
  <c r="AM149" i="8" s="1"/>
  <c r="Z129" i="8"/>
  <c r="AA129" i="8" s="1"/>
  <c r="AB129" i="8" s="1"/>
  <c r="AC129" i="8" s="1"/>
  <c r="AD129" i="8" s="1"/>
  <c r="AE129" i="8" s="1"/>
  <c r="AF129" i="8" s="1"/>
  <c r="AG129" i="8" s="1"/>
  <c r="AH129" i="8" s="1"/>
  <c r="AI129" i="8" s="1"/>
  <c r="AJ129" i="8" s="1"/>
  <c r="AK129" i="8" s="1"/>
  <c r="AL129" i="8" s="1"/>
  <c r="AM129" i="8" s="1"/>
  <c r="Z49" i="8"/>
  <c r="AA49" i="8" s="1"/>
  <c r="AB49" i="8" s="1"/>
  <c r="AC49" i="8" s="1"/>
  <c r="AD49" i="8" s="1"/>
  <c r="AE49" i="8" s="1"/>
  <c r="AF49" i="8" s="1"/>
  <c r="Z20" i="8"/>
  <c r="AA20" i="8" s="1"/>
  <c r="AB20" i="8" s="1"/>
  <c r="AC20" i="8" s="1"/>
  <c r="AD20" i="8" s="1"/>
  <c r="AE20" i="8" s="1"/>
  <c r="AF20" i="8" s="1"/>
  <c r="AG20" i="8" s="1"/>
  <c r="AH20" i="8" s="1"/>
  <c r="AI20" i="8" s="1"/>
  <c r="AJ20" i="8" s="1"/>
  <c r="AK20" i="8" s="1"/>
  <c r="AL20" i="8" s="1"/>
  <c r="AM20" i="8" s="1"/>
  <c r="Z8" i="8"/>
  <c r="AA8" i="8" s="1"/>
  <c r="AB8" i="8" s="1"/>
  <c r="AC8" i="8" s="1"/>
  <c r="AD8" i="8" s="1"/>
  <c r="AE8" i="8" s="1"/>
  <c r="AF8" i="8" s="1"/>
  <c r="AG8" i="8" s="1"/>
  <c r="AH8" i="8" s="1"/>
  <c r="AI8" i="8" s="1"/>
  <c r="Z75" i="8"/>
  <c r="AA75" i="8" s="1"/>
  <c r="AB75" i="8" s="1"/>
  <c r="Z128" i="8"/>
  <c r="AA128" i="8" s="1"/>
  <c r="AB128" i="8" s="1"/>
  <c r="AC128" i="8" s="1"/>
  <c r="AD128" i="8" s="1"/>
  <c r="AE128" i="8" s="1"/>
  <c r="AF128" i="8" s="1"/>
  <c r="Z112" i="8"/>
  <c r="AA112" i="8" s="1"/>
  <c r="AB112" i="8" s="1"/>
  <c r="Z88" i="8"/>
  <c r="AA88" i="8" s="1"/>
  <c r="AB88" i="8" s="1"/>
  <c r="AC88" i="8" s="1"/>
  <c r="AD88" i="8" s="1"/>
  <c r="AE88" i="8" s="1"/>
  <c r="AF88" i="8" s="1"/>
  <c r="AG88" i="8" s="1"/>
  <c r="AH88" i="8" s="1"/>
  <c r="AI88" i="8" s="1"/>
  <c r="AJ88" i="8" s="1"/>
  <c r="AK88" i="8" s="1"/>
  <c r="AL88" i="8" s="1"/>
  <c r="AM88" i="8" s="1"/>
  <c r="Z40" i="8"/>
  <c r="AA40" i="8" s="1"/>
  <c r="AB40" i="8" s="1"/>
  <c r="Z72" i="8"/>
  <c r="Z64" i="8"/>
  <c r="AA64" i="8" s="1"/>
  <c r="AB64" i="8" s="1"/>
  <c r="AC64" i="8" s="1"/>
  <c r="AD64" i="8" s="1"/>
  <c r="AE64" i="8" s="1"/>
  <c r="AF64" i="8" s="1"/>
  <c r="Z117" i="8"/>
  <c r="Z101" i="8"/>
  <c r="AA101" i="8" s="1"/>
  <c r="AB101" i="8" s="1"/>
  <c r="AC101" i="8" s="1"/>
  <c r="AD101" i="8" s="1"/>
  <c r="AE101" i="8" s="1"/>
  <c r="AF101" i="8" s="1"/>
  <c r="AG101" i="8" s="1"/>
  <c r="AH101" i="8" s="1"/>
  <c r="AI101" i="8" s="1"/>
  <c r="AJ101" i="8" s="1"/>
  <c r="AK101" i="8" s="1"/>
  <c r="AL101" i="8" s="1"/>
  <c r="AM101" i="8" s="1"/>
  <c r="Z93" i="8"/>
  <c r="AA93" i="8" s="1"/>
  <c r="AB93" i="8" s="1"/>
  <c r="AC93" i="8" s="1"/>
  <c r="AD93" i="8" s="1"/>
  <c r="AE93" i="8" s="1"/>
  <c r="AF93" i="8" s="1"/>
  <c r="AG93" i="8" s="1"/>
  <c r="AH93" i="8" s="1"/>
  <c r="AI93" i="8" s="1"/>
  <c r="AJ93" i="8" s="1"/>
  <c r="AK93" i="8" s="1"/>
  <c r="AL93" i="8" s="1"/>
  <c r="AM93" i="8" s="1"/>
  <c r="Z85" i="8"/>
  <c r="AA85" i="8" s="1"/>
  <c r="Z243" i="8"/>
  <c r="Z211" i="8"/>
  <c r="AA211" i="8" s="1"/>
  <c r="AB211" i="8" s="1"/>
  <c r="AC211" i="8" s="1"/>
  <c r="AD211" i="8" s="1"/>
  <c r="AE211" i="8" s="1"/>
  <c r="AF211" i="8" s="1"/>
  <c r="AG211" i="8" s="1"/>
  <c r="AH211" i="8" s="1"/>
  <c r="AI211" i="8" s="1"/>
  <c r="Z208" i="8"/>
  <c r="AA208" i="8" s="1"/>
  <c r="AB208" i="8" s="1"/>
  <c r="AC208" i="8" s="1"/>
  <c r="AD208" i="8" s="1"/>
  <c r="AE208" i="8" s="1"/>
  <c r="AF208" i="8" s="1"/>
  <c r="AG208" i="8" s="1"/>
  <c r="AH208" i="8" s="1"/>
  <c r="Z163" i="8"/>
  <c r="AA163" i="8" s="1"/>
  <c r="AB163" i="8" s="1"/>
  <c r="AC163" i="8" s="1"/>
  <c r="AD163" i="8" s="1"/>
  <c r="AE163" i="8" s="1"/>
  <c r="AF163" i="8" s="1"/>
  <c r="AG163" i="8" s="1"/>
  <c r="AH163" i="8" s="1"/>
  <c r="AI163" i="8" s="1"/>
  <c r="AJ163" i="8" s="1"/>
  <c r="AK163" i="8" s="1"/>
  <c r="AL163" i="8" s="1"/>
  <c r="AM163" i="8" s="1"/>
  <c r="Z156" i="8"/>
  <c r="Z118" i="8"/>
  <c r="AA118" i="8" s="1"/>
  <c r="Z73" i="8"/>
  <c r="Z48" i="8"/>
  <c r="AA48" i="8" s="1"/>
  <c r="AB48" i="8" s="1"/>
  <c r="AC48" i="8" s="1"/>
  <c r="AD48" i="8" s="1"/>
  <c r="AE48" i="8" s="1"/>
  <c r="Z19" i="8"/>
  <c r="AA19" i="8" s="1"/>
  <c r="AB19" i="8" s="1"/>
  <c r="AC19" i="8" s="1"/>
  <c r="AD19" i="8" s="1"/>
  <c r="AE19" i="8" s="1"/>
  <c r="AF19" i="8" s="1"/>
  <c r="AG19" i="8" s="1"/>
  <c r="AH19" i="8" s="1"/>
  <c r="AI19" i="8" s="1"/>
  <c r="AJ19" i="8" s="1"/>
  <c r="AK19" i="8" s="1"/>
  <c r="AL19" i="8" s="1"/>
  <c r="AM19" i="8" s="1"/>
  <c r="Z104" i="8"/>
  <c r="AA104" i="8" s="1"/>
  <c r="AB104" i="8" s="1"/>
  <c r="AC104" i="8" s="1"/>
  <c r="AD104" i="8" s="1"/>
  <c r="AE104" i="8" s="1"/>
  <c r="AF104" i="8" s="1"/>
  <c r="AG104" i="8" s="1"/>
  <c r="AH104" i="8" s="1"/>
  <c r="AI104" i="8" s="1"/>
  <c r="AJ104" i="8" s="1"/>
  <c r="AK104" i="8" s="1"/>
  <c r="AL104" i="8" s="1"/>
  <c r="AM104" i="8" s="1"/>
  <c r="Z22" i="8"/>
  <c r="AA22" i="8" s="1"/>
  <c r="AB22" i="8" s="1"/>
  <c r="AC22" i="8" s="1"/>
  <c r="AD22" i="8" s="1"/>
  <c r="Z14" i="8"/>
  <c r="AA14" i="8" s="1"/>
  <c r="AB14" i="8" s="1"/>
  <c r="AC14" i="8" s="1"/>
  <c r="AD14" i="8" s="1"/>
  <c r="AE14" i="8" s="1"/>
  <c r="AF14" i="8" s="1"/>
  <c r="AG14" i="8" s="1"/>
  <c r="AH14" i="8" s="1"/>
  <c r="AI14" i="8" s="1"/>
  <c r="AJ14" i="8" s="1"/>
  <c r="AK14" i="8" s="1"/>
  <c r="AL14" i="8" s="1"/>
  <c r="AM14" i="8" s="1"/>
  <c r="Z6" i="8"/>
  <c r="AA6" i="8" s="1"/>
  <c r="AB6" i="8" s="1"/>
  <c r="AC6" i="8" s="1"/>
  <c r="AD6" i="8" s="1"/>
  <c r="AE6" i="8" s="1"/>
  <c r="AF6" i="8" s="1"/>
  <c r="AG6" i="8" s="1"/>
  <c r="AH6" i="8" s="1"/>
  <c r="AI6" i="8" s="1"/>
  <c r="Z168" i="8"/>
  <c r="AA168" i="8" s="1"/>
  <c r="Z160" i="8"/>
  <c r="AA160" i="8" s="1"/>
  <c r="Z152" i="8"/>
  <c r="AA152" i="8" s="1"/>
  <c r="AB152" i="8" s="1"/>
  <c r="AC152" i="8" s="1"/>
  <c r="AD152" i="8" s="1"/>
  <c r="Z124" i="8"/>
  <c r="AA124" i="8" s="1"/>
  <c r="Z108" i="8"/>
  <c r="AA108" i="8" s="1"/>
  <c r="AB108" i="8" s="1"/>
  <c r="AC108" i="8" s="1"/>
  <c r="AD108" i="8" s="1"/>
  <c r="AE108" i="8" s="1"/>
  <c r="Z100" i="8"/>
  <c r="AA100" i="8" s="1"/>
  <c r="AB100" i="8" s="1"/>
  <c r="AC100" i="8" s="1"/>
  <c r="AD100" i="8" s="1"/>
  <c r="AE100" i="8" s="1"/>
  <c r="AF100" i="8" s="1"/>
  <c r="AG100" i="8" s="1"/>
  <c r="AH100" i="8" s="1"/>
  <c r="AI100" i="8" s="1"/>
  <c r="AJ100" i="8" s="1"/>
  <c r="AK100" i="8" s="1"/>
  <c r="AL100" i="8" s="1"/>
  <c r="AM100" i="8" s="1"/>
  <c r="Z254" i="8"/>
  <c r="AA254" i="8" s="1"/>
  <c r="AB254" i="8" s="1"/>
  <c r="AC254" i="8" s="1"/>
  <c r="AD254" i="8" s="1"/>
  <c r="Z246" i="8"/>
  <c r="Z180" i="8"/>
  <c r="AA180" i="8" s="1"/>
  <c r="AB180" i="8" s="1"/>
  <c r="Z155" i="8"/>
  <c r="Z148" i="8"/>
  <c r="AA148" i="8" s="1"/>
  <c r="Z126" i="8"/>
  <c r="AA126" i="8" s="1"/>
  <c r="Z107" i="8"/>
  <c r="AA107" i="8" s="1"/>
  <c r="AB107" i="8" s="1"/>
  <c r="AC107" i="8" s="1"/>
  <c r="AD107" i="8" s="1"/>
  <c r="AE107" i="8" s="1"/>
  <c r="AF107" i="8" s="1"/>
  <c r="AG107" i="8" s="1"/>
  <c r="AH107" i="8" s="1"/>
  <c r="AI107" i="8" s="1"/>
  <c r="AJ107" i="8" s="1"/>
  <c r="AK107" i="8" s="1"/>
  <c r="AL107" i="8" s="1"/>
  <c r="AM107" i="8" s="1"/>
  <c r="Z91" i="8"/>
  <c r="AA91" i="8" s="1"/>
  <c r="AB91" i="8" s="1"/>
  <c r="AC91" i="8" s="1"/>
  <c r="AD91" i="8" s="1"/>
  <c r="AE91" i="8" s="1"/>
  <c r="AF91" i="8" s="1"/>
  <c r="AG91" i="8" s="1"/>
  <c r="AH91" i="8" s="1"/>
  <c r="AI91" i="8" s="1"/>
  <c r="AJ91" i="8" s="1"/>
  <c r="AK91" i="8" s="1"/>
  <c r="AL91" i="8" s="1"/>
  <c r="AM91" i="8" s="1"/>
  <c r="Z46" i="8"/>
  <c r="Z38" i="8"/>
  <c r="Q38" i="7"/>
  <c r="R38" i="7" s="1"/>
  <c r="S38" i="7" s="1"/>
  <c r="T38" i="7" s="1"/>
  <c r="U38" i="7" s="1"/>
  <c r="V38" i="7" s="1"/>
  <c r="W38" i="7" s="1"/>
  <c r="X38" i="7" s="1"/>
  <c r="AO57" i="7"/>
  <c r="AP52" i="7"/>
  <c r="P3" i="7"/>
  <c r="AA10" i="7"/>
  <c r="AA17" i="7"/>
  <c r="L24" i="7"/>
  <c r="M24" i="7" s="1"/>
  <c r="N24" i="7" s="1"/>
  <c r="O24" i="7" s="1"/>
  <c r="P24" i="7" s="1"/>
  <c r="Q24" i="7" s="1"/>
  <c r="U31" i="7"/>
  <c r="V31" i="7" s="1"/>
  <c r="W31" i="7" s="1"/>
  <c r="AJ66" i="7"/>
  <c r="AK66" i="7" s="1"/>
  <c r="AL66" i="7" s="1"/>
  <c r="AM66" i="7" s="1"/>
  <c r="AN66" i="7" s="1"/>
  <c r="AO66" i="7" s="1"/>
  <c r="AC76" i="7"/>
  <c r="AK76" i="7"/>
  <c r="AS76" i="7"/>
  <c r="BA76" i="7"/>
  <c r="BI76" i="7"/>
  <c r="Q59" i="7"/>
  <c r="R59" i="7" s="1"/>
  <c r="S59" i="7" s="1"/>
  <c r="T59" i="7" s="1"/>
  <c r="U59" i="7" s="1"/>
  <c r="V59" i="7" s="1"/>
  <c r="W59" i="7" s="1"/>
  <c r="X59" i="7" s="1"/>
  <c r="U13" i="7"/>
  <c r="BQ76" i="7"/>
  <c r="AE45" i="7"/>
  <c r="AF45" i="7" s="1"/>
  <c r="AG45" i="7" s="1"/>
  <c r="AH45" i="7" s="1"/>
  <c r="AI45" i="7" s="1"/>
  <c r="AJ45" i="7" s="1"/>
  <c r="AK45" i="7" s="1"/>
  <c r="AL45" i="7" s="1"/>
  <c r="BQ34" i="7"/>
  <c r="AF76" i="7"/>
  <c r="AN76" i="7"/>
  <c r="AV76" i="7"/>
  <c r="BD76" i="7"/>
  <c r="BL76" i="7"/>
  <c r="AG76" i="7"/>
  <c r="AO76" i="7"/>
  <c r="AW76" i="7"/>
  <c r="BE76" i="7"/>
  <c r="BM76" i="7"/>
  <c r="S76" i="7"/>
  <c r="S62" i="7"/>
  <c r="BR76" i="7"/>
  <c r="Z76" i="7"/>
  <c r="AH76" i="7"/>
  <c r="AP76" i="7"/>
  <c r="AX76" i="7"/>
  <c r="BF76" i="7"/>
  <c r="BN76" i="7"/>
  <c r="T76" i="7"/>
  <c r="BT69" i="7"/>
  <c r="AA76" i="7"/>
  <c r="AI76" i="7"/>
  <c r="AQ76" i="7"/>
  <c r="AY76" i="7"/>
  <c r="BG76" i="7"/>
  <c r="BO76" i="7"/>
  <c r="AB76" i="7"/>
  <c r="AB79" i="7" s="1"/>
  <c r="AB55" i="7"/>
  <c r="AJ76" i="7"/>
  <c r="AJ55" i="7"/>
  <c r="AR76" i="7"/>
  <c r="AR55" i="7"/>
  <c r="AZ76" i="7"/>
  <c r="AZ55" i="7"/>
  <c r="BH76" i="7"/>
  <c r="BH55" i="7"/>
  <c r="BP76" i="7"/>
  <c r="BP55" i="7"/>
  <c r="AG55" i="7"/>
  <c r="AO55" i="7"/>
  <c r="AW55" i="7"/>
  <c r="BE55" i="7"/>
  <c r="BM55" i="7"/>
  <c r="L62" i="7"/>
  <c r="T62" i="7"/>
  <c r="BU69" i="7"/>
  <c r="V76" i="7"/>
  <c r="AD76" i="7"/>
  <c r="AL76" i="7"/>
  <c r="AT76" i="7"/>
  <c r="BB76" i="7"/>
  <c r="BJ76" i="7"/>
  <c r="Z55" i="7"/>
  <c r="AH55" i="7"/>
  <c r="AP55" i="7"/>
  <c r="AX55" i="7"/>
  <c r="BF55" i="7"/>
  <c r="BN55" i="7"/>
  <c r="BV69" i="7"/>
  <c r="W76" i="7"/>
  <c r="AE76" i="7"/>
  <c r="AM76" i="7"/>
  <c r="AU76" i="7"/>
  <c r="BC76" i="7"/>
  <c r="BK76" i="7"/>
  <c r="BS76" i="7"/>
  <c r="AA55" i="7"/>
  <c r="AI55" i="7"/>
  <c r="AQ55" i="7"/>
  <c r="AY55" i="7"/>
  <c r="BG55" i="7"/>
  <c r="BO55" i="7"/>
  <c r="BW69" i="7"/>
  <c r="X76" i="7"/>
  <c r="I76" i="7"/>
  <c r="Q76" i="7"/>
  <c r="Y76" i="7"/>
  <c r="R76" i="7"/>
  <c r="C76" i="27" l="1"/>
  <c r="N32" i="3"/>
  <c r="F75" i="27"/>
  <c r="I75" i="27"/>
  <c r="K75" i="27" s="1"/>
  <c r="G76" i="27"/>
  <c r="C77" i="27" s="1"/>
  <c r="D76" i="27"/>
  <c r="H12" i="18"/>
  <c r="D53" i="23"/>
  <c r="F53" i="23" s="1"/>
  <c r="G53" i="23"/>
  <c r="C54" i="23" s="1"/>
  <c r="AA3" i="8"/>
  <c r="AK5" i="8"/>
  <c r="AB17" i="7"/>
  <c r="AB10" i="7"/>
  <c r="Y38" i="7"/>
  <c r="X31" i="7"/>
  <c r="R24" i="7"/>
  <c r="Q3" i="7"/>
  <c r="AM45" i="7"/>
  <c r="Y59" i="7"/>
  <c r="AO71" i="7"/>
  <c r="AP66" i="7"/>
  <c r="AP57" i="7"/>
  <c r="AQ52" i="7"/>
  <c r="F76" i="27" l="1"/>
  <c r="G77" i="27"/>
  <c r="C78" i="27" s="1"/>
  <c r="D77" i="27"/>
  <c r="F77" i="27" s="1"/>
  <c r="G54" i="23"/>
  <c r="C55" i="23" s="1"/>
  <c r="D54" i="23"/>
  <c r="F54" i="23" s="1"/>
  <c r="AB3" i="8"/>
  <c r="AL5" i="8"/>
  <c r="AM5" i="8" s="1"/>
  <c r="R3" i="7"/>
  <c r="S24" i="7"/>
  <c r="AC10" i="7"/>
  <c r="AN45" i="7"/>
  <c r="Z38" i="7"/>
  <c r="AC17" i="7"/>
  <c r="AR52" i="7"/>
  <c r="AQ57" i="7"/>
  <c r="AP71" i="7"/>
  <c r="AQ66" i="7"/>
  <c r="Z59" i="7"/>
  <c r="Y31" i="7"/>
  <c r="D78" i="27" l="1"/>
  <c r="F78" i="27" s="1"/>
  <c r="G78" i="27"/>
  <c r="C79" i="27" s="1"/>
  <c r="D55" i="23"/>
  <c r="F55" i="23" s="1"/>
  <c r="G55" i="23"/>
  <c r="C56" i="23" s="1"/>
  <c r="L6" i="3"/>
  <c r="AC3" i="8"/>
  <c r="AO45" i="7"/>
  <c r="AR66" i="7"/>
  <c r="AQ71" i="7"/>
  <c r="AS52" i="7"/>
  <c r="AR57" i="7"/>
  <c r="Z31" i="7"/>
  <c r="AD17" i="7"/>
  <c r="T24" i="7"/>
  <c r="S3" i="7"/>
  <c r="AD10" i="7"/>
  <c r="AA38" i="7"/>
  <c r="D79" i="27" l="1"/>
  <c r="G79" i="27"/>
  <c r="C80" i="27" s="1"/>
  <c r="G56" i="23"/>
  <c r="C57" i="23" s="1"/>
  <c r="D56" i="23"/>
  <c r="F56" i="23" s="1"/>
  <c r="AD3" i="8"/>
  <c r="M6" i="3"/>
  <c r="AE10" i="7"/>
  <c r="AT52" i="7"/>
  <c r="AS57" i="7"/>
  <c r="AS66" i="7"/>
  <c r="AR71" i="7"/>
  <c r="T3" i="7"/>
  <c r="AA31" i="7"/>
  <c r="U24" i="7"/>
  <c r="AB38" i="7"/>
  <c r="AE17" i="7"/>
  <c r="AP45" i="7"/>
  <c r="AO50" i="7"/>
  <c r="G80" i="27" l="1"/>
  <c r="C81" i="27" s="1"/>
  <c r="D80" i="27"/>
  <c r="F80" i="27" s="1"/>
  <c r="F79" i="27"/>
  <c r="D57" i="23"/>
  <c r="F57" i="23" s="1"/>
  <c r="G57" i="23"/>
  <c r="C58" i="23" s="1"/>
  <c r="AE3" i="8"/>
  <c r="N6" i="3"/>
  <c r="AC38" i="7"/>
  <c r="AT66" i="7"/>
  <c r="AS71" i="7"/>
  <c r="U3" i="7"/>
  <c r="AF17" i="7"/>
  <c r="V24" i="7"/>
  <c r="AU52" i="7"/>
  <c r="AT57" i="7"/>
  <c r="AP50" i="7"/>
  <c r="AQ45" i="7"/>
  <c r="AB31" i="7"/>
  <c r="AF10" i="7"/>
  <c r="G81" i="27" l="1"/>
  <c r="C82" i="27" s="1"/>
  <c r="D81" i="27"/>
  <c r="D58" i="23"/>
  <c r="G58" i="23"/>
  <c r="C59" i="23" s="1"/>
  <c r="O6" i="3"/>
  <c r="AF3" i="8"/>
  <c r="AC31" i="7"/>
  <c r="AG17" i="7"/>
  <c r="AQ50" i="7"/>
  <c r="AR45" i="7"/>
  <c r="V3" i="7"/>
  <c r="AV52" i="7"/>
  <c r="AU57" i="7"/>
  <c r="AU66" i="7"/>
  <c r="AT71" i="7"/>
  <c r="AG10" i="7"/>
  <c r="W24" i="7"/>
  <c r="AD38" i="7"/>
  <c r="F81" i="27" l="1"/>
  <c r="D82" i="27"/>
  <c r="F82" i="27" s="1"/>
  <c r="G82" i="27"/>
  <c r="C83" i="27" s="1"/>
  <c r="D59" i="23"/>
  <c r="F59" i="23" s="1"/>
  <c r="G59" i="23"/>
  <c r="C60" i="23" s="1"/>
  <c r="F58" i="23"/>
  <c r="AG3" i="8"/>
  <c r="X24" i="7"/>
  <c r="W3" i="7"/>
  <c r="AR50" i="7"/>
  <c r="AS45" i="7"/>
  <c r="AH10" i="7"/>
  <c r="AU71" i="7"/>
  <c r="AV66" i="7"/>
  <c r="AH17" i="7"/>
  <c r="AE38" i="7"/>
  <c r="AV57" i="7"/>
  <c r="AW52" i="7"/>
  <c r="AD31" i="7"/>
  <c r="D83" i="27" l="1"/>
  <c r="F83" i="27" s="1"/>
  <c r="G83" i="27"/>
  <c r="C84" i="27" s="1"/>
  <c r="G60" i="23"/>
  <c r="C61" i="23" s="1"/>
  <c r="D60" i="23"/>
  <c r="AH3" i="8"/>
  <c r="AS50" i="7"/>
  <c r="AT45" i="7"/>
  <c r="AF38" i="7"/>
  <c r="AI10" i="7"/>
  <c r="AI17" i="7"/>
  <c r="X3" i="7"/>
  <c r="AW57" i="7"/>
  <c r="AX52" i="7"/>
  <c r="AE31" i="7"/>
  <c r="AV71" i="7"/>
  <c r="AW66" i="7"/>
  <c r="Y24" i="7"/>
  <c r="G84" i="27" l="1"/>
  <c r="C85" i="27" s="1"/>
  <c r="D84" i="27"/>
  <c r="F84" i="27" s="1"/>
  <c r="F60" i="23"/>
  <c r="D61" i="23"/>
  <c r="F61" i="23" s="1"/>
  <c r="G61" i="23"/>
  <c r="C62" i="23" s="1"/>
  <c r="AI3" i="8"/>
  <c r="AW71" i="7"/>
  <c r="AX66" i="7"/>
  <c r="AJ17" i="7"/>
  <c r="AJ10" i="7"/>
  <c r="AG38" i="7"/>
  <c r="Y3" i="7"/>
  <c r="AU45" i="7"/>
  <c r="AT50" i="7"/>
  <c r="AF31" i="7"/>
  <c r="AX57" i="7"/>
  <c r="AY52" i="7"/>
  <c r="Z24" i="7"/>
  <c r="G85" i="27" l="1"/>
  <c r="C86" i="27" s="1"/>
  <c r="D85" i="27"/>
  <c r="F85" i="27" s="1"/>
  <c r="G62" i="23"/>
  <c r="C63" i="23" s="1"/>
  <c r="D62" i="23"/>
  <c r="AH38" i="7"/>
  <c r="AV45" i="7"/>
  <c r="AU50" i="7"/>
  <c r="AZ52" i="7"/>
  <c r="AY57" i="7"/>
  <c r="AX71" i="7"/>
  <c r="AY66" i="7"/>
  <c r="AG31" i="7"/>
  <c r="AK10" i="7"/>
  <c r="AK17" i="7"/>
  <c r="Z3" i="7"/>
  <c r="AA24" i="7"/>
  <c r="D86" i="27" l="1"/>
  <c r="F86" i="27" s="1"/>
  <c r="G86" i="27"/>
  <c r="C87" i="27" s="1"/>
  <c r="F62" i="23"/>
  <c r="D63" i="23"/>
  <c r="F63" i="23" s="1"/>
  <c r="G63" i="23"/>
  <c r="BA52" i="7"/>
  <c r="AZ57" i="7"/>
  <c r="AA3" i="7"/>
  <c r="AL17" i="7"/>
  <c r="AW45" i="7"/>
  <c r="AV50" i="7"/>
  <c r="AZ66" i="7"/>
  <c r="AY71" i="7"/>
  <c r="AL10" i="7"/>
  <c r="AB24" i="7"/>
  <c r="AH31" i="7"/>
  <c r="AI38" i="7"/>
  <c r="D87" i="27" l="1"/>
  <c r="G87" i="27"/>
  <c r="I63" i="23"/>
  <c r="K63" i="23" s="1"/>
  <c r="C64" i="23"/>
  <c r="AI31" i="7"/>
  <c r="AX45" i="7"/>
  <c r="AW50" i="7"/>
  <c r="AC24" i="7"/>
  <c r="AM17" i="7"/>
  <c r="AB3" i="7"/>
  <c r="AM10" i="7"/>
  <c r="AJ38" i="7"/>
  <c r="BA66" i="7"/>
  <c r="AZ71" i="7"/>
  <c r="BB52" i="7"/>
  <c r="BA57" i="7"/>
  <c r="C88" i="27" l="1"/>
  <c r="D88" i="27" s="1"/>
  <c r="O32" i="3"/>
  <c r="F87" i="27"/>
  <c r="I87" i="27"/>
  <c r="K87" i="27" s="1"/>
  <c r="I11" i="18"/>
  <c r="G64" i="23"/>
  <c r="C65" i="23" s="1"/>
  <c r="D64" i="23"/>
  <c r="F64" i="23" s="1"/>
  <c r="BC52" i="7"/>
  <c r="BB57" i="7"/>
  <c r="AN17" i="7"/>
  <c r="AD24" i="7"/>
  <c r="AK38" i="7"/>
  <c r="AJ31" i="7"/>
  <c r="AN10" i="7"/>
  <c r="AX50" i="7"/>
  <c r="AY45" i="7"/>
  <c r="AC3" i="7"/>
  <c r="BB66" i="7"/>
  <c r="BA71" i="7"/>
  <c r="G88" i="27" l="1"/>
  <c r="C89" i="27" s="1"/>
  <c r="D89" i="27" s="1"/>
  <c r="F89" i="27" s="1"/>
  <c r="F88" i="27"/>
  <c r="I12" i="18"/>
  <c r="D65" i="23"/>
  <c r="F65" i="23" s="1"/>
  <c r="G65" i="23"/>
  <c r="C66" i="23" s="1"/>
  <c r="AL38" i="7"/>
  <c r="AE24" i="7"/>
  <c r="AD3" i="7"/>
  <c r="AO10" i="7"/>
  <c r="AO17" i="7"/>
  <c r="AY50" i="7"/>
  <c r="AZ45" i="7"/>
  <c r="BC66" i="7"/>
  <c r="BB71" i="7"/>
  <c r="AK31" i="7"/>
  <c r="BD52" i="7"/>
  <c r="BC57" i="7"/>
  <c r="G89" i="27" l="1"/>
  <c r="C90" i="27" s="1"/>
  <c r="G90" i="27" s="1"/>
  <c r="C91" i="27" s="1"/>
  <c r="D66" i="23"/>
  <c r="F66" i="23" s="1"/>
  <c r="G66" i="23"/>
  <c r="C67" i="23" s="1"/>
  <c r="AO15" i="7"/>
  <c r="AP10" i="7"/>
  <c r="BC71" i="7"/>
  <c r="BD66" i="7"/>
  <c r="AZ50" i="7"/>
  <c r="BA45" i="7"/>
  <c r="AF24" i="7"/>
  <c r="AL31" i="7"/>
  <c r="AE3" i="7"/>
  <c r="BD57" i="7"/>
  <c r="BE52" i="7"/>
  <c r="AO22" i="7"/>
  <c r="AP17" i="7"/>
  <c r="AM38" i="7"/>
  <c r="D90" i="27" l="1"/>
  <c r="F90" i="27" s="1"/>
  <c r="D91" i="27"/>
  <c r="F91" i="27" s="1"/>
  <c r="G91" i="27"/>
  <c r="C92" i="27" s="1"/>
  <c r="D67" i="23"/>
  <c r="F67" i="23" s="1"/>
  <c r="G67" i="23"/>
  <c r="C68" i="23" s="1"/>
  <c r="AG24" i="7"/>
  <c r="BD71" i="7"/>
  <c r="BE66" i="7"/>
  <c r="AQ17" i="7"/>
  <c r="AP22" i="7"/>
  <c r="BA50" i="7"/>
  <c r="BB45" i="7"/>
  <c r="AF3" i="7"/>
  <c r="BE57" i="7"/>
  <c r="BF52" i="7"/>
  <c r="AM31" i="7"/>
  <c r="AQ10" i="7"/>
  <c r="AP15" i="7"/>
  <c r="AN38" i="7"/>
  <c r="D92" i="27" l="1"/>
  <c r="G92" i="27"/>
  <c r="C93" i="27" s="1"/>
  <c r="G68" i="23"/>
  <c r="C69" i="23" s="1"/>
  <c r="D68" i="23"/>
  <c r="AN31" i="7"/>
  <c r="AQ22" i="7"/>
  <c r="AR17" i="7"/>
  <c r="AR10" i="7"/>
  <c r="AQ15" i="7"/>
  <c r="BE71" i="7"/>
  <c r="BF66" i="7"/>
  <c r="BF57" i="7"/>
  <c r="BG52" i="7"/>
  <c r="AG3" i="7"/>
  <c r="BC45" i="7"/>
  <c r="BB50" i="7"/>
  <c r="AO38" i="7"/>
  <c r="AH24" i="7"/>
  <c r="G93" i="27" l="1"/>
  <c r="C94" i="27" s="1"/>
  <c r="D93" i="27"/>
  <c r="F93" i="27" s="1"/>
  <c r="F92" i="27"/>
  <c r="F68" i="23"/>
  <c r="G69" i="23"/>
  <c r="C70" i="23" s="1"/>
  <c r="D69" i="23"/>
  <c r="F69" i="23" s="1"/>
  <c r="AP38" i="7"/>
  <c r="AO43" i="7"/>
  <c r="BF71" i="7"/>
  <c r="BG66" i="7"/>
  <c r="BD45" i="7"/>
  <c r="BC50" i="7"/>
  <c r="BH52" i="7"/>
  <c r="BG57" i="7"/>
  <c r="AO31" i="7"/>
  <c r="AR15" i="7"/>
  <c r="AS10" i="7"/>
  <c r="AH3" i="7"/>
  <c r="AR22" i="7"/>
  <c r="AS17" i="7"/>
  <c r="AI24" i="7"/>
  <c r="G94" i="27" l="1"/>
  <c r="C95" i="27" s="1"/>
  <c r="D94" i="27"/>
  <c r="G70" i="23"/>
  <c r="C71" i="23" s="1"/>
  <c r="D70" i="23"/>
  <c r="F70" i="23" s="1"/>
  <c r="BE45" i="7"/>
  <c r="BD50" i="7"/>
  <c r="BI52" i="7"/>
  <c r="BH57" i="7"/>
  <c r="BH66" i="7"/>
  <c r="BG71" i="7"/>
  <c r="AI3" i="7"/>
  <c r="AT17" i="7"/>
  <c r="AS22" i="7"/>
  <c r="AT10" i="7"/>
  <c r="AT15" i="7" s="1"/>
  <c r="AS15" i="7"/>
  <c r="AJ24" i="7"/>
  <c r="AO36" i="7"/>
  <c r="AP31" i="7"/>
  <c r="AQ38" i="7"/>
  <c r="AP43" i="7"/>
  <c r="F94" i="27" l="1"/>
  <c r="D95" i="27"/>
  <c r="F95" i="27" s="1"/>
  <c r="G95" i="27"/>
  <c r="C96" i="27" s="1"/>
  <c r="D71" i="23"/>
  <c r="F71" i="23" s="1"/>
  <c r="G71" i="23"/>
  <c r="C72" i="23" s="1"/>
  <c r="AJ3" i="7"/>
  <c r="BI66" i="7"/>
  <c r="BH71" i="7"/>
  <c r="AP36" i="7"/>
  <c r="AQ31" i="7"/>
  <c r="AK24" i="7"/>
  <c r="BJ52" i="7"/>
  <c r="BI57" i="7"/>
  <c r="AQ43" i="7"/>
  <c r="AR38" i="7"/>
  <c r="AU17" i="7"/>
  <c r="AT22" i="7"/>
  <c r="BF45" i="7"/>
  <c r="BE50" i="7"/>
  <c r="D96" i="27" l="1"/>
  <c r="F96" i="27" s="1"/>
  <c r="G96" i="27"/>
  <c r="C97" i="27" s="1"/>
  <c r="D72" i="23"/>
  <c r="G72" i="23"/>
  <c r="C73" i="23" s="1"/>
  <c r="AL24" i="7"/>
  <c r="BF50" i="7"/>
  <c r="BG45" i="7"/>
  <c r="AV17" i="7"/>
  <c r="AU22" i="7"/>
  <c r="AR31" i="7"/>
  <c r="AQ36" i="7"/>
  <c r="AR43" i="7"/>
  <c r="AS38" i="7"/>
  <c r="BJ66" i="7"/>
  <c r="BI71" i="7"/>
  <c r="BK52" i="7"/>
  <c r="BJ57" i="7"/>
  <c r="AK3" i="7"/>
  <c r="G97" i="27" l="1"/>
  <c r="C98" i="27" s="1"/>
  <c r="D97" i="27"/>
  <c r="F97" i="27" s="1"/>
  <c r="D73" i="23"/>
  <c r="F73" i="23" s="1"/>
  <c r="G73" i="23"/>
  <c r="C74" i="23" s="1"/>
  <c r="F72" i="23"/>
  <c r="AS31" i="7"/>
  <c r="AR36" i="7"/>
  <c r="AV22" i="7"/>
  <c r="AW17" i="7"/>
  <c r="AL3" i="7"/>
  <c r="BL52" i="7"/>
  <c r="BK57" i="7"/>
  <c r="BG50" i="7"/>
  <c r="BH45" i="7"/>
  <c r="BK66" i="7"/>
  <c r="BJ71" i="7"/>
  <c r="AS43" i="7"/>
  <c r="AT38" i="7"/>
  <c r="AM24" i="7"/>
  <c r="G98" i="27" l="1"/>
  <c r="C99" i="27" s="1"/>
  <c r="D98" i="27"/>
  <c r="F98" i="27" s="1"/>
  <c r="G74" i="23"/>
  <c r="C75" i="23" s="1"/>
  <c r="D74" i="23"/>
  <c r="BL57" i="7"/>
  <c r="BM52" i="7"/>
  <c r="AT43" i="7"/>
  <c r="AU38" i="7"/>
  <c r="AM3" i="7"/>
  <c r="BH50" i="7"/>
  <c r="BI45" i="7"/>
  <c r="AN24" i="7"/>
  <c r="AW22" i="7"/>
  <c r="AX17" i="7"/>
  <c r="BK71" i="7"/>
  <c r="BL66" i="7"/>
  <c r="AS36" i="7"/>
  <c r="AT31" i="7"/>
  <c r="D99" i="27" l="1"/>
  <c r="G99" i="27"/>
  <c r="F74" i="23"/>
  <c r="D75" i="23"/>
  <c r="F75" i="23" s="1"/>
  <c r="G75" i="23"/>
  <c r="BI50" i="7"/>
  <c r="BJ45" i="7"/>
  <c r="AN3" i="7"/>
  <c r="AT36" i="7"/>
  <c r="AU31" i="7"/>
  <c r="BM57" i="7"/>
  <c r="BN52" i="7"/>
  <c r="BL71" i="7"/>
  <c r="BM66" i="7"/>
  <c r="AY17" i="7"/>
  <c r="AX22" i="7"/>
  <c r="AV38" i="7"/>
  <c r="AU43" i="7"/>
  <c r="AO24" i="7"/>
  <c r="C100" i="27" l="1"/>
  <c r="D100" i="27" s="1"/>
  <c r="F99" i="27"/>
  <c r="I99" i="27"/>
  <c r="K99" i="27" s="1"/>
  <c r="I75" i="23"/>
  <c r="C76" i="23"/>
  <c r="AP24" i="7"/>
  <c r="AO29" i="7"/>
  <c r="AU36" i="7"/>
  <c r="AV31" i="7"/>
  <c r="AW38" i="7"/>
  <c r="AV43" i="7"/>
  <c r="AO3" i="7"/>
  <c r="BK45" i="7"/>
  <c r="BJ50" i="7"/>
  <c r="BN57" i="7"/>
  <c r="BO52" i="7"/>
  <c r="AY22" i="7"/>
  <c r="AZ17" i="7"/>
  <c r="BM71" i="7"/>
  <c r="BN66" i="7"/>
  <c r="G100" i="27" l="1"/>
  <c r="C101" i="27" s="1"/>
  <c r="D101" i="27" s="1"/>
  <c r="F101" i="27" s="1"/>
  <c r="F100" i="27"/>
  <c r="D76" i="23"/>
  <c r="F76" i="23" s="1"/>
  <c r="G76" i="23"/>
  <c r="C77" i="23" s="1"/>
  <c r="K75" i="23"/>
  <c r="J11" i="18"/>
  <c r="BN71" i="7"/>
  <c r="BO66" i="7"/>
  <c r="AX38" i="7"/>
  <c r="AW43" i="7"/>
  <c r="BL45" i="7"/>
  <c r="BK50" i="7"/>
  <c r="AP3" i="7"/>
  <c r="AO8" i="7"/>
  <c r="AZ22" i="7"/>
  <c r="BA17" i="7"/>
  <c r="AV36" i="7"/>
  <c r="AW31" i="7"/>
  <c r="AP29" i="7"/>
  <c r="AQ24" i="7"/>
  <c r="BP52" i="7"/>
  <c r="BO57" i="7"/>
  <c r="G101" i="27" l="1"/>
  <c r="C102" i="27" s="1"/>
  <c r="D102" i="27" s="1"/>
  <c r="J12" i="18"/>
  <c r="D77" i="23"/>
  <c r="F77" i="23" s="1"/>
  <c r="G77" i="23"/>
  <c r="C78" i="23" s="1"/>
  <c r="AP8" i="7"/>
  <c r="AQ3" i="7"/>
  <c r="AY38" i="7"/>
  <c r="AX43" i="7"/>
  <c r="BQ52" i="7"/>
  <c r="BP57" i="7"/>
  <c r="AQ29" i="7"/>
  <c r="AR24" i="7"/>
  <c r="AW36" i="7"/>
  <c r="AX31" i="7"/>
  <c r="BB17" i="7"/>
  <c r="BA22" i="7"/>
  <c r="BP66" i="7"/>
  <c r="BO71" i="7"/>
  <c r="BM45" i="7"/>
  <c r="BL50" i="7"/>
  <c r="G102" i="27" l="1"/>
  <c r="C103" i="27" s="1"/>
  <c r="G103" i="27" s="1"/>
  <c r="C104" i="27" s="1"/>
  <c r="F102" i="27"/>
  <c r="D78" i="23"/>
  <c r="F78" i="23" s="1"/>
  <c r="G78" i="23"/>
  <c r="C79" i="23" s="1"/>
  <c r="AY43" i="7"/>
  <c r="AZ38" i="7"/>
  <c r="BN45" i="7"/>
  <c r="BM50" i="7"/>
  <c r="BR52" i="7"/>
  <c r="BR57" i="7" s="1"/>
  <c r="BQ57" i="7"/>
  <c r="BC17" i="7"/>
  <c r="BB22" i="7"/>
  <c r="AX36" i="7"/>
  <c r="AY31" i="7"/>
  <c r="AQ8" i="7"/>
  <c r="AR3" i="7"/>
  <c r="AR29" i="7"/>
  <c r="AS24" i="7"/>
  <c r="BQ66" i="7"/>
  <c r="BP71" i="7"/>
  <c r="D103" i="27" l="1"/>
  <c r="F103" i="27" s="1"/>
  <c r="D104" i="27"/>
  <c r="F104" i="27" s="1"/>
  <c r="G104" i="27"/>
  <c r="C105" i="27" s="1"/>
  <c r="D79" i="23"/>
  <c r="G79" i="23"/>
  <c r="C80" i="23" s="1"/>
  <c r="BD17" i="7"/>
  <c r="BC22" i="7"/>
  <c r="BN50" i="7"/>
  <c r="BO45" i="7"/>
  <c r="AZ31" i="7"/>
  <c r="AY36" i="7"/>
  <c r="AZ43" i="7"/>
  <c r="BA38" i="7"/>
  <c r="BR66" i="7"/>
  <c r="BQ71" i="7"/>
  <c r="AS29" i="7"/>
  <c r="AT24" i="7"/>
  <c r="AR8" i="7"/>
  <c r="AS3" i="7"/>
  <c r="G105" i="27" l="1"/>
  <c r="C106" i="27" s="1"/>
  <c r="D105" i="27"/>
  <c r="F105" i="27" s="1"/>
  <c r="G80" i="23"/>
  <c r="C81" i="23" s="1"/>
  <c r="D80" i="23"/>
  <c r="F80" i="23" s="1"/>
  <c r="F79" i="23"/>
  <c r="AT29" i="7"/>
  <c r="AU24" i="7"/>
  <c r="BA43" i="7"/>
  <c r="BB38" i="7"/>
  <c r="BA31" i="7"/>
  <c r="AZ36" i="7"/>
  <c r="BO50" i="7"/>
  <c r="BP45" i="7"/>
  <c r="AS8" i="7"/>
  <c r="AT3" i="7"/>
  <c r="BS66" i="7"/>
  <c r="BR71" i="7"/>
  <c r="BD22" i="7"/>
  <c r="BE17" i="7"/>
  <c r="D106" i="27" l="1"/>
  <c r="F106" i="27" s="1"/>
  <c r="G106" i="27"/>
  <c r="C107" i="27" s="1"/>
  <c r="G81" i="23"/>
  <c r="C82" i="23" s="1"/>
  <c r="D81" i="23"/>
  <c r="F81" i="23" s="1"/>
  <c r="BP50" i="7"/>
  <c r="BQ45" i="7"/>
  <c r="BQ50" i="7" s="1"/>
  <c r="BS71" i="7"/>
  <c r="BT66" i="7"/>
  <c r="AT8" i="7"/>
  <c r="AU3" i="7"/>
  <c r="AU29" i="7"/>
  <c r="AV24" i="7"/>
  <c r="BE22" i="7"/>
  <c r="BF17" i="7"/>
  <c r="BA36" i="7"/>
  <c r="BB31" i="7"/>
  <c r="BB43" i="7"/>
  <c r="BC38" i="7"/>
  <c r="G107" i="27" l="1"/>
  <c r="C108" i="27" s="1"/>
  <c r="D107" i="27"/>
  <c r="F107" i="27" s="1"/>
  <c r="D82" i="23"/>
  <c r="G82" i="23"/>
  <c r="C83" i="23" s="1"/>
  <c r="BC43" i="7"/>
  <c r="BD38" i="7"/>
  <c r="AV29" i="7"/>
  <c r="AW24" i="7"/>
  <c r="AU8" i="7"/>
  <c r="AV3" i="7"/>
  <c r="BB36" i="7"/>
  <c r="BC31" i="7"/>
  <c r="BT71" i="7"/>
  <c r="BU66" i="7"/>
  <c r="BG17" i="7"/>
  <c r="BF22" i="7"/>
  <c r="D108" i="27" l="1"/>
  <c r="F108" i="27" s="1"/>
  <c r="G108" i="27"/>
  <c r="C109" i="27" s="1"/>
  <c r="G83" i="23"/>
  <c r="C84" i="23" s="1"/>
  <c r="D83" i="23"/>
  <c r="F83" i="23" s="1"/>
  <c r="F82" i="23"/>
  <c r="BE38" i="7"/>
  <c r="BD43" i="7"/>
  <c r="BC36" i="7"/>
  <c r="BD31" i="7"/>
  <c r="AV8" i="7"/>
  <c r="AW3" i="7"/>
  <c r="AW8" i="7" s="1"/>
  <c r="AW29" i="7"/>
  <c r="AX24" i="7"/>
  <c r="BH17" i="7"/>
  <c r="BG22" i="7"/>
  <c r="BU71" i="7"/>
  <c r="BV66" i="7"/>
  <c r="G109" i="27" l="1"/>
  <c r="C110" i="27" s="1"/>
  <c r="D109" i="27"/>
  <c r="F109" i="27" s="1"/>
  <c r="G84" i="23"/>
  <c r="C85" i="23" s="1"/>
  <c r="D84" i="23"/>
  <c r="AX29" i="7"/>
  <c r="AY24" i="7"/>
  <c r="BV71" i="7"/>
  <c r="BW66" i="7"/>
  <c r="BW71" i="7" s="1"/>
  <c r="BD36" i="7"/>
  <c r="BE31" i="7"/>
  <c r="BH22" i="7"/>
  <c r="BI17" i="7"/>
  <c r="BF38" i="7"/>
  <c r="BE43" i="7"/>
  <c r="D110" i="27" l="1"/>
  <c r="F110" i="27" s="1"/>
  <c r="G110" i="27"/>
  <c r="C111" i="27" s="1"/>
  <c r="G85" i="23"/>
  <c r="C86" i="23" s="1"/>
  <c r="D85" i="23"/>
  <c r="F85" i="23" s="1"/>
  <c r="F84" i="23"/>
  <c r="AY29" i="7"/>
  <c r="AZ24" i="7"/>
  <c r="BJ17" i="7"/>
  <c r="BI22" i="7"/>
  <c r="BE36" i="7"/>
  <c r="BF31" i="7"/>
  <c r="BG38" i="7"/>
  <c r="BF43" i="7"/>
  <c r="G111" i="27" l="1"/>
  <c r="D111" i="27"/>
  <c r="G86" i="23"/>
  <c r="C87" i="23" s="1"/>
  <c r="D86" i="23"/>
  <c r="F86" i="23" s="1"/>
  <c r="BG43" i="7"/>
  <c r="BH38" i="7"/>
  <c r="BF36" i="7"/>
  <c r="BG31" i="7"/>
  <c r="BK17" i="7"/>
  <c r="BJ22" i="7"/>
  <c r="AZ29" i="7"/>
  <c r="BA24" i="7"/>
  <c r="C112" i="27" l="1"/>
  <c r="D112" i="27" s="1"/>
  <c r="F111" i="27"/>
  <c r="I111" i="27"/>
  <c r="K111" i="27" s="1"/>
  <c r="G87" i="23"/>
  <c r="D87" i="23"/>
  <c r="BH43" i="7"/>
  <c r="BI38" i="7"/>
  <c r="BA29" i="7"/>
  <c r="BB24" i="7"/>
  <c r="BL17" i="7"/>
  <c r="BK22" i="7"/>
  <c r="BH31" i="7"/>
  <c r="BG36" i="7"/>
  <c r="G112" i="27" l="1"/>
  <c r="C113" i="27" s="1"/>
  <c r="G113" i="27" s="1"/>
  <c r="C114" i="27" s="1"/>
  <c r="F112" i="27"/>
  <c r="F87" i="23"/>
  <c r="I87" i="23"/>
  <c r="C88" i="23"/>
  <c r="BI43" i="7"/>
  <c r="BJ38" i="7"/>
  <c r="BH36" i="7"/>
  <c r="BI31" i="7"/>
  <c r="BL22" i="7"/>
  <c r="BM17" i="7"/>
  <c r="BB29" i="7"/>
  <c r="BC24" i="7"/>
  <c r="D113" i="27" l="1"/>
  <c r="F113" i="27" s="1"/>
  <c r="G114" i="27"/>
  <c r="C115" i="27" s="1"/>
  <c r="D114" i="27"/>
  <c r="F114" i="27" s="1"/>
  <c r="K87" i="23"/>
  <c r="K11" i="18"/>
  <c r="G88" i="23"/>
  <c r="C89" i="23" s="1"/>
  <c r="D88" i="23"/>
  <c r="F88" i="23" s="1"/>
  <c r="BJ43" i="7"/>
  <c r="BK38" i="7"/>
  <c r="BC29" i="7"/>
  <c r="BD24" i="7"/>
  <c r="BM22" i="7"/>
  <c r="BN17" i="7"/>
  <c r="BI36" i="7"/>
  <c r="BJ31" i="7"/>
  <c r="D115" i="27" l="1"/>
  <c r="G115" i="27"/>
  <c r="C116" i="27" s="1"/>
  <c r="K12" i="18"/>
  <c r="G89" i="23"/>
  <c r="C90" i="23" s="1"/>
  <c r="D89" i="23"/>
  <c r="F89" i="23" s="1"/>
  <c r="BK43" i="7"/>
  <c r="BL38" i="7"/>
  <c r="BJ36" i="7"/>
  <c r="BK31" i="7"/>
  <c r="BO17" i="7"/>
  <c r="BN22" i="7"/>
  <c r="BD29" i="7"/>
  <c r="BE24" i="7"/>
  <c r="G116" i="27" l="1"/>
  <c r="C117" i="27" s="1"/>
  <c r="D116" i="27"/>
  <c r="F116" i="27" s="1"/>
  <c r="F115" i="27"/>
  <c r="D90" i="23"/>
  <c r="G90" i="23"/>
  <c r="C91" i="23" s="1"/>
  <c r="BK36" i="7"/>
  <c r="BL31" i="7"/>
  <c r="BF24" i="7"/>
  <c r="BE29" i="7"/>
  <c r="BO22" i="7"/>
  <c r="BP17" i="7"/>
  <c r="BL43" i="7"/>
  <c r="BM38" i="7"/>
  <c r="D117" i="27" l="1"/>
  <c r="F117" i="27" s="1"/>
  <c r="G117" i="27"/>
  <c r="C118" i="27" s="1"/>
  <c r="G91" i="23"/>
  <c r="C92" i="23" s="1"/>
  <c r="D91" i="23"/>
  <c r="F91" i="23" s="1"/>
  <c r="F90" i="23"/>
  <c r="BQ17" i="7"/>
  <c r="BP22" i="7"/>
  <c r="BM43" i="7"/>
  <c r="BN38" i="7"/>
  <c r="BF29" i="7"/>
  <c r="BG24" i="7"/>
  <c r="BL36" i="7"/>
  <c r="BM31" i="7"/>
  <c r="G118" i="27" l="1"/>
  <c r="C119" i="27" s="1"/>
  <c r="D118" i="27"/>
  <c r="F118" i="27" s="1"/>
  <c r="G92" i="23"/>
  <c r="C93" i="23" s="1"/>
  <c r="D92" i="23"/>
  <c r="F92" i="23" s="1"/>
  <c r="BN43" i="7"/>
  <c r="BO38" i="7"/>
  <c r="BM36" i="7"/>
  <c r="BN31" i="7"/>
  <c r="BG29" i="7"/>
  <c r="BH24" i="7"/>
  <c r="BR17" i="7"/>
  <c r="BQ22" i="7"/>
  <c r="D119" i="27" l="1"/>
  <c r="F119" i="27" s="1"/>
  <c r="G119" i="27"/>
  <c r="C120" i="27" s="1"/>
  <c r="G93" i="23"/>
  <c r="C94" i="23" s="1"/>
  <c r="D93" i="23"/>
  <c r="BH29" i="7"/>
  <c r="BI24" i="7"/>
  <c r="BS17" i="7"/>
  <c r="BS22" i="7" s="1"/>
  <c r="BR22" i="7"/>
  <c r="BN36" i="7"/>
  <c r="BO31" i="7"/>
  <c r="BO43" i="7"/>
  <c r="BP38" i="7"/>
  <c r="G120" i="27" l="1"/>
  <c r="C121" i="27" s="1"/>
  <c r="D120" i="27"/>
  <c r="F120" i="27" s="1"/>
  <c r="F93" i="23"/>
  <c r="G94" i="23"/>
  <c r="C95" i="23" s="1"/>
  <c r="D94" i="23"/>
  <c r="F94" i="23" s="1"/>
  <c r="BI29" i="7"/>
  <c r="BJ24" i="7"/>
  <c r="BP43" i="7"/>
  <c r="BQ38" i="7"/>
  <c r="BQ43" i="7" s="1"/>
  <c r="BP31" i="7"/>
  <c r="BO36" i="7"/>
  <c r="D121" i="27" l="1"/>
  <c r="F121" i="27" s="1"/>
  <c r="G121" i="27"/>
  <c r="C122" i="27" s="1"/>
  <c r="D95" i="23"/>
  <c r="G95" i="23"/>
  <c r="C96" i="23" s="1"/>
  <c r="BP36" i="7"/>
  <c r="BQ31" i="7"/>
  <c r="BJ29" i="7"/>
  <c r="BK24" i="7"/>
  <c r="G122" i="27" l="1"/>
  <c r="C123" i="27" s="1"/>
  <c r="D122" i="27"/>
  <c r="F122" i="27" s="1"/>
  <c r="G96" i="23"/>
  <c r="C97" i="23" s="1"/>
  <c r="D96" i="23"/>
  <c r="F96" i="23" s="1"/>
  <c r="F95" i="23"/>
  <c r="BK29" i="7"/>
  <c r="BL24" i="7"/>
  <c r="BQ36" i="7"/>
  <c r="BR31" i="7"/>
  <c r="D123" i="27" l="1"/>
  <c r="G123" i="27"/>
  <c r="G97" i="23"/>
  <c r="C98" i="23" s="1"/>
  <c r="D97" i="23"/>
  <c r="F97" i="23" s="1"/>
  <c r="BR36" i="7"/>
  <c r="BS31" i="7"/>
  <c r="BS36" i="7" s="1"/>
  <c r="BL29" i="7"/>
  <c r="BM24" i="7"/>
  <c r="C124" i="27" l="1"/>
  <c r="G124" i="27" s="1"/>
  <c r="C125" i="27" s="1"/>
  <c r="F123" i="27"/>
  <c r="I123" i="27"/>
  <c r="K123" i="27" s="1"/>
  <c r="G98" i="23"/>
  <c r="C99" i="23" s="1"/>
  <c r="D98" i="23"/>
  <c r="F98" i="23" s="1"/>
  <c r="BN24" i="7"/>
  <c r="BM29" i="7"/>
  <c r="D124" i="27" l="1"/>
  <c r="F124" i="27" s="1"/>
  <c r="G125" i="27"/>
  <c r="C126" i="27" s="1"/>
  <c r="D125" i="27"/>
  <c r="F125" i="27" s="1"/>
  <c r="D99" i="23"/>
  <c r="G99" i="23"/>
  <c r="BO24" i="7"/>
  <c r="BN29" i="7"/>
  <c r="D126" i="27" l="1"/>
  <c r="G126" i="27"/>
  <c r="C127" i="27" s="1"/>
  <c r="C100" i="23"/>
  <c r="F99" i="23"/>
  <c r="I99" i="23"/>
  <c r="BP24" i="7"/>
  <c r="BO29" i="7"/>
  <c r="G127" i="27" l="1"/>
  <c r="C128" i="27" s="1"/>
  <c r="D127" i="27"/>
  <c r="F127" i="27" s="1"/>
  <c r="F126" i="27"/>
  <c r="K99" i="23"/>
  <c r="L11" i="18"/>
  <c r="L15" i="18" s="1"/>
  <c r="D100" i="23"/>
  <c r="F100" i="23" s="1"/>
  <c r="G100" i="23"/>
  <c r="C101" i="23" s="1"/>
  <c r="BP29" i="7"/>
  <c r="BQ24" i="7"/>
  <c r="D128" i="27" l="1"/>
  <c r="G128" i="27"/>
  <c r="C129" i="27" s="1"/>
  <c r="L26" i="18"/>
  <c r="L27" i="18" s="1"/>
  <c r="L28" i="18" s="1"/>
  <c r="L29" i="18" s="1"/>
  <c r="L12" i="18"/>
  <c r="G101" i="23"/>
  <c r="C102" i="23" s="1"/>
  <c r="D101" i="23"/>
  <c r="BQ29" i="7"/>
  <c r="BR24" i="7"/>
  <c r="BR29" i="7" s="1"/>
  <c r="G129" i="27" l="1"/>
  <c r="C130" i="27" s="1"/>
  <c r="D129" i="27"/>
  <c r="F129" i="27" s="1"/>
  <c r="F128" i="27"/>
  <c r="G102" i="23"/>
  <c r="C103" i="23" s="1"/>
  <c r="D102" i="23"/>
  <c r="F102" i="23" s="1"/>
  <c r="F101" i="23"/>
  <c r="AC45" i="6"/>
  <c r="AA45" i="6"/>
  <c r="Z45" i="6"/>
  <c r="X45" i="6"/>
  <c r="W45" i="6"/>
  <c r="V45" i="6"/>
  <c r="U45" i="6"/>
  <c r="R45" i="6"/>
  <c r="P45" i="6"/>
  <c r="N45" i="6"/>
  <c r="M45" i="6"/>
  <c r="L45" i="6"/>
  <c r="K45" i="6"/>
  <c r="I45" i="6"/>
  <c r="H45" i="6"/>
  <c r="G45" i="6"/>
  <c r="F45" i="6"/>
  <c r="E45" i="6"/>
  <c r="F38" i="6"/>
  <c r="G38" i="6" s="1"/>
  <c r="H38" i="6" s="1"/>
  <c r="E38" i="6"/>
  <c r="AV37" i="6"/>
  <c r="AR37" i="6"/>
  <c r="AL37" i="6"/>
  <c r="AI37" i="6"/>
  <c r="AB37" i="6"/>
  <c r="Y37" i="6"/>
  <c r="AD37" i="6" s="1"/>
  <c r="T37" i="6"/>
  <c r="O37" i="6"/>
  <c r="J37" i="6"/>
  <c r="Q37" i="6" s="1"/>
  <c r="G37" i="6"/>
  <c r="C37" i="6"/>
  <c r="E33" i="6"/>
  <c r="F33" i="6" s="1"/>
  <c r="G33" i="6" s="1"/>
  <c r="H33" i="6" s="1"/>
  <c r="AL32" i="6"/>
  <c r="AI32" i="6"/>
  <c r="AB32" i="6"/>
  <c r="Y32" i="6"/>
  <c r="Y45" i="6" s="1"/>
  <c r="T32" i="6"/>
  <c r="T45" i="6" s="1"/>
  <c r="S32" i="6"/>
  <c r="S45" i="6" s="1"/>
  <c r="O32" i="6"/>
  <c r="O45" i="6" s="1"/>
  <c r="J32" i="6"/>
  <c r="J45" i="6" s="1"/>
  <c r="G32" i="6"/>
  <c r="Q32" i="6" s="1"/>
  <c r="F24" i="6"/>
  <c r="G24" i="6" s="1"/>
  <c r="H24" i="6" s="1"/>
  <c r="I24" i="6" s="1"/>
  <c r="J24" i="6" s="1"/>
  <c r="K24" i="6" s="1"/>
  <c r="L24" i="6" s="1"/>
  <c r="M24" i="6" s="1"/>
  <c r="N24" i="6" s="1"/>
  <c r="O24" i="6" s="1"/>
  <c r="P24" i="6" s="1"/>
  <c r="Q24" i="6" s="1"/>
  <c r="R24" i="6" s="1"/>
  <c r="S24" i="6" s="1"/>
  <c r="T24" i="6" s="1"/>
  <c r="U24" i="6" s="1"/>
  <c r="V24" i="6" s="1"/>
  <c r="W24" i="6" s="1"/>
  <c r="X24" i="6" s="1"/>
  <c r="Y24" i="6" s="1"/>
  <c r="Z24" i="6" s="1"/>
  <c r="AA24" i="6" s="1"/>
  <c r="AB24" i="6" s="1"/>
  <c r="AC24" i="6" s="1"/>
  <c r="AD24" i="6" s="1"/>
  <c r="AE24" i="6" s="1"/>
  <c r="AF24" i="6" s="1"/>
  <c r="AG24" i="6" s="1"/>
  <c r="AH24" i="6" s="1"/>
  <c r="AI24" i="6" s="1"/>
  <c r="AJ24" i="6" s="1"/>
  <c r="AK24" i="6" s="1"/>
  <c r="AL24" i="6" s="1"/>
  <c r="AM24" i="6" s="1"/>
  <c r="AN24" i="6" s="1"/>
  <c r="AO24" i="6" s="1"/>
  <c r="AP24" i="6" s="1"/>
  <c r="AQ24" i="6" s="1"/>
  <c r="AR24" i="6" s="1"/>
  <c r="AS24" i="6" s="1"/>
  <c r="AT24" i="6" s="1"/>
  <c r="AU24" i="6" s="1"/>
  <c r="AV24" i="6" s="1"/>
  <c r="AW24" i="6" s="1"/>
  <c r="AX24" i="6" s="1"/>
  <c r="AY24" i="6" s="1"/>
  <c r="AZ24" i="6" s="1"/>
  <c r="BA24" i="6" s="1"/>
  <c r="BB24" i="6" s="1"/>
  <c r="BC24" i="6" s="1"/>
  <c r="BD24" i="6" s="1"/>
  <c r="BE24" i="6" s="1"/>
  <c r="BF24" i="6" s="1"/>
  <c r="BG24" i="6" s="1"/>
  <c r="BH24" i="6" s="1"/>
  <c r="BI24" i="6" s="1"/>
  <c r="BJ24" i="6" s="1"/>
  <c r="BK24" i="6" s="1"/>
  <c r="BL24" i="6" s="1"/>
  <c r="BM24" i="6" s="1"/>
  <c r="BN24" i="6" s="1"/>
  <c r="BO24" i="6" s="1"/>
  <c r="BP24" i="6" s="1"/>
  <c r="BQ24" i="6" s="1"/>
  <c r="BR24" i="6" s="1"/>
  <c r="BS24" i="6" s="1"/>
  <c r="BT24" i="6" s="1"/>
  <c r="BU24" i="6" s="1"/>
  <c r="BV24" i="6" s="1"/>
  <c r="BW24" i="6" s="1"/>
  <c r="BX24" i="6" s="1"/>
  <c r="BY24" i="6" s="1"/>
  <c r="BZ24" i="6" s="1"/>
  <c r="CA24" i="6" s="1"/>
  <c r="CB24" i="6" s="1"/>
  <c r="CC24" i="6" s="1"/>
  <c r="E24" i="6"/>
  <c r="AD23" i="6"/>
  <c r="E22" i="6"/>
  <c r="AD21" i="6"/>
  <c r="AD27" i="6" s="1"/>
  <c r="Q21" i="6"/>
  <c r="E15" i="6"/>
  <c r="F15" i="6" s="1"/>
  <c r="G15" i="6" s="1"/>
  <c r="H15" i="6" s="1"/>
  <c r="I15" i="6" s="1"/>
  <c r="J15" i="6" s="1"/>
  <c r="K15" i="6" s="1"/>
  <c r="L15" i="6" s="1"/>
  <c r="M15" i="6" s="1"/>
  <c r="N15" i="6" s="1"/>
  <c r="O15" i="6" s="1"/>
  <c r="P15" i="6" s="1"/>
  <c r="Q15" i="6" s="1"/>
  <c r="R15" i="6" s="1"/>
  <c r="S15" i="6" s="1"/>
  <c r="T15" i="6" s="1"/>
  <c r="U15" i="6" s="1"/>
  <c r="V15" i="6" s="1"/>
  <c r="W15" i="6" s="1"/>
  <c r="X15" i="6" s="1"/>
  <c r="Y15" i="6" s="1"/>
  <c r="Z15" i="6" s="1"/>
  <c r="AA15" i="6" s="1"/>
  <c r="AB15" i="6" s="1"/>
  <c r="AC15" i="6" s="1"/>
  <c r="AD15" i="6" s="1"/>
  <c r="AE15" i="6" s="1"/>
  <c r="AF15" i="6" s="1"/>
  <c r="AG15" i="6" s="1"/>
  <c r="AH15" i="6" s="1"/>
  <c r="AI15" i="6" s="1"/>
  <c r="AJ15" i="6" s="1"/>
  <c r="AK15" i="6" s="1"/>
  <c r="AL15" i="6" s="1"/>
  <c r="AM15" i="6" s="1"/>
  <c r="AN15" i="6" s="1"/>
  <c r="AO15" i="6" s="1"/>
  <c r="AP15" i="6" s="1"/>
  <c r="AQ15" i="6" s="1"/>
  <c r="AR15" i="6" s="1"/>
  <c r="AS15" i="6" s="1"/>
  <c r="AT15" i="6" s="1"/>
  <c r="AU15" i="6" s="1"/>
  <c r="AV15" i="6" s="1"/>
  <c r="AW15" i="6" s="1"/>
  <c r="AX15" i="6" s="1"/>
  <c r="AY15" i="6" s="1"/>
  <c r="AZ15" i="6" s="1"/>
  <c r="BA15" i="6" s="1"/>
  <c r="BB15" i="6" s="1"/>
  <c r="BC15" i="6" s="1"/>
  <c r="BD15" i="6" s="1"/>
  <c r="BE15" i="6" s="1"/>
  <c r="BF15" i="6" s="1"/>
  <c r="BG15" i="6" s="1"/>
  <c r="BH15" i="6" s="1"/>
  <c r="BI15" i="6" s="1"/>
  <c r="BJ15" i="6" s="1"/>
  <c r="BK15" i="6" s="1"/>
  <c r="BL15" i="6" s="1"/>
  <c r="BM15" i="6" s="1"/>
  <c r="BN15" i="6" s="1"/>
  <c r="BO15" i="6" s="1"/>
  <c r="BP15" i="6" s="1"/>
  <c r="BQ15" i="6" s="1"/>
  <c r="BR15" i="6" s="1"/>
  <c r="BS15" i="6" s="1"/>
  <c r="BT15" i="6" s="1"/>
  <c r="BU15" i="6" s="1"/>
  <c r="BV15" i="6" s="1"/>
  <c r="BW15" i="6" s="1"/>
  <c r="BX15" i="6" s="1"/>
  <c r="BY15" i="6" s="1"/>
  <c r="BZ15" i="6" s="1"/>
  <c r="CA15" i="6" s="1"/>
  <c r="CB15" i="6" s="1"/>
  <c r="CC15" i="6" s="1"/>
  <c r="CD15" i="6" s="1"/>
  <c r="CE15" i="6" s="1"/>
  <c r="CF15" i="6" s="1"/>
  <c r="CG15" i="6" s="1"/>
  <c r="CH15" i="6" s="1"/>
  <c r="CI15" i="6" s="1"/>
  <c r="CJ15" i="6" s="1"/>
  <c r="CK15" i="6" s="1"/>
  <c r="CL15" i="6" s="1"/>
  <c r="CM15" i="6" s="1"/>
  <c r="CN15" i="6" s="1"/>
  <c r="CO15" i="6" s="1"/>
  <c r="CP15" i="6" s="1"/>
  <c r="CQ15" i="6" s="1"/>
  <c r="CR15" i="6" s="1"/>
  <c r="CS15" i="6" s="1"/>
  <c r="CT15" i="6" s="1"/>
  <c r="CU15" i="6" s="1"/>
  <c r="CV15" i="6" s="1"/>
  <c r="CW15" i="6" s="1"/>
  <c r="CX15" i="6" s="1"/>
  <c r="CY15" i="6" s="1"/>
  <c r="CZ15" i="6" s="1"/>
  <c r="DA15" i="6" s="1"/>
  <c r="DB15" i="6" s="1"/>
  <c r="DC15" i="6" s="1"/>
  <c r="DD15" i="6" s="1"/>
  <c r="DE15" i="6" s="1"/>
  <c r="DF15" i="6" s="1"/>
  <c r="DG15" i="6" s="1"/>
  <c r="DH15" i="6" s="1"/>
  <c r="DI15" i="6" s="1"/>
  <c r="DJ15" i="6" s="1"/>
  <c r="DK15" i="6" s="1"/>
  <c r="DL15" i="6" s="1"/>
  <c r="DM15" i="6" s="1"/>
  <c r="DN15" i="6" s="1"/>
  <c r="DO15" i="6" s="1"/>
  <c r="DP15" i="6" s="1"/>
  <c r="DQ15" i="6" s="1"/>
  <c r="DR15" i="6" s="1"/>
  <c r="DS15" i="6" s="1"/>
  <c r="DT15" i="6" s="1"/>
  <c r="DU15" i="6" s="1"/>
  <c r="DV15" i="6" s="1"/>
  <c r="DW15" i="6" s="1"/>
  <c r="DX15" i="6" s="1"/>
  <c r="DY15" i="6" s="1"/>
  <c r="DZ15" i="6" s="1"/>
  <c r="EA15" i="6" s="1"/>
  <c r="EB15" i="6" s="1"/>
  <c r="EC15" i="6" s="1"/>
  <c r="ED15" i="6" s="1"/>
  <c r="EE15" i="6" s="1"/>
  <c r="EF15" i="6" s="1"/>
  <c r="EG15" i="6" s="1"/>
  <c r="EH15" i="6" s="1"/>
  <c r="EI15" i="6" s="1"/>
  <c r="EJ15" i="6" s="1"/>
  <c r="EK15" i="6" s="1"/>
  <c r="EL15" i="6" s="1"/>
  <c r="EM15" i="6" s="1"/>
  <c r="EN15" i="6" s="1"/>
  <c r="EO15" i="6" s="1"/>
  <c r="EP15" i="6" s="1"/>
  <c r="EQ15" i="6" s="1"/>
  <c r="ER15" i="6" s="1"/>
  <c r="ES15" i="6" s="1"/>
  <c r="ET15" i="6" s="1"/>
  <c r="EU15" i="6" s="1"/>
  <c r="EV15" i="6" s="1"/>
  <c r="EW15" i="6" s="1"/>
  <c r="EX15" i="6" s="1"/>
  <c r="EY15" i="6" s="1"/>
  <c r="EZ15" i="6" s="1"/>
  <c r="FA15" i="6" s="1"/>
  <c r="FB15" i="6" s="1"/>
  <c r="FC15" i="6" s="1"/>
  <c r="FD15" i="6" s="1"/>
  <c r="FE15" i="6" s="1"/>
  <c r="FF15" i="6" s="1"/>
  <c r="FG15" i="6" s="1"/>
  <c r="FH15" i="6" s="1"/>
  <c r="FI15" i="6" s="1"/>
  <c r="FJ15" i="6" s="1"/>
  <c r="FK15" i="6" s="1"/>
  <c r="FL15" i="6" s="1"/>
  <c r="FM15" i="6" s="1"/>
  <c r="FN15" i="6" s="1"/>
  <c r="FO15" i="6" s="1"/>
  <c r="FP15" i="6" s="1"/>
  <c r="FQ15" i="6" s="1"/>
  <c r="Q14" i="6"/>
  <c r="E13" i="6"/>
  <c r="AD12" i="6"/>
  <c r="Q12" i="6"/>
  <c r="F11" i="6"/>
  <c r="AD10" i="6"/>
  <c r="Q10" i="6"/>
  <c r="L9" i="6"/>
  <c r="M9" i="6" s="1"/>
  <c r="N9" i="6" s="1"/>
  <c r="O9" i="6" s="1"/>
  <c r="P9" i="6" s="1"/>
  <c r="Q9" i="6" s="1"/>
  <c r="R9" i="6" s="1"/>
  <c r="S9" i="6" s="1"/>
  <c r="T9" i="6" s="1"/>
  <c r="U9" i="6" s="1"/>
  <c r="V9" i="6" s="1"/>
  <c r="W9" i="6" s="1"/>
  <c r="X9" i="6" s="1"/>
  <c r="Y9" i="6" s="1"/>
  <c r="Z9" i="6" s="1"/>
  <c r="AA9" i="6" s="1"/>
  <c r="AB9" i="6" s="1"/>
  <c r="AC9" i="6" s="1"/>
  <c r="AD9" i="6" s="1"/>
  <c r="AE9" i="6" s="1"/>
  <c r="AF9" i="6" s="1"/>
  <c r="AG9" i="6" s="1"/>
  <c r="AH9" i="6" s="1"/>
  <c r="AI9" i="6" s="1"/>
  <c r="AJ9" i="6" s="1"/>
  <c r="AK9" i="6" s="1"/>
  <c r="AL9" i="6" s="1"/>
  <c r="AM9" i="6" s="1"/>
  <c r="AN9" i="6" s="1"/>
  <c r="AO9" i="6" s="1"/>
  <c r="AP9" i="6" s="1"/>
  <c r="AQ9" i="6" s="1"/>
  <c r="AR9" i="6" s="1"/>
  <c r="AS9" i="6" s="1"/>
  <c r="AT9" i="6" s="1"/>
  <c r="AU9" i="6" s="1"/>
  <c r="AV9" i="6" s="1"/>
  <c r="AW9" i="6" s="1"/>
  <c r="AX9" i="6" s="1"/>
  <c r="AY9" i="6" s="1"/>
  <c r="AZ9" i="6" s="1"/>
  <c r="BA9" i="6" s="1"/>
  <c r="BB9" i="6" s="1"/>
  <c r="BC9" i="6" s="1"/>
  <c r="BD9" i="6" s="1"/>
  <c r="BE9" i="6" s="1"/>
  <c r="BF9" i="6" s="1"/>
  <c r="BG9" i="6" s="1"/>
  <c r="BH9" i="6" s="1"/>
  <c r="BI9" i="6" s="1"/>
  <c r="BJ9" i="6" s="1"/>
  <c r="BK9" i="6" s="1"/>
  <c r="BL9" i="6" s="1"/>
  <c r="BM9" i="6" s="1"/>
  <c r="BN9" i="6" s="1"/>
  <c r="BO9" i="6" s="1"/>
  <c r="BP9" i="6" s="1"/>
  <c r="BQ9" i="6" s="1"/>
  <c r="BR9" i="6" s="1"/>
  <c r="BS9" i="6" s="1"/>
  <c r="BT9" i="6" s="1"/>
  <c r="BU9" i="6" s="1"/>
  <c r="BV9" i="6" s="1"/>
  <c r="BW9" i="6" s="1"/>
  <c r="BX9" i="6" s="1"/>
  <c r="BY9" i="6" s="1"/>
  <c r="BZ9" i="6" s="1"/>
  <c r="CA9" i="6" s="1"/>
  <c r="CB9" i="6" s="1"/>
  <c r="CC9" i="6" s="1"/>
  <c r="CD9" i="6" s="1"/>
  <c r="CE9" i="6" s="1"/>
  <c r="CF9" i="6" s="1"/>
  <c r="CG9" i="6" s="1"/>
  <c r="CH9" i="6" s="1"/>
  <c r="CI9" i="6" s="1"/>
  <c r="CJ9" i="6" s="1"/>
  <c r="CK9" i="6" s="1"/>
  <c r="CL9" i="6" s="1"/>
  <c r="CM9" i="6" s="1"/>
  <c r="CN9" i="6" s="1"/>
  <c r="CO9" i="6" s="1"/>
  <c r="CP9" i="6" s="1"/>
  <c r="CQ9" i="6" s="1"/>
  <c r="CR9" i="6" s="1"/>
  <c r="CS9" i="6" s="1"/>
  <c r="CT9" i="6" s="1"/>
  <c r="CU9" i="6" s="1"/>
  <c r="CV9" i="6" s="1"/>
  <c r="CW9" i="6" s="1"/>
  <c r="CX9" i="6" s="1"/>
  <c r="CY9" i="6" s="1"/>
  <c r="CZ9" i="6" s="1"/>
  <c r="DA9" i="6" s="1"/>
  <c r="DB9" i="6" s="1"/>
  <c r="DC9" i="6" s="1"/>
  <c r="DD9" i="6" s="1"/>
  <c r="DE9" i="6" s="1"/>
  <c r="DF9" i="6" s="1"/>
  <c r="DG9" i="6" s="1"/>
  <c r="DH9" i="6" s="1"/>
  <c r="DI9" i="6" s="1"/>
  <c r="DJ9" i="6" s="1"/>
  <c r="DK9" i="6" s="1"/>
  <c r="DL9" i="6" s="1"/>
  <c r="DM9" i="6" s="1"/>
  <c r="DN9" i="6" s="1"/>
  <c r="DO9" i="6" s="1"/>
  <c r="DP9" i="6" s="1"/>
  <c r="DQ9" i="6" s="1"/>
  <c r="DR9" i="6" s="1"/>
  <c r="DS9" i="6" s="1"/>
  <c r="DT9" i="6" s="1"/>
  <c r="DU9" i="6" s="1"/>
  <c r="DV9" i="6" s="1"/>
  <c r="DW9" i="6" s="1"/>
  <c r="DX9" i="6" s="1"/>
  <c r="DY9" i="6" s="1"/>
  <c r="DZ9" i="6" s="1"/>
  <c r="EA9" i="6" s="1"/>
  <c r="EB9" i="6" s="1"/>
  <c r="EC9" i="6" s="1"/>
  <c r="ED9" i="6" s="1"/>
  <c r="EE9" i="6" s="1"/>
  <c r="EF9" i="6" s="1"/>
  <c r="EG9" i="6" s="1"/>
  <c r="EH9" i="6" s="1"/>
  <c r="EI9" i="6" s="1"/>
  <c r="EJ9" i="6" s="1"/>
  <c r="EK9" i="6" s="1"/>
  <c r="EL9" i="6" s="1"/>
  <c r="EM9" i="6" s="1"/>
  <c r="EN9" i="6" s="1"/>
  <c r="EO9" i="6" s="1"/>
  <c r="EP9" i="6" s="1"/>
  <c r="EQ9" i="6" s="1"/>
  <c r="ER9" i="6" s="1"/>
  <c r="ES9" i="6" s="1"/>
  <c r="ET9" i="6" s="1"/>
  <c r="EU9" i="6" s="1"/>
  <c r="EV9" i="6" s="1"/>
  <c r="EW9" i="6" s="1"/>
  <c r="EX9" i="6" s="1"/>
  <c r="EY9" i="6" s="1"/>
  <c r="EZ9" i="6" s="1"/>
  <c r="FA9" i="6" s="1"/>
  <c r="FB9" i="6" s="1"/>
  <c r="FC9" i="6" s="1"/>
  <c r="FD9" i="6" s="1"/>
  <c r="FE9" i="6" s="1"/>
  <c r="FF9" i="6" s="1"/>
  <c r="FG9" i="6" s="1"/>
  <c r="FH9" i="6" s="1"/>
  <c r="FI9" i="6" s="1"/>
  <c r="FJ9" i="6" s="1"/>
  <c r="FK9" i="6" s="1"/>
  <c r="FL9" i="6" s="1"/>
  <c r="FM9" i="6" s="1"/>
  <c r="FN9" i="6" s="1"/>
  <c r="FO9" i="6" s="1"/>
  <c r="FP9" i="6" s="1"/>
  <c r="FQ9" i="6" s="1"/>
  <c r="K9" i="6"/>
  <c r="AD8" i="6"/>
  <c r="Q8" i="6"/>
  <c r="M7" i="6"/>
  <c r="L7" i="6"/>
  <c r="K7" i="6"/>
  <c r="AD6" i="6"/>
  <c r="Q6" i="6"/>
  <c r="Q45" i="6" s="1"/>
  <c r="D130" i="27" l="1"/>
  <c r="F130" i="27" s="1"/>
  <c r="G130" i="27"/>
  <c r="C131" i="27" s="1"/>
  <c r="D103" i="23"/>
  <c r="F103" i="23" s="1"/>
  <c r="G103" i="23"/>
  <c r="C104" i="23" s="1"/>
  <c r="L42" i="6"/>
  <c r="T42" i="6"/>
  <c r="AB42" i="6"/>
  <c r="H42" i="6"/>
  <c r="AA42" i="6"/>
  <c r="K42" i="6"/>
  <c r="P42" i="6"/>
  <c r="G28" i="6"/>
  <c r="O28" i="6"/>
  <c r="W28" i="6"/>
  <c r="X42" i="6"/>
  <c r="L28" i="6"/>
  <c r="T28" i="6"/>
  <c r="AB28" i="6"/>
  <c r="E28" i="6"/>
  <c r="M28" i="6"/>
  <c r="U28" i="6"/>
  <c r="AC28" i="6"/>
  <c r="N28" i="6"/>
  <c r="AD28" i="6"/>
  <c r="S42" i="6"/>
  <c r="J42" i="6"/>
  <c r="R42" i="6"/>
  <c r="Z42" i="6"/>
  <c r="H28" i="6"/>
  <c r="P28" i="6"/>
  <c r="X28" i="6"/>
  <c r="F28" i="6"/>
  <c r="V28" i="6"/>
  <c r="I28" i="6"/>
  <c r="Y28" i="6"/>
  <c r="J28" i="6"/>
  <c r="R28" i="6"/>
  <c r="Z28" i="6"/>
  <c r="E42" i="6"/>
  <c r="M42" i="6"/>
  <c r="U42" i="6"/>
  <c r="AC42" i="6"/>
  <c r="K28" i="6"/>
  <c r="S28" i="6"/>
  <c r="AA28" i="6"/>
  <c r="AD42" i="6"/>
  <c r="G42" i="6"/>
  <c r="O42" i="6"/>
  <c r="W42" i="6"/>
  <c r="I33" i="6"/>
  <c r="J33" i="6" s="1"/>
  <c r="K33" i="6" s="1"/>
  <c r="AD41" i="6"/>
  <c r="F42" i="6"/>
  <c r="N42" i="6"/>
  <c r="V42" i="6"/>
  <c r="N7" i="6"/>
  <c r="F13" i="6"/>
  <c r="G13" i="6" s="1"/>
  <c r="H13" i="6" s="1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S13" i="6" s="1"/>
  <c r="T13" i="6" s="1"/>
  <c r="U13" i="6" s="1"/>
  <c r="V13" i="6" s="1"/>
  <c r="W13" i="6" s="1"/>
  <c r="X13" i="6" s="1"/>
  <c r="Y13" i="6" s="1"/>
  <c r="Z13" i="6" s="1"/>
  <c r="AA13" i="6" s="1"/>
  <c r="AB13" i="6" s="1"/>
  <c r="AC13" i="6" s="1"/>
  <c r="AD13" i="6" s="1"/>
  <c r="AE13" i="6" s="1"/>
  <c r="AF13" i="6" s="1"/>
  <c r="AG13" i="6" s="1"/>
  <c r="AH13" i="6" s="1"/>
  <c r="AI13" i="6" s="1"/>
  <c r="AJ13" i="6" s="1"/>
  <c r="AK13" i="6" s="1"/>
  <c r="AL13" i="6" s="1"/>
  <c r="AM13" i="6" s="1"/>
  <c r="AN13" i="6" s="1"/>
  <c r="AO13" i="6" s="1"/>
  <c r="AP13" i="6" s="1"/>
  <c r="AQ13" i="6" s="1"/>
  <c r="AR13" i="6" s="1"/>
  <c r="AS13" i="6" s="1"/>
  <c r="AT13" i="6" s="1"/>
  <c r="AU13" i="6" s="1"/>
  <c r="AV13" i="6" s="1"/>
  <c r="AW13" i="6" s="1"/>
  <c r="AX13" i="6" s="1"/>
  <c r="AY13" i="6" s="1"/>
  <c r="AZ13" i="6" s="1"/>
  <c r="BA13" i="6" s="1"/>
  <c r="BB13" i="6" s="1"/>
  <c r="BC13" i="6" s="1"/>
  <c r="BD13" i="6" s="1"/>
  <c r="BE13" i="6" s="1"/>
  <c r="BF13" i="6" s="1"/>
  <c r="BG13" i="6" s="1"/>
  <c r="BH13" i="6" s="1"/>
  <c r="BI13" i="6" s="1"/>
  <c r="BJ13" i="6" s="1"/>
  <c r="BK13" i="6" s="1"/>
  <c r="BL13" i="6" s="1"/>
  <c r="BM13" i="6" s="1"/>
  <c r="BN13" i="6" s="1"/>
  <c r="BO13" i="6" s="1"/>
  <c r="BP13" i="6" s="1"/>
  <c r="BQ13" i="6" s="1"/>
  <c r="BR13" i="6" s="1"/>
  <c r="BS13" i="6" s="1"/>
  <c r="BT13" i="6" s="1"/>
  <c r="BU13" i="6" s="1"/>
  <c r="BV13" i="6" s="1"/>
  <c r="BW13" i="6" s="1"/>
  <c r="BX13" i="6" s="1"/>
  <c r="BY13" i="6" s="1"/>
  <c r="BZ13" i="6" s="1"/>
  <c r="CA13" i="6" s="1"/>
  <c r="CB13" i="6" s="1"/>
  <c r="CC13" i="6" s="1"/>
  <c r="CD13" i="6" s="1"/>
  <c r="CE13" i="6" s="1"/>
  <c r="CF13" i="6" s="1"/>
  <c r="CG13" i="6" s="1"/>
  <c r="CH13" i="6" s="1"/>
  <c r="CI13" i="6" s="1"/>
  <c r="CJ13" i="6" s="1"/>
  <c r="CK13" i="6" s="1"/>
  <c r="CL13" i="6" s="1"/>
  <c r="CM13" i="6" s="1"/>
  <c r="CN13" i="6" s="1"/>
  <c r="CO13" i="6" s="1"/>
  <c r="CP13" i="6" s="1"/>
  <c r="CQ13" i="6" s="1"/>
  <c r="CR13" i="6" s="1"/>
  <c r="CS13" i="6" s="1"/>
  <c r="CT13" i="6" s="1"/>
  <c r="CU13" i="6" s="1"/>
  <c r="CV13" i="6" s="1"/>
  <c r="CW13" i="6" s="1"/>
  <c r="CX13" i="6" s="1"/>
  <c r="CY13" i="6" s="1"/>
  <c r="CZ13" i="6" s="1"/>
  <c r="DA13" i="6" s="1"/>
  <c r="DB13" i="6" s="1"/>
  <c r="DC13" i="6" s="1"/>
  <c r="DD13" i="6" s="1"/>
  <c r="DE13" i="6" s="1"/>
  <c r="DF13" i="6" s="1"/>
  <c r="DG13" i="6" s="1"/>
  <c r="DH13" i="6" s="1"/>
  <c r="DI13" i="6" s="1"/>
  <c r="DJ13" i="6" s="1"/>
  <c r="DK13" i="6" s="1"/>
  <c r="DL13" i="6" s="1"/>
  <c r="DM13" i="6" s="1"/>
  <c r="DN13" i="6" s="1"/>
  <c r="DO13" i="6" s="1"/>
  <c r="DP13" i="6" s="1"/>
  <c r="DQ13" i="6" s="1"/>
  <c r="DR13" i="6" s="1"/>
  <c r="DS13" i="6" s="1"/>
  <c r="DT13" i="6" s="1"/>
  <c r="DU13" i="6" s="1"/>
  <c r="DV13" i="6" s="1"/>
  <c r="DW13" i="6" s="1"/>
  <c r="DX13" i="6" s="1"/>
  <c r="DY13" i="6" s="1"/>
  <c r="DZ13" i="6" s="1"/>
  <c r="EA13" i="6" s="1"/>
  <c r="EB13" i="6" s="1"/>
  <c r="EC13" i="6" s="1"/>
  <c r="ED13" i="6" s="1"/>
  <c r="EE13" i="6" s="1"/>
  <c r="EF13" i="6" s="1"/>
  <c r="EG13" i="6" s="1"/>
  <c r="EH13" i="6" s="1"/>
  <c r="EI13" i="6" s="1"/>
  <c r="F22" i="6"/>
  <c r="I38" i="6"/>
  <c r="J38" i="6" s="1"/>
  <c r="K38" i="6" s="1"/>
  <c r="L38" i="6" s="1"/>
  <c r="AD18" i="6"/>
  <c r="I42" i="6"/>
  <c r="Q42" i="6"/>
  <c r="Y42" i="6"/>
  <c r="G11" i="6"/>
  <c r="AB45" i="6"/>
  <c r="AD32" i="6"/>
  <c r="AD45" i="6" s="1"/>
  <c r="G131" i="27" l="1"/>
  <c r="C132" i="27" s="1"/>
  <c r="D131" i="27"/>
  <c r="F131" i="27" s="1"/>
  <c r="G104" i="23"/>
  <c r="C105" i="23" s="1"/>
  <c r="D104" i="23"/>
  <c r="F104" i="23" s="1"/>
  <c r="EJ13" i="6"/>
  <c r="EI17" i="6"/>
  <c r="EI55" i="6" s="1"/>
  <c r="T43" i="6"/>
  <c r="V43" i="6"/>
  <c r="G43" i="6"/>
  <c r="O43" i="6"/>
  <c r="L43" i="6"/>
  <c r="AA43" i="6"/>
  <c r="H43" i="6"/>
  <c r="R43" i="6"/>
  <c r="P43" i="6"/>
  <c r="AC43" i="6"/>
  <c r="U43" i="6"/>
  <c r="M43" i="6"/>
  <c r="E43" i="6"/>
  <c r="K43" i="6"/>
  <c r="J43" i="6"/>
  <c r="AB43" i="6"/>
  <c r="I43" i="6"/>
  <c r="X43" i="6"/>
  <c r="W43" i="6"/>
  <c r="Y43" i="6"/>
  <c r="N43" i="6"/>
  <c r="Q43" i="6"/>
  <c r="Z43" i="6"/>
  <c r="S43" i="6"/>
  <c r="F43" i="6"/>
  <c r="AD43" i="6"/>
  <c r="H11" i="6"/>
  <c r="M38" i="6"/>
  <c r="O7" i="6"/>
  <c r="L33" i="6"/>
  <c r="G22" i="6"/>
  <c r="D132" i="27" l="1"/>
  <c r="F132" i="27" s="1"/>
  <c r="G132" i="27"/>
  <c r="C133" i="27" s="1"/>
  <c r="G105" i="23"/>
  <c r="C106" i="23" s="1"/>
  <c r="D105" i="23"/>
  <c r="EK13" i="6"/>
  <c r="EJ17" i="6"/>
  <c r="EJ55" i="6" s="1"/>
  <c r="M33" i="6"/>
  <c r="P7" i="6"/>
  <c r="H22" i="6"/>
  <c r="N38" i="6"/>
  <c r="I11" i="6"/>
  <c r="G133" i="27" l="1"/>
  <c r="C134" i="27" s="1"/>
  <c r="D133" i="27"/>
  <c r="F133" i="27" s="1"/>
  <c r="F105" i="23"/>
  <c r="D106" i="23"/>
  <c r="F106" i="23" s="1"/>
  <c r="G106" i="23"/>
  <c r="C107" i="23" s="1"/>
  <c r="EL13" i="6"/>
  <c r="EK17" i="6"/>
  <c r="EK55" i="6" s="1"/>
  <c r="O38" i="6"/>
  <c r="Q7" i="6"/>
  <c r="R7" i="6" s="1"/>
  <c r="I22" i="6"/>
  <c r="J11" i="6"/>
  <c r="N33" i="6"/>
  <c r="D134" i="27" l="1"/>
  <c r="F134" i="27" s="1"/>
  <c r="G134" i="27"/>
  <c r="C135" i="27" s="1"/>
  <c r="G107" i="23"/>
  <c r="C108" i="23" s="1"/>
  <c r="D107" i="23"/>
  <c r="EM13" i="6"/>
  <c r="EL17" i="6"/>
  <c r="EL55" i="6" s="1"/>
  <c r="K11" i="6"/>
  <c r="J22" i="6"/>
  <c r="S7" i="6"/>
  <c r="O33" i="6"/>
  <c r="P38" i="6"/>
  <c r="D135" i="27" l="1"/>
  <c r="G135" i="27"/>
  <c r="F107" i="23"/>
  <c r="G108" i="23"/>
  <c r="C109" i="23" s="1"/>
  <c r="D108" i="23"/>
  <c r="F108" i="23" s="1"/>
  <c r="EN13" i="6"/>
  <c r="EM17" i="6"/>
  <c r="EM55" i="6" s="1"/>
  <c r="L11" i="6"/>
  <c r="K22" i="6"/>
  <c r="Q38" i="6"/>
  <c r="R38" i="6" s="1"/>
  <c r="P33" i="6"/>
  <c r="T7" i="6"/>
  <c r="C136" i="27" l="1"/>
  <c r="D136" i="27" s="1"/>
  <c r="F135" i="27"/>
  <c r="I135" i="27"/>
  <c r="K135" i="27" s="1"/>
  <c r="G109" i="23"/>
  <c r="C110" i="23" s="1"/>
  <c r="D109" i="23"/>
  <c r="F109" i="23" s="1"/>
  <c r="EO13" i="6"/>
  <c r="EN17" i="6"/>
  <c r="EN55" i="6" s="1"/>
  <c r="S38" i="6"/>
  <c r="Q33" i="6"/>
  <c r="R33" i="6" s="1"/>
  <c r="L22" i="6"/>
  <c r="U7" i="6"/>
  <c r="M11" i="6"/>
  <c r="G136" i="27" l="1"/>
  <c r="C137" i="27" s="1"/>
  <c r="D137" i="27" s="1"/>
  <c r="F137" i="27" s="1"/>
  <c r="F136" i="27"/>
  <c r="D110" i="23"/>
  <c r="F110" i="23" s="1"/>
  <c r="G110" i="23"/>
  <c r="C111" i="23" s="1"/>
  <c r="EP13" i="6"/>
  <c r="EO17" i="6"/>
  <c r="EO55" i="6" s="1"/>
  <c r="M22" i="6"/>
  <c r="V7" i="6"/>
  <c r="S33" i="6"/>
  <c r="N11" i="6"/>
  <c r="T38" i="6"/>
  <c r="G137" i="27" l="1"/>
  <c r="C138" i="27" s="1"/>
  <c r="G138" i="27" s="1"/>
  <c r="C139" i="27" s="1"/>
  <c r="G111" i="23"/>
  <c r="D111" i="23"/>
  <c r="EQ13" i="6"/>
  <c r="EP17" i="6"/>
  <c r="EP55" i="6" s="1"/>
  <c r="EQ55" i="6" s="1"/>
  <c r="EQ51" i="6"/>
  <c r="EQ49" i="6" s="1"/>
  <c r="EQ54" i="6" s="1"/>
  <c r="T33" i="6"/>
  <c r="O11" i="6"/>
  <c r="W7" i="6"/>
  <c r="N22" i="6"/>
  <c r="U38" i="6"/>
  <c r="D138" i="27" l="1"/>
  <c r="F138" i="27" s="1"/>
  <c r="D139" i="27"/>
  <c r="F139" i="27" s="1"/>
  <c r="G139" i="27"/>
  <c r="C140" i="27" s="1"/>
  <c r="F111" i="23"/>
  <c r="I111" i="23"/>
  <c r="C112" i="23"/>
  <c r="EQ46" i="6"/>
  <c r="EP46" i="6" s="1"/>
  <c r="ER13" i="6"/>
  <c r="EQ48" i="6"/>
  <c r="O22" i="6"/>
  <c r="X7" i="6"/>
  <c r="P11" i="6"/>
  <c r="V38" i="6"/>
  <c r="U33" i="6"/>
  <c r="D140" i="27" l="1"/>
  <c r="F140" i="27" s="1"/>
  <c r="G140" i="27"/>
  <c r="C141" i="27" s="1"/>
  <c r="K111" i="23"/>
  <c r="M11" i="18"/>
  <c r="M15" i="18" s="1"/>
  <c r="G112" i="23"/>
  <c r="C113" i="23" s="1"/>
  <c r="D112" i="23"/>
  <c r="ES13" i="6"/>
  <c r="ER17" i="6"/>
  <c r="ER55" i="6" s="1"/>
  <c r="W38" i="6"/>
  <c r="Y7" i="6"/>
  <c r="Q11" i="6"/>
  <c r="R11" i="6" s="1"/>
  <c r="V33" i="6"/>
  <c r="P22" i="6"/>
  <c r="D141" i="27" l="1"/>
  <c r="G141" i="27"/>
  <c r="C142" i="27" s="1"/>
  <c r="M26" i="18"/>
  <c r="M12" i="18"/>
  <c r="F112" i="23"/>
  <c r="D113" i="23"/>
  <c r="F113" i="23" s="1"/>
  <c r="G113" i="23"/>
  <c r="C114" i="23" s="1"/>
  <c r="ET13" i="6"/>
  <c r="ES17" i="6"/>
  <c r="ES55" i="6" s="1"/>
  <c r="S11" i="6"/>
  <c r="W33" i="6"/>
  <c r="Z7" i="6"/>
  <c r="Q22" i="6"/>
  <c r="R22" i="6" s="1"/>
  <c r="X38" i="6"/>
  <c r="G142" i="27" l="1"/>
  <c r="C143" i="27" s="1"/>
  <c r="D142" i="27"/>
  <c r="F142" i="27" s="1"/>
  <c r="F141" i="27"/>
  <c r="M27" i="18"/>
  <c r="G114" i="23"/>
  <c r="C115" i="23" s="1"/>
  <c r="D114" i="23"/>
  <c r="EU13" i="6"/>
  <c r="ET17" i="6"/>
  <c r="ET55" i="6" s="1"/>
  <c r="AA7" i="6"/>
  <c r="S22" i="6"/>
  <c r="X33" i="6"/>
  <c r="Y38" i="6"/>
  <c r="T11" i="6"/>
  <c r="D143" i="27" l="1"/>
  <c r="F143" i="27" s="1"/>
  <c r="G143" i="27"/>
  <c r="C144" i="27" s="1"/>
  <c r="M28" i="18"/>
  <c r="M29" i="18" s="1"/>
  <c r="F114" i="23"/>
  <c r="D115" i="23"/>
  <c r="F115" i="23" s="1"/>
  <c r="G115" i="23"/>
  <c r="C116" i="23" s="1"/>
  <c r="EV13" i="6"/>
  <c r="EU17" i="6"/>
  <c r="EU55" i="6" s="1"/>
  <c r="Y33" i="6"/>
  <c r="Z38" i="6"/>
  <c r="AB7" i="6"/>
  <c r="T22" i="6"/>
  <c r="U11" i="6"/>
  <c r="D144" i="27" l="1"/>
  <c r="F144" i="27" s="1"/>
  <c r="G144" i="27"/>
  <c r="C145" i="27" s="1"/>
  <c r="D116" i="23"/>
  <c r="F116" i="23" s="1"/>
  <c r="G116" i="23"/>
  <c r="C117" i="23" s="1"/>
  <c r="EW13" i="6"/>
  <c r="EV17" i="6"/>
  <c r="EV55" i="6" s="1"/>
  <c r="U22" i="6"/>
  <c r="AA38" i="6"/>
  <c r="AC7" i="6"/>
  <c r="V11" i="6"/>
  <c r="Z33" i="6"/>
  <c r="D145" i="27" l="1"/>
  <c r="F145" i="27" s="1"/>
  <c r="G145" i="27"/>
  <c r="C146" i="27" s="1"/>
  <c r="D117" i="23"/>
  <c r="G117" i="23"/>
  <c r="C118" i="23" s="1"/>
  <c r="EX13" i="6"/>
  <c r="EW17" i="6"/>
  <c r="EW55" i="6" s="1"/>
  <c r="AD7" i="6"/>
  <c r="AE7" i="6" s="1"/>
  <c r="AF7" i="6" s="1"/>
  <c r="AG7" i="6" s="1"/>
  <c r="AH7" i="6" s="1"/>
  <c r="AI7" i="6" s="1"/>
  <c r="AJ7" i="6" s="1"/>
  <c r="AK7" i="6" s="1"/>
  <c r="AL7" i="6" s="1"/>
  <c r="AM7" i="6" s="1"/>
  <c r="AN7" i="6" s="1"/>
  <c r="AO7" i="6" s="1"/>
  <c r="AP7" i="6" s="1"/>
  <c r="AQ7" i="6" s="1"/>
  <c r="AR7" i="6" s="1"/>
  <c r="AS7" i="6" s="1"/>
  <c r="AT7" i="6" s="1"/>
  <c r="AU7" i="6" s="1"/>
  <c r="AV7" i="6" s="1"/>
  <c r="AW7" i="6" s="1"/>
  <c r="AX7" i="6" s="1"/>
  <c r="AY7" i="6" s="1"/>
  <c r="AZ7" i="6" s="1"/>
  <c r="BA7" i="6" s="1"/>
  <c r="BB7" i="6" s="1"/>
  <c r="BC7" i="6" s="1"/>
  <c r="BD7" i="6" s="1"/>
  <c r="BE7" i="6" s="1"/>
  <c r="BF7" i="6" s="1"/>
  <c r="BG7" i="6" s="1"/>
  <c r="BH7" i="6" s="1"/>
  <c r="BI7" i="6" s="1"/>
  <c r="BJ7" i="6" s="1"/>
  <c r="BK7" i="6" s="1"/>
  <c r="BL7" i="6" s="1"/>
  <c r="BM7" i="6" s="1"/>
  <c r="BN7" i="6" s="1"/>
  <c r="BO7" i="6" s="1"/>
  <c r="BP7" i="6" s="1"/>
  <c r="BQ7" i="6" s="1"/>
  <c r="BR7" i="6" s="1"/>
  <c r="BS7" i="6" s="1"/>
  <c r="BT7" i="6" s="1"/>
  <c r="BU7" i="6" s="1"/>
  <c r="BV7" i="6" s="1"/>
  <c r="BW7" i="6" s="1"/>
  <c r="BX7" i="6" s="1"/>
  <c r="BY7" i="6" s="1"/>
  <c r="BZ7" i="6" s="1"/>
  <c r="CA7" i="6" s="1"/>
  <c r="CB7" i="6" s="1"/>
  <c r="CC7" i="6" s="1"/>
  <c r="CD7" i="6" s="1"/>
  <c r="CE7" i="6" s="1"/>
  <c r="CF7" i="6" s="1"/>
  <c r="CG7" i="6" s="1"/>
  <c r="CH7" i="6" s="1"/>
  <c r="CI7" i="6" s="1"/>
  <c r="CJ7" i="6" s="1"/>
  <c r="CK7" i="6" s="1"/>
  <c r="CL7" i="6" s="1"/>
  <c r="CM7" i="6" s="1"/>
  <c r="CN7" i="6" s="1"/>
  <c r="CO7" i="6" s="1"/>
  <c r="CP7" i="6" s="1"/>
  <c r="CQ7" i="6" s="1"/>
  <c r="CR7" i="6" s="1"/>
  <c r="CS7" i="6" s="1"/>
  <c r="CT7" i="6" s="1"/>
  <c r="CU7" i="6" s="1"/>
  <c r="CV7" i="6" s="1"/>
  <c r="CW7" i="6" s="1"/>
  <c r="CX7" i="6" s="1"/>
  <c r="CY7" i="6" s="1"/>
  <c r="CZ7" i="6" s="1"/>
  <c r="DA7" i="6" s="1"/>
  <c r="DB7" i="6" s="1"/>
  <c r="DC7" i="6" s="1"/>
  <c r="DD7" i="6" s="1"/>
  <c r="DE7" i="6" s="1"/>
  <c r="DF7" i="6" s="1"/>
  <c r="DG7" i="6" s="1"/>
  <c r="DH7" i="6" s="1"/>
  <c r="DI7" i="6" s="1"/>
  <c r="DJ7" i="6" s="1"/>
  <c r="DK7" i="6" s="1"/>
  <c r="DL7" i="6" s="1"/>
  <c r="DM7" i="6" s="1"/>
  <c r="DN7" i="6" s="1"/>
  <c r="DO7" i="6" s="1"/>
  <c r="DP7" i="6" s="1"/>
  <c r="DQ7" i="6" s="1"/>
  <c r="DR7" i="6" s="1"/>
  <c r="DS7" i="6" s="1"/>
  <c r="DT7" i="6" s="1"/>
  <c r="DU7" i="6" s="1"/>
  <c r="DV7" i="6" s="1"/>
  <c r="DW7" i="6" s="1"/>
  <c r="DX7" i="6" s="1"/>
  <c r="DY7" i="6" s="1"/>
  <c r="DZ7" i="6" s="1"/>
  <c r="EA7" i="6" s="1"/>
  <c r="EB7" i="6" s="1"/>
  <c r="EC7" i="6" s="1"/>
  <c r="ED7" i="6" s="1"/>
  <c r="EE7" i="6" s="1"/>
  <c r="EF7" i="6" s="1"/>
  <c r="EG7" i="6" s="1"/>
  <c r="EH7" i="6" s="1"/>
  <c r="EI7" i="6" s="1"/>
  <c r="EJ7" i="6" s="1"/>
  <c r="EK7" i="6" s="1"/>
  <c r="EL7" i="6" s="1"/>
  <c r="EM7" i="6" s="1"/>
  <c r="EN7" i="6" s="1"/>
  <c r="EO7" i="6" s="1"/>
  <c r="EP7" i="6" s="1"/>
  <c r="EQ7" i="6" s="1"/>
  <c r="ER7" i="6" s="1"/>
  <c r="ES7" i="6" s="1"/>
  <c r="ET7" i="6" s="1"/>
  <c r="EU7" i="6" s="1"/>
  <c r="EV7" i="6" s="1"/>
  <c r="EW7" i="6" s="1"/>
  <c r="EX7" i="6" s="1"/>
  <c r="EY7" i="6" s="1"/>
  <c r="EZ7" i="6" s="1"/>
  <c r="FA7" i="6" s="1"/>
  <c r="FB7" i="6" s="1"/>
  <c r="FC7" i="6" s="1"/>
  <c r="FD7" i="6" s="1"/>
  <c r="FE7" i="6" s="1"/>
  <c r="FF7" i="6" s="1"/>
  <c r="FG7" i="6" s="1"/>
  <c r="FH7" i="6" s="1"/>
  <c r="FI7" i="6" s="1"/>
  <c r="FJ7" i="6" s="1"/>
  <c r="FK7" i="6" s="1"/>
  <c r="FL7" i="6" s="1"/>
  <c r="FM7" i="6" s="1"/>
  <c r="FN7" i="6" s="1"/>
  <c r="FO7" i="6" s="1"/>
  <c r="FP7" i="6" s="1"/>
  <c r="FQ7" i="6" s="1"/>
  <c r="W11" i="6"/>
  <c r="AB38" i="6"/>
  <c r="V22" i="6"/>
  <c r="AA33" i="6"/>
  <c r="G146" i="27" l="1"/>
  <c r="C147" i="27" s="1"/>
  <c r="D146" i="27"/>
  <c r="F146" i="27" s="1"/>
  <c r="G118" i="23"/>
  <c r="C119" i="23" s="1"/>
  <c r="D118" i="23"/>
  <c r="F118" i="23" s="1"/>
  <c r="F117" i="23"/>
  <c r="EY13" i="6"/>
  <c r="EX17" i="6"/>
  <c r="EX55" i="6" s="1"/>
  <c r="AB33" i="6"/>
  <c r="W22" i="6"/>
  <c r="AC38" i="6"/>
  <c r="X11" i="6"/>
  <c r="D147" i="27" l="1"/>
  <c r="G147" i="27"/>
  <c r="D119" i="23"/>
  <c r="F119" i="23" s="1"/>
  <c r="G119" i="23"/>
  <c r="C120" i="23" s="1"/>
  <c r="EZ13" i="6"/>
  <c r="EY17" i="6"/>
  <c r="EY55" i="6" s="1"/>
  <c r="Y11" i="6"/>
  <c r="AD38" i="6"/>
  <c r="AE38" i="6" s="1"/>
  <c r="AF38" i="6" s="1"/>
  <c r="AG38" i="6" s="1"/>
  <c r="AH38" i="6" s="1"/>
  <c r="AI38" i="6" s="1"/>
  <c r="AJ38" i="6" s="1"/>
  <c r="AK38" i="6" s="1"/>
  <c r="AL38" i="6" s="1"/>
  <c r="AM38" i="6" s="1"/>
  <c r="AN38" i="6" s="1"/>
  <c r="AO38" i="6" s="1"/>
  <c r="AP38" i="6" s="1"/>
  <c r="AQ38" i="6" s="1"/>
  <c r="AR38" i="6" s="1"/>
  <c r="AS38" i="6" s="1"/>
  <c r="AT38" i="6" s="1"/>
  <c r="AU38" i="6" s="1"/>
  <c r="AV38" i="6" s="1"/>
  <c r="X22" i="6"/>
  <c r="AC33" i="6"/>
  <c r="C148" i="27" l="1"/>
  <c r="D148" i="27" s="1"/>
  <c r="F147" i="27"/>
  <c r="I147" i="27"/>
  <c r="K147" i="27" s="1"/>
  <c r="D120" i="23"/>
  <c r="F120" i="23" s="1"/>
  <c r="G120" i="23"/>
  <c r="C121" i="23" s="1"/>
  <c r="FA13" i="6"/>
  <c r="EZ17" i="6"/>
  <c r="EZ55" i="6" s="1"/>
  <c r="AD33" i="6"/>
  <c r="AE33" i="6" s="1"/>
  <c r="AF33" i="6" s="1"/>
  <c r="AG33" i="6" s="1"/>
  <c r="AH33" i="6" s="1"/>
  <c r="AI33" i="6" s="1"/>
  <c r="AJ33" i="6" s="1"/>
  <c r="AK33" i="6" s="1"/>
  <c r="AL33" i="6" s="1"/>
  <c r="AM33" i="6" s="1"/>
  <c r="AN33" i="6" s="1"/>
  <c r="AO33" i="6" s="1"/>
  <c r="AP33" i="6" s="1"/>
  <c r="AQ33" i="6" s="1"/>
  <c r="AR33" i="6" s="1"/>
  <c r="Y22" i="6"/>
  <c r="Z11" i="6"/>
  <c r="G148" i="27" l="1"/>
  <c r="C149" i="27" s="1"/>
  <c r="G149" i="27" s="1"/>
  <c r="C150" i="27" s="1"/>
  <c r="F148" i="27"/>
  <c r="D121" i="23"/>
  <c r="F121" i="23" s="1"/>
  <c r="G121" i="23"/>
  <c r="C122" i="23" s="1"/>
  <c r="FB13" i="6"/>
  <c r="FA17" i="6"/>
  <c r="FA55" i="6" s="1"/>
  <c r="AA11" i="6"/>
  <c r="Z22" i="6"/>
  <c r="D149" i="27" l="1"/>
  <c r="F149" i="27" s="1"/>
  <c r="D150" i="27"/>
  <c r="F150" i="27" s="1"/>
  <c r="G150" i="27"/>
  <c r="C151" i="27" s="1"/>
  <c r="G122" i="23"/>
  <c r="C123" i="23" s="1"/>
  <c r="D122" i="23"/>
  <c r="F122" i="23" s="1"/>
  <c r="FC13" i="6"/>
  <c r="FB17" i="6"/>
  <c r="FB55" i="6" s="1"/>
  <c r="AA22" i="6"/>
  <c r="AB11" i="6"/>
  <c r="G151" i="27" l="1"/>
  <c r="C152" i="27" s="1"/>
  <c r="D151" i="27"/>
  <c r="G123" i="23"/>
  <c r="D123" i="23"/>
  <c r="FD13" i="6"/>
  <c r="FC17" i="6"/>
  <c r="FC55" i="6" s="1"/>
  <c r="FD55" i="6" s="1"/>
  <c r="FD51" i="6"/>
  <c r="FD49" i="6" s="1"/>
  <c r="FD54" i="6" s="1"/>
  <c r="AC11" i="6"/>
  <c r="AB22" i="6"/>
  <c r="F151" i="27" l="1"/>
  <c r="D152" i="27"/>
  <c r="F152" i="27" s="1"/>
  <c r="G152" i="27"/>
  <c r="C153" i="27" s="1"/>
  <c r="F123" i="23"/>
  <c r="I123" i="23"/>
  <c r="C124" i="23"/>
  <c r="FD46" i="6"/>
  <c r="FC46" i="6" s="1"/>
  <c r="FE13" i="6"/>
  <c r="FD48" i="6"/>
  <c r="AC22" i="6"/>
  <c r="AD11" i="6"/>
  <c r="AE11" i="6" s="1"/>
  <c r="AF11" i="6" s="1"/>
  <c r="AG11" i="6" s="1"/>
  <c r="AH11" i="6" s="1"/>
  <c r="AI11" i="6" s="1"/>
  <c r="AJ11" i="6" s="1"/>
  <c r="AK11" i="6" s="1"/>
  <c r="AL11" i="6" s="1"/>
  <c r="AM11" i="6" s="1"/>
  <c r="AN11" i="6" s="1"/>
  <c r="AO11" i="6" s="1"/>
  <c r="AP11" i="6" s="1"/>
  <c r="AQ11" i="6" s="1"/>
  <c r="AR11" i="6" s="1"/>
  <c r="AS11" i="6" s="1"/>
  <c r="AT11" i="6" s="1"/>
  <c r="AU11" i="6" s="1"/>
  <c r="AV11" i="6" s="1"/>
  <c r="AW11" i="6" s="1"/>
  <c r="AX11" i="6" s="1"/>
  <c r="AY11" i="6" s="1"/>
  <c r="AZ11" i="6" s="1"/>
  <c r="BA11" i="6" s="1"/>
  <c r="BB11" i="6" s="1"/>
  <c r="BC11" i="6" s="1"/>
  <c r="BD11" i="6" s="1"/>
  <c r="BE11" i="6" s="1"/>
  <c r="BF11" i="6" s="1"/>
  <c r="BG11" i="6" s="1"/>
  <c r="BH11" i="6" s="1"/>
  <c r="BI11" i="6" s="1"/>
  <c r="BJ11" i="6" s="1"/>
  <c r="BK11" i="6" s="1"/>
  <c r="BL11" i="6" s="1"/>
  <c r="BM11" i="6" s="1"/>
  <c r="BN11" i="6" s="1"/>
  <c r="BO11" i="6" s="1"/>
  <c r="BP11" i="6" s="1"/>
  <c r="BQ11" i="6" s="1"/>
  <c r="BR11" i="6" s="1"/>
  <c r="BS11" i="6" s="1"/>
  <c r="BT11" i="6" s="1"/>
  <c r="BU11" i="6" s="1"/>
  <c r="BV11" i="6" s="1"/>
  <c r="BW11" i="6" s="1"/>
  <c r="BX11" i="6" s="1"/>
  <c r="BY11" i="6" s="1"/>
  <c r="BZ11" i="6" s="1"/>
  <c r="CA11" i="6" s="1"/>
  <c r="CB11" i="6" s="1"/>
  <c r="CC11" i="6" s="1"/>
  <c r="CD11" i="6" s="1"/>
  <c r="CE11" i="6" s="1"/>
  <c r="CF11" i="6" s="1"/>
  <c r="CG11" i="6" s="1"/>
  <c r="CH11" i="6" s="1"/>
  <c r="CI11" i="6" s="1"/>
  <c r="CJ11" i="6" s="1"/>
  <c r="CK11" i="6" s="1"/>
  <c r="CL11" i="6" s="1"/>
  <c r="CM11" i="6" s="1"/>
  <c r="CN11" i="6" s="1"/>
  <c r="CO11" i="6" s="1"/>
  <c r="CP11" i="6" s="1"/>
  <c r="CQ11" i="6" s="1"/>
  <c r="CR11" i="6" s="1"/>
  <c r="CS11" i="6" s="1"/>
  <c r="CT11" i="6" s="1"/>
  <c r="CU11" i="6" s="1"/>
  <c r="CV11" i="6" s="1"/>
  <c r="CW11" i="6" s="1"/>
  <c r="CX11" i="6" s="1"/>
  <c r="CY11" i="6" s="1"/>
  <c r="CZ11" i="6" s="1"/>
  <c r="DA11" i="6" s="1"/>
  <c r="DB11" i="6" s="1"/>
  <c r="DC11" i="6" s="1"/>
  <c r="DD11" i="6" s="1"/>
  <c r="DE11" i="6" s="1"/>
  <c r="DF11" i="6" s="1"/>
  <c r="DG11" i="6" s="1"/>
  <c r="DH11" i="6" s="1"/>
  <c r="DI11" i="6" s="1"/>
  <c r="DJ11" i="6" s="1"/>
  <c r="DK11" i="6" s="1"/>
  <c r="DL11" i="6" s="1"/>
  <c r="DM11" i="6" s="1"/>
  <c r="DN11" i="6" s="1"/>
  <c r="DO11" i="6" s="1"/>
  <c r="DP11" i="6" s="1"/>
  <c r="DQ11" i="6" s="1"/>
  <c r="DR11" i="6" s="1"/>
  <c r="DS11" i="6" s="1"/>
  <c r="DT11" i="6" s="1"/>
  <c r="DU11" i="6" s="1"/>
  <c r="DV11" i="6" s="1"/>
  <c r="DW11" i="6" s="1"/>
  <c r="DX11" i="6" s="1"/>
  <c r="DY11" i="6" s="1"/>
  <c r="DZ11" i="6" s="1"/>
  <c r="EA11" i="6" s="1"/>
  <c r="EB11" i="6" s="1"/>
  <c r="EC11" i="6" s="1"/>
  <c r="ED11" i="6" s="1"/>
  <c r="EE11" i="6" s="1"/>
  <c r="EF11" i="6" s="1"/>
  <c r="EG11" i="6" s="1"/>
  <c r="EH11" i="6" s="1"/>
  <c r="EI11" i="6" s="1"/>
  <c r="EJ11" i="6" s="1"/>
  <c r="EK11" i="6" s="1"/>
  <c r="EL11" i="6" s="1"/>
  <c r="EM11" i="6" s="1"/>
  <c r="EN11" i="6" s="1"/>
  <c r="EO11" i="6" s="1"/>
  <c r="EP11" i="6" s="1"/>
  <c r="EQ11" i="6" s="1"/>
  <c r="ER11" i="6" s="1"/>
  <c r="ES11" i="6" s="1"/>
  <c r="ET11" i="6" s="1"/>
  <c r="EU11" i="6" s="1"/>
  <c r="EV11" i="6" s="1"/>
  <c r="EW11" i="6" s="1"/>
  <c r="EX11" i="6" s="1"/>
  <c r="EY11" i="6" s="1"/>
  <c r="EZ11" i="6" s="1"/>
  <c r="FA11" i="6" s="1"/>
  <c r="FB11" i="6" s="1"/>
  <c r="FC11" i="6" s="1"/>
  <c r="FD11" i="6" s="1"/>
  <c r="FE11" i="6" s="1"/>
  <c r="FF11" i="6" s="1"/>
  <c r="FG11" i="6" s="1"/>
  <c r="FH11" i="6" s="1"/>
  <c r="FI11" i="6" s="1"/>
  <c r="FJ11" i="6" s="1"/>
  <c r="FK11" i="6" s="1"/>
  <c r="FL11" i="6" s="1"/>
  <c r="FM11" i="6" s="1"/>
  <c r="FN11" i="6" s="1"/>
  <c r="FO11" i="6" s="1"/>
  <c r="FP11" i="6" s="1"/>
  <c r="FQ11" i="6" s="1"/>
  <c r="D153" i="27" l="1"/>
  <c r="F153" i="27" s="1"/>
  <c r="G153" i="27"/>
  <c r="C154" i="27" s="1"/>
  <c r="D124" i="23"/>
  <c r="G124" i="23"/>
  <c r="C125" i="23" s="1"/>
  <c r="K123" i="23"/>
  <c r="N11" i="18"/>
  <c r="N15" i="18" s="1"/>
  <c r="FF13" i="6"/>
  <c r="FE17" i="6"/>
  <c r="FE55" i="6" s="1"/>
  <c r="AD22" i="6"/>
  <c r="AE22" i="6" s="1"/>
  <c r="AF22" i="6" s="1"/>
  <c r="AG22" i="6" s="1"/>
  <c r="AH22" i="6" s="1"/>
  <c r="AI22" i="6" s="1"/>
  <c r="AJ22" i="6" s="1"/>
  <c r="AK22" i="6" s="1"/>
  <c r="AL22" i="6" s="1"/>
  <c r="AM22" i="6" s="1"/>
  <c r="AN22" i="6" s="1"/>
  <c r="AO22" i="6" s="1"/>
  <c r="AP22" i="6" s="1"/>
  <c r="AQ22" i="6" s="1"/>
  <c r="AR22" i="6" s="1"/>
  <c r="AS22" i="6" s="1"/>
  <c r="AT22" i="6" s="1"/>
  <c r="AU22" i="6" s="1"/>
  <c r="AV22" i="6" s="1"/>
  <c r="AW22" i="6" s="1"/>
  <c r="AX22" i="6" s="1"/>
  <c r="AY22" i="6" s="1"/>
  <c r="AZ22" i="6" s="1"/>
  <c r="BA22" i="6" s="1"/>
  <c r="BB22" i="6" s="1"/>
  <c r="BC22" i="6" s="1"/>
  <c r="BD22" i="6" s="1"/>
  <c r="BE22" i="6" s="1"/>
  <c r="BF22" i="6" s="1"/>
  <c r="BG22" i="6" s="1"/>
  <c r="BH22" i="6" s="1"/>
  <c r="BI22" i="6" s="1"/>
  <c r="BJ22" i="6" s="1"/>
  <c r="BK22" i="6" s="1"/>
  <c r="BL22" i="6" s="1"/>
  <c r="BM22" i="6" s="1"/>
  <c r="BN22" i="6" s="1"/>
  <c r="BO22" i="6" s="1"/>
  <c r="BP22" i="6" s="1"/>
  <c r="BQ22" i="6" s="1"/>
  <c r="BR22" i="6" s="1"/>
  <c r="BS22" i="6" s="1"/>
  <c r="BT22" i="6" s="1"/>
  <c r="BU22" i="6" s="1"/>
  <c r="BV22" i="6" s="1"/>
  <c r="BW22" i="6" s="1"/>
  <c r="BX22" i="6" s="1"/>
  <c r="BY22" i="6" s="1"/>
  <c r="BZ22" i="6" s="1"/>
  <c r="CA22" i="6" s="1"/>
  <c r="CB22" i="6" s="1"/>
  <c r="CC22" i="6" s="1"/>
  <c r="F31" i="4"/>
  <c r="G31" i="4"/>
  <c r="H31" i="4"/>
  <c r="E31" i="4"/>
  <c r="F21" i="4"/>
  <c r="G21" i="4"/>
  <c r="H21" i="4"/>
  <c r="I21" i="4"/>
  <c r="J21" i="4"/>
  <c r="K21" i="4"/>
  <c r="L21" i="4"/>
  <c r="M21" i="4"/>
  <c r="N21" i="4"/>
  <c r="O21" i="4"/>
  <c r="E21" i="4"/>
  <c r="G6" i="4"/>
  <c r="G5" i="4" s="1"/>
  <c r="H6" i="4"/>
  <c r="H5" i="4" s="1"/>
  <c r="I6" i="4"/>
  <c r="J6" i="4"/>
  <c r="K6" i="4"/>
  <c r="L6" i="4"/>
  <c r="M6" i="4"/>
  <c r="N6" i="4"/>
  <c r="O6" i="4"/>
  <c r="F6" i="4"/>
  <c r="F5" i="4" s="1"/>
  <c r="E6" i="4"/>
  <c r="E5" i="4" s="1"/>
  <c r="F29" i="3"/>
  <c r="G29" i="3"/>
  <c r="H29" i="3"/>
  <c r="E29" i="3"/>
  <c r="F11" i="3"/>
  <c r="F48" i="3" s="1"/>
  <c r="G11" i="3"/>
  <c r="G48" i="3" s="1"/>
  <c r="H11" i="3"/>
  <c r="H48" i="3" s="1"/>
  <c r="E11" i="3"/>
  <c r="E48" i="3" s="1"/>
  <c r="F4" i="3"/>
  <c r="G4" i="3"/>
  <c r="H4" i="3"/>
  <c r="J4" i="3"/>
  <c r="K4" i="3"/>
  <c r="L4" i="3"/>
  <c r="M4" i="3"/>
  <c r="N4" i="3"/>
  <c r="O4" i="3"/>
  <c r="E4" i="3"/>
  <c r="F4" i="1"/>
  <c r="F13" i="1" s="1"/>
  <c r="G4" i="1"/>
  <c r="G13" i="1" s="1"/>
  <c r="H4" i="1"/>
  <c r="H13" i="1" s="1"/>
  <c r="I4" i="1"/>
  <c r="I13" i="1" s="1"/>
  <c r="I17" i="1" s="1"/>
  <c r="J4" i="1"/>
  <c r="J13" i="1" s="1"/>
  <c r="J17" i="1" s="1"/>
  <c r="K4" i="1"/>
  <c r="K13" i="1" s="1"/>
  <c r="K17" i="1" s="1"/>
  <c r="E4" i="1"/>
  <c r="E13" i="1" s="1"/>
  <c r="D154" i="27" l="1"/>
  <c r="G154" i="27"/>
  <c r="C155" i="27" s="1"/>
  <c r="N26" i="18"/>
  <c r="N27" i="18" s="1"/>
  <c r="N28" i="18" s="1"/>
  <c r="N29" i="18" s="1"/>
  <c r="N12" i="18"/>
  <c r="D125" i="23"/>
  <c r="F125" i="23" s="1"/>
  <c r="G125" i="23"/>
  <c r="C126" i="23" s="1"/>
  <c r="F124" i="23"/>
  <c r="K44" i="3"/>
  <c r="K43" i="3"/>
  <c r="I44" i="3"/>
  <c r="I43" i="3"/>
  <c r="E17" i="3"/>
  <c r="FG13" i="6"/>
  <c r="FF17" i="6"/>
  <c r="FF55" i="6" s="1"/>
  <c r="F17" i="3"/>
  <c r="F49" i="3" s="1"/>
  <c r="H17" i="3"/>
  <c r="H49" i="3" s="1"/>
  <c r="G17" i="3"/>
  <c r="G49" i="3" s="1"/>
  <c r="G17" i="1"/>
  <c r="H17" i="1"/>
  <c r="F17" i="1"/>
  <c r="E17" i="1"/>
  <c r="E21" i="1" l="1"/>
  <c r="E23" i="1" s="1"/>
  <c r="E26" i="1" s="1"/>
  <c r="E44" i="3"/>
  <c r="E43" i="3"/>
  <c r="E47" i="3"/>
  <c r="E49" i="3"/>
  <c r="G155" i="27"/>
  <c r="C156" i="27" s="1"/>
  <c r="D155" i="27"/>
  <c r="F155" i="27" s="1"/>
  <c r="F154" i="27"/>
  <c r="G126" i="23"/>
  <c r="C127" i="23" s="1"/>
  <c r="D126" i="23"/>
  <c r="F126" i="23" s="1"/>
  <c r="G21" i="1"/>
  <c r="G23" i="1" s="1"/>
  <c r="G26" i="1" s="1"/>
  <c r="G27" i="3" s="1"/>
  <c r="G43" i="3"/>
  <c r="G44" i="3"/>
  <c r="H21" i="1"/>
  <c r="H23" i="1" s="1"/>
  <c r="H26" i="1" s="1"/>
  <c r="H4" i="4" s="1"/>
  <c r="H16" i="4" s="1"/>
  <c r="H32" i="4" s="1"/>
  <c r="H33" i="4" s="1"/>
  <c r="H43" i="3"/>
  <c r="H44" i="3"/>
  <c r="F21" i="1"/>
  <c r="F23" i="1" s="1"/>
  <c r="F26" i="1" s="1"/>
  <c r="F43" i="3"/>
  <c r="F44" i="3"/>
  <c r="J44" i="3"/>
  <c r="J43" i="3"/>
  <c r="FH13" i="6"/>
  <c r="FG17" i="6"/>
  <c r="FG55" i="6" s="1"/>
  <c r="E45" i="3" l="1"/>
  <c r="E27" i="3"/>
  <c r="E4" i="4"/>
  <c r="E16" i="4" s="1"/>
  <c r="E32" i="4" s="1"/>
  <c r="E33" i="4" s="1"/>
  <c r="E35" i="4" s="1"/>
  <c r="D156" i="27"/>
  <c r="F156" i="27" s="1"/>
  <c r="G156" i="27"/>
  <c r="C157" i="27" s="1"/>
  <c r="G4" i="4"/>
  <c r="G16" i="4" s="1"/>
  <c r="G32" i="4" s="1"/>
  <c r="G33" i="4" s="1"/>
  <c r="D127" i="23"/>
  <c r="G127" i="23"/>
  <c r="C128" i="23" s="1"/>
  <c r="H27" i="3"/>
  <c r="H45" i="3"/>
  <c r="H47" i="3"/>
  <c r="F47" i="3"/>
  <c r="F45" i="3"/>
  <c r="F4" i="4"/>
  <c r="F16" i="4" s="1"/>
  <c r="F32" i="4" s="1"/>
  <c r="F33" i="4" s="1"/>
  <c r="F27" i="3"/>
  <c r="G47" i="3"/>
  <c r="G45" i="3"/>
  <c r="FI13" i="6"/>
  <c r="FH17" i="6"/>
  <c r="FH55" i="6" s="1"/>
  <c r="E19" i="3" l="1"/>
  <c r="F23" i="3"/>
  <c r="F34" i="4"/>
  <c r="F35" i="4" s="1"/>
  <c r="E15" i="3"/>
  <c r="D157" i="27"/>
  <c r="F157" i="27" s="1"/>
  <c r="G157" i="27"/>
  <c r="C158" i="27" s="1"/>
  <c r="G128" i="23"/>
  <c r="C129" i="23" s="1"/>
  <c r="D128" i="23"/>
  <c r="F128" i="23" s="1"/>
  <c r="F127" i="23"/>
  <c r="F19" i="3"/>
  <c r="G23" i="3"/>
  <c r="FJ13" i="6"/>
  <c r="FI17" i="6"/>
  <c r="FI55" i="6" s="1"/>
  <c r="F15" i="3" l="1"/>
  <c r="G34" i="4"/>
  <c r="G35" i="4" s="1"/>
  <c r="H34" i="4" s="1"/>
  <c r="H35" i="4" s="1"/>
  <c r="E36" i="3"/>
  <c r="E38" i="3" s="1"/>
  <c r="E51" i="3"/>
  <c r="E50" i="3"/>
  <c r="E46" i="3"/>
  <c r="D158" i="27"/>
  <c r="F158" i="27" s="1"/>
  <c r="G158" i="27"/>
  <c r="C159" i="27" s="1"/>
  <c r="G129" i="23"/>
  <c r="C130" i="23" s="1"/>
  <c r="D129" i="23"/>
  <c r="F129" i="23" s="1"/>
  <c r="G15" i="3"/>
  <c r="G19" i="3"/>
  <c r="H23" i="3"/>
  <c r="F36" i="3"/>
  <c r="F38" i="3" s="1"/>
  <c r="F50" i="3"/>
  <c r="F51" i="3"/>
  <c r="F46" i="3"/>
  <c r="FK13" i="6"/>
  <c r="FJ17" i="6"/>
  <c r="FJ55" i="6" s="1"/>
  <c r="J15" i="11"/>
  <c r="G159" i="27" l="1"/>
  <c r="D159" i="27"/>
  <c r="D130" i="23"/>
  <c r="F130" i="23" s="1"/>
  <c r="G130" i="23"/>
  <c r="C131" i="23" s="1"/>
  <c r="G36" i="3"/>
  <c r="G38" i="3" s="1"/>
  <c r="G50" i="3"/>
  <c r="G51" i="3"/>
  <c r="G46" i="3"/>
  <c r="H19" i="3"/>
  <c r="I23" i="3"/>
  <c r="I34" i="4"/>
  <c r="H15" i="3"/>
  <c r="FL13" i="6"/>
  <c r="FK17" i="6"/>
  <c r="FK55" i="6" s="1"/>
  <c r="I15" i="11"/>
  <c r="C17" i="11"/>
  <c r="C160" i="27" l="1"/>
  <c r="F159" i="27"/>
  <c r="I159" i="27"/>
  <c r="K159" i="27" s="1"/>
  <c r="G160" i="27"/>
  <c r="C161" i="27" s="1"/>
  <c r="D160" i="27"/>
  <c r="D17" i="11"/>
  <c r="G17" i="11"/>
  <c r="F17" i="11"/>
  <c r="C18" i="11"/>
  <c r="D131" i="23"/>
  <c r="F131" i="23" s="1"/>
  <c r="G131" i="23"/>
  <c r="C132" i="23" s="1"/>
  <c r="H36" i="3"/>
  <c r="H38" i="3" s="1"/>
  <c r="H50" i="3"/>
  <c r="H51" i="3"/>
  <c r="H46" i="3"/>
  <c r="FM13" i="6"/>
  <c r="FL17" i="6"/>
  <c r="FL55" i="6" s="1"/>
  <c r="K15" i="11"/>
  <c r="I29" i="4"/>
  <c r="F16" i="11"/>
  <c r="F160" i="27" l="1"/>
  <c r="D161" i="27"/>
  <c r="F161" i="27" s="1"/>
  <c r="G161" i="27"/>
  <c r="C162" i="27" s="1"/>
  <c r="G18" i="11"/>
  <c r="D18" i="11"/>
  <c r="F18" i="11" s="1"/>
  <c r="C19" i="11"/>
  <c r="D132" i="23"/>
  <c r="F132" i="23" s="1"/>
  <c r="G132" i="23"/>
  <c r="C133" i="23" s="1"/>
  <c r="FN13" i="6"/>
  <c r="FM17" i="6"/>
  <c r="FM55" i="6" s="1"/>
  <c r="I28" i="4"/>
  <c r="I21" i="1"/>
  <c r="I23" i="1" s="1"/>
  <c r="I26" i="1" s="1"/>
  <c r="J27" i="11"/>
  <c r="D162" i="27" l="1"/>
  <c r="G162" i="27"/>
  <c r="C163" i="27" s="1"/>
  <c r="G19" i="11"/>
  <c r="C20" i="11" s="1"/>
  <c r="D19" i="11"/>
  <c r="F19" i="11"/>
  <c r="D133" i="23"/>
  <c r="F133" i="23" s="1"/>
  <c r="G133" i="23"/>
  <c r="C134" i="23" s="1"/>
  <c r="I45" i="3"/>
  <c r="FO13" i="6"/>
  <c r="FN17" i="6"/>
  <c r="FN55" i="6" s="1"/>
  <c r="I27" i="3"/>
  <c r="J23" i="3" s="1"/>
  <c r="I4" i="4"/>
  <c r="I5" i="4"/>
  <c r="D163" i="27" l="1"/>
  <c r="F163" i="27" s="1"/>
  <c r="G163" i="27"/>
  <c r="C164" i="27" s="1"/>
  <c r="F162" i="27"/>
  <c r="D20" i="11"/>
  <c r="F20" i="11" s="1"/>
  <c r="G20" i="11"/>
  <c r="C21" i="11" s="1"/>
  <c r="G134" i="23"/>
  <c r="C135" i="23" s="1"/>
  <c r="D134" i="23"/>
  <c r="F134" i="23" s="1"/>
  <c r="FP13" i="6"/>
  <c r="FO17" i="6"/>
  <c r="FO55" i="6" s="1"/>
  <c r="I16" i="4"/>
  <c r="I19" i="3"/>
  <c r="G164" i="27" l="1"/>
  <c r="C165" i="27" s="1"/>
  <c r="D164" i="27"/>
  <c r="G21" i="11"/>
  <c r="C22" i="11" s="1"/>
  <c r="D21" i="11"/>
  <c r="F21" i="11" s="1"/>
  <c r="D135" i="23"/>
  <c r="G135" i="23"/>
  <c r="I51" i="3"/>
  <c r="I50" i="3"/>
  <c r="I46" i="3"/>
  <c r="FQ13" i="6"/>
  <c r="FQ48" i="6" s="1"/>
  <c r="FQ51" i="6"/>
  <c r="FQ49" i="6" s="1"/>
  <c r="FQ54" i="6" s="1"/>
  <c r="FP17" i="6"/>
  <c r="FP55" i="6" s="1"/>
  <c r="FQ55" i="6" s="1"/>
  <c r="D165" i="27" l="1"/>
  <c r="F165" i="27" s="1"/>
  <c r="G165" i="27"/>
  <c r="C166" i="27" s="1"/>
  <c r="F164" i="27"/>
  <c r="G22" i="11"/>
  <c r="D22" i="11"/>
  <c r="C23" i="11"/>
  <c r="F22" i="11"/>
  <c r="C136" i="23"/>
  <c r="F135" i="23"/>
  <c r="I135" i="23"/>
  <c r="FQ46" i="6"/>
  <c r="FP46" i="6" s="1"/>
  <c r="D166" i="27" l="1"/>
  <c r="G166" i="27"/>
  <c r="C167" i="27" s="1"/>
  <c r="G23" i="11"/>
  <c r="D23" i="11"/>
  <c r="F23" i="11"/>
  <c r="K135" i="23"/>
  <c r="O11" i="18"/>
  <c r="O15" i="18" s="1"/>
  <c r="G136" i="23"/>
  <c r="C137" i="23" s="1"/>
  <c r="D136" i="23"/>
  <c r="C24" i="11"/>
  <c r="F166" i="27" l="1"/>
  <c r="D167" i="27"/>
  <c r="F167" i="27" s="1"/>
  <c r="G167" i="27"/>
  <c r="C168" i="27" s="1"/>
  <c r="D24" i="11"/>
  <c r="F24" i="11" s="1"/>
  <c r="G24" i="11"/>
  <c r="C25" i="11" s="1"/>
  <c r="O26" i="18"/>
  <c r="O27" i="18" s="1"/>
  <c r="O28" i="18" s="1"/>
  <c r="O29" i="18" s="1"/>
  <c r="O12" i="18"/>
  <c r="F136" i="23"/>
  <c r="D137" i="23"/>
  <c r="F137" i="23" s="1"/>
  <c r="G137" i="23"/>
  <c r="C138" i="23" s="1"/>
  <c r="G168" i="27" l="1"/>
  <c r="C169" i="27" s="1"/>
  <c r="D168" i="27"/>
  <c r="G25" i="11"/>
  <c r="C26" i="11" s="1"/>
  <c r="D25" i="11"/>
  <c r="F25" i="11"/>
  <c r="G138" i="23"/>
  <c r="C139" i="23" s="1"/>
  <c r="D138" i="23"/>
  <c r="F138" i="23" s="1"/>
  <c r="D169" i="27" l="1"/>
  <c r="F169" i="27" s="1"/>
  <c r="G169" i="27"/>
  <c r="C170" i="27" s="1"/>
  <c r="F168" i="27"/>
  <c r="G26" i="11"/>
  <c r="C27" i="11" s="1"/>
  <c r="D26" i="11"/>
  <c r="F26" i="11" s="1"/>
  <c r="G139" i="23"/>
  <c r="C140" i="23" s="1"/>
  <c r="D139" i="23"/>
  <c r="D170" i="27" l="1"/>
  <c r="F170" i="27" s="1"/>
  <c r="G170" i="27"/>
  <c r="C171" i="27" s="1"/>
  <c r="G27" i="11"/>
  <c r="C28" i="11" s="1"/>
  <c r="D27" i="11"/>
  <c r="F27" i="11" s="1"/>
  <c r="D140" i="23"/>
  <c r="F140" i="23" s="1"/>
  <c r="G140" i="23"/>
  <c r="C141" i="23" s="1"/>
  <c r="F139" i="23"/>
  <c r="D171" i="27" l="1"/>
  <c r="G171" i="27"/>
  <c r="G141" i="23"/>
  <c r="C142" i="23" s="1"/>
  <c r="D141" i="23"/>
  <c r="I27" i="11"/>
  <c r="C172" i="27" l="1"/>
  <c r="D172" i="27" s="1"/>
  <c r="F171" i="27"/>
  <c r="I171" i="27"/>
  <c r="K171" i="27" s="1"/>
  <c r="D28" i="11"/>
  <c r="G28" i="11"/>
  <c r="F28" i="11"/>
  <c r="F11" i="5"/>
  <c r="F141" i="23"/>
  <c r="D142" i="23"/>
  <c r="F142" i="23" s="1"/>
  <c r="G142" i="23"/>
  <c r="C143" i="23" s="1"/>
  <c r="K27" i="11"/>
  <c r="J39" i="11"/>
  <c r="C29" i="11"/>
  <c r="G172" i="27" l="1"/>
  <c r="C173" i="27" s="1"/>
  <c r="G173" i="27" s="1"/>
  <c r="C174" i="27" s="1"/>
  <c r="F172" i="27"/>
  <c r="G29" i="11"/>
  <c r="C30" i="11" s="1"/>
  <c r="D29" i="11"/>
  <c r="F29" i="11" s="1"/>
  <c r="F12" i="5"/>
  <c r="F15" i="5"/>
  <c r="F26" i="5" s="1"/>
  <c r="F27" i="5" s="1"/>
  <c r="F28" i="5" s="1"/>
  <c r="F29" i="5" s="1"/>
  <c r="D143" i="23"/>
  <c r="G143" i="23"/>
  <c r="C144" i="23" s="1"/>
  <c r="J8" i="4"/>
  <c r="J21" i="1"/>
  <c r="D173" i="27" l="1"/>
  <c r="F173" i="27" s="1"/>
  <c r="D174" i="27"/>
  <c r="G174" i="27"/>
  <c r="C175" i="27" s="1"/>
  <c r="J23" i="1"/>
  <c r="J26" i="1" s="1"/>
  <c r="G30" i="11"/>
  <c r="C31" i="11" s="1"/>
  <c r="D30" i="11"/>
  <c r="F30" i="11" s="1"/>
  <c r="G144" i="23"/>
  <c r="C145" i="23" s="1"/>
  <c r="D144" i="23"/>
  <c r="F144" i="23" s="1"/>
  <c r="F143" i="23"/>
  <c r="J28" i="4"/>
  <c r="J25" i="4" s="1"/>
  <c r="J31" i="4" s="1"/>
  <c r="J5" i="4"/>
  <c r="D175" i="27" l="1"/>
  <c r="F175" i="27" s="1"/>
  <c r="G175" i="27"/>
  <c r="C176" i="27" s="1"/>
  <c r="F174" i="27"/>
  <c r="J27" i="3"/>
  <c r="J19" i="3" s="1"/>
  <c r="J36" i="3" s="1"/>
  <c r="J4" i="4"/>
  <c r="J16" i="4" s="1"/>
  <c r="J32" i="4" s="1"/>
  <c r="J33" i="4" s="1"/>
  <c r="J45" i="3"/>
  <c r="G31" i="11"/>
  <c r="C32" i="11" s="1"/>
  <c r="D31" i="11"/>
  <c r="F31" i="11" s="1"/>
  <c r="D145" i="23"/>
  <c r="F145" i="23" s="1"/>
  <c r="G145" i="23"/>
  <c r="C146" i="23" s="1"/>
  <c r="D176" i="27" l="1"/>
  <c r="G176" i="27"/>
  <c r="C177" i="27" s="1"/>
  <c r="K23" i="3"/>
  <c r="D32" i="11"/>
  <c r="F32" i="11" s="1"/>
  <c r="G32" i="11"/>
  <c r="C33" i="11" s="1"/>
  <c r="G146" i="23"/>
  <c r="C147" i="23" s="1"/>
  <c r="D146" i="23"/>
  <c r="F146" i="23" s="1"/>
  <c r="J51" i="3"/>
  <c r="J50" i="3"/>
  <c r="J46" i="3"/>
  <c r="G177" i="27" l="1"/>
  <c r="C178" i="27" s="1"/>
  <c r="D177" i="27"/>
  <c r="F177" i="27" s="1"/>
  <c r="F176" i="27"/>
  <c r="G33" i="11"/>
  <c r="C34" i="11" s="1"/>
  <c r="D33" i="11"/>
  <c r="F33" i="11" s="1"/>
  <c r="D147" i="23"/>
  <c r="G147" i="23"/>
  <c r="D178" i="27" l="1"/>
  <c r="F178" i="27" s="1"/>
  <c r="G178" i="27"/>
  <c r="C179" i="27" s="1"/>
  <c r="G34" i="11"/>
  <c r="C35" i="11" s="1"/>
  <c r="D34" i="11"/>
  <c r="F34" i="11" s="1"/>
  <c r="C148" i="23"/>
  <c r="F147" i="23"/>
  <c r="I147" i="23"/>
  <c r="D179" i="27" l="1"/>
  <c r="G179" i="27"/>
  <c r="C180" i="27" s="1"/>
  <c r="G35" i="11"/>
  <c r="D35" i="11"/>
  <c r="C36" i="11"/>
  <c r="F35" i="11"/>
  <c r="K147" i="23"/>
  <c r="P11" i="18"/>
  <c r="P15" i="18" s="1"/>
  <c r="D148" i="23"/>
  <c r="G148" i="23"/>
  <c r="C149" i="23" s="1"/>
  <c r="D180" i="27" l="1"/>
  <c r="F180" i="27" s="1"/>
  <c r="G180" i="27"/>
  <c r="C181" i="27" s="1"/>
  <c r="F179" i="27"/>
  <c r="D36" i="11"/>
  <c r="F36" i="11" s="1"/>
  <c r="G36" i="11"/>
  <c r="C37" i="11" s="1"/>
  <c r="P26" i="18"/>
  <c r="P27" i="18" s="1"/>
  <c r="P28" i="18" s="1"/>
  <c r="P29" i="18" s="1"/>
  <c r="P12" i="18"/>
  <c r="G149" i="23"/>
  <c r="C150" i="23" s="1"/>
  <c r="D149" i="23"/>
  <c r="F149" i="23" s="1"/>
  <c r="F148" i="23"/>
  <c r="G181" i="27" l="1"/>
  <c r="C182" i="27" s="1"/>
  <c r="D181" i="27"/>
  <c r="F181" i="27" s="1"/>
  <c r="G37" i="11"/>
  <c r="C38" i="11" s="1"/>
  <c r="D37" i="11"/>
  <c r="F37" i="11"/>
  <c r="G150" i="23"/>
  <c r="C151" i="23" s="1"/>
  <c r="D150" i="23"/>
  <c r="D182" i="27" l="1"/>
  <c r="F182" i="27" s="1"/>
  <c r="G182" i="27"/>
  <c r="C183" i="27" s="1"/>
  <c r="G38" i="11"/>
  <c r="C39" i="11" s="1"/>
  <c r="D38" i="11"/>
  <c r="F38" i="11" s="1"/>
  <c r="G151" i="23"/>
  <c r="C152" i="23" s="1"/>
  <c r="D151" i="23"/>
  <c r="F151" i="23" s="1"/>
  <c r="F150" i="23"/>
  <c r="D183" i="27" l="1"/>
  <c r="G183" i="27"/>
  <c r="G39" i="11"/>
  <c r="D39" i="11"/>
  <c r="F39" i="11"/>
  <c r="G152" i="23"/>
  <c r="C153" i="23" s="1"/>
  <c r="D152" i="23"/>
  <c r="F152" i="23" s="1"/>
  <c r="C40" i="11"/>
  <c r="I39" i="11"/>
  <c r="C184" i="27" l="1"/>
  <c r="D184" i="27" s="1"/>
  <c r="F183" i="27"/>
  <c r="I183" i="27"/>
  <c r="K183" i="27" s="1"/>
  <c r="D40" i="11"/>
  <c r="G40" i="11"/>
  <c r="C41" i="11" s="1"/>
  <c r="F40" i="11"/>
  <c r="G11" i="5"/>
  <c r="G12" i="5" s="1"/>
  <c r="K19" i="1"/>
  <c r="D153" i="23"/>
  <c r="F153" i="23" s="1"/>
  <c r="G153" i="23"/>
  <c r="C154" i="23" s="1"/>
  <c r="K39" i="11"/>
  <c r="J159" i="11"/>
  <c r="J63" i="11"/>
  <c r="E196" i="11"/>
  <c r="J51" i="11"/>
  <c r="J123" i="11"/>
  <c r="J87" i="11"/>
  <c r="J135" i="11"/>
  <c r="J147" i="11"/>
  <c r="J75" i="11"/>
  <c r="J111" i="11"/>
  <c r="J99" i="11"/>
  <c r="G184" i="27" l="1"/>
  <c r="C185" i="27" s="1"/>
  <c r="D185" i="27" s="1"/>
  <c r="F185" i="27" s="1"/>
  <c r="F184" i="27"/>
  <c r="G41" i="11"/>
  <c r="C42" i="11" s="1"/>
  <c r="D41" i="11"/>
  <c r="F41" i="11" s="1"/>
  <c r="G15" i="5"/>
  <c r="G26" i="5" s="1"/>
  <c r="G27" i="5" s="1"/>
  <c r="G28" i="5" s="1"/>
  <c r="G29" i="5" s="1"/>
  <c r="K8" i="4"/>
  <c r="K21" i="1"/>
  <c r="K23" i="1" s="1"/>
  <c r="K24" i="1" s="1"/>
  <c r="K26" i="1" s="1"/>
  <c r="O26" i="4"/>
  <c r="N26" i="4"/>
  <c r="G154" i="23"/>
  <c r="C155" i="23" s="1"/>
  <c r="D154" i="23"/>
  <c r="G185" i="27" l="1"/>
  <c r="C186" i="27" s="1"/>
  <c r="G186" i="27" s="1"/>
  <c r="C187" i="27" s="1"/>
  <c r="G42" i="11"/>
  <c r="C43" i="11" s="1"/>
  <c r="D42" i="11"/>
  <c r="F42" i="11" s="1"/>
  <c r="K27" i="3"/>
  <c r="K45" i="3"/>
  <c r="K4" i="4"/>
  <c r="K28" i="4"/>
  <c r="K25" i="4" s="1"/>
  <c r="K31" i="4" s="1"/>
  <c r="K5" i="4"/>
  <c r="F154" i="23"/>
  <c r="G155" i="23"/>
  <c r="C156" i="23" s="1"/>
  <c r="D155" i="23"/>
  <c r="F155" i="23" s="1"/>
  <c r="D186" i="27" l="1"/>
  <c r="F186" i="27" s="1"/>
  <c r="D187" i="27"/>
  <c r="F187" i="27" s="1"/>
  <c r="G187" i="27"/>
  <c r="C188" i="27" s="1"/>
  <c r="G43" i="11"/>
  <c r="C44" i="11" s="1"/>
  <c r="D43" i="11"/>
  <c r="F43" i="11" s="1"/>
  <c r="K16" i="4"/>
  <c r="K32" i="4" s="1"/>
  <c r="K33" i="4" s="1"/>
  <c r="L23" i="3"/>
  <c r="K19" i="3"/>
  <c r="D156" i="23"/>
  <c r="F156" i="23" s="1"/>
  <c r="G156" i="23"/>
  <c r="C157" i="23" s="1"/>
  <c r="D188" i="27" l="1"/>
  <c r="F188" i="27" s="1"/>
  <c r="G188" i="27"/>
  <c r="C189" i="27" s="1"/>
  <c r="D44" i="11"/>
  <c r="F44" i="11" s="1"/>
  <c r="G44" i="11"/>
  <c r="C45" i="11" s="1"/>
  <c r="K50" i="3"/>
  <c r="K51" i="3"/>
  <c r="K46" i="3"/>
  <c r="G157" i="23"/>
  <c r="C158" i="23" s="1"/>
  <c r="D157" i="23"/>
  <c r="F157" i="23" s="1"/>
  <c r="D189" i="27" l="1"/>
  <c r="F189" i="27" s="1"/>
  <c r="G189" i="27"/>
  <c r="C190" i="27" s="1"/>
  <c r="G45" i="11"/>
  <c r="C46" i="11" s="1"/>
  <c r="D45" i="11"/>
  <c r="F45" i="11" s="1"/>
  <c r="D158" i="23"/>
  <c r="F158" i="23" s="1"/>
  <c r="G158" i="23"/>
  <c r="C159" i="23" s="1"/>
  <c r="G190" i="27" l="1"/>
  <c r="C191" i="27" s="1"/>
  <c r="D190" i="27"/>
  <c r="F190" i="27" s="1"/>
  <c r="G46" i="11"/>
  <c r="C47" i="11" s="1"/>
  <c r="D46" i="11"/>
  <c r="F46" i="11" s="1"/>
  <c r="D159" i="23"/>
  <c r="G159" i="23"/>
  <c r="D191" i="27" l="1"/>
  <c r="F191" i="27" s="1"/>
  <c r="G191" i="27"/>
  <c r="C192" i="27" s="1"/>
  <c r="G47" i="11"/>
  <c r="C48" i="11" s="1"/>
  <c r="D47" i="11"/>
  <c r="F47" i="11" s="1"/>
  <c r="C160" i="23"/>
  <c r="F159" i="23"/>
  <c r="I159" i="23"/>
  <c r="D192" i="27" l="1"/>
  <c r="F192" i="27" s="1"/>
  <c r="G192" i="27"/>
  <c r="C193" i="27" s="1"/>
  <c r="D48" i="11"/>
  <c r="F48" i="11" s="1"/>
  <c r="G48" i="11"/>
  <c r="C49" i="11" s="1"/>
  <c r="K159" i="23"/>
  <c r="Q11" i="18"/>
  <c r="Q15" i="18" s="1"/>
  <c r="D160" i="23"/>
  <c r="G160" i="23"/>
  <c r="C161" i="23" s="1"/>
  <c r="D193" i="27" l="1"/>
  <c r="F193" i="27" s="1"/>
  <c r="G193" i="27"/>
  <c r="C194" i="27" s="1"/>
  <c r="G49" i="11"/>
  <c r="C50" i="11" s="1"/>
  <c r="D49" i="11"/>
  <c r="F49" i="11" s="1"/>
  <c r="Q26" i="18"/>
  <c r="Q27" i="18" s="1"/>
  <c r="Q28" i="18" s="1"/>
  <c r="Q29" i="18" s="1"/>
  <c r="Q12" i="18"/>
  <c r="D161" i="23"/>
  <c r="F161" i="23" s="1"/>
  <c r="G161" i="23"/>
  <c r="C162" i="23" s="1"/>
  <c r="F160" i="23"/>
  <c r="G194" i="27" l="1"/>
  <c r="C195" i="27" s="1"/>
  <c r="D194" i="27"/>
  <c r="F194" i="27" s="1"/>
  <c r="G50" i="11"/>
  <c r="C51" i="11" s="1"/>
  <c r="D50" i="11"/>
  <c r="F50" i="11" s="1"/>
  <c r="D162" i="23"/>
  <c r="G162" i="23"/>
  <c r="C163" i="23" s="1"/>
  <c r="D195" i="27" l="1"/>
  <c r="G195" i="27"/>
  <c r="G51" i="11"/>
  <c r="D51" i="11"/>
  <c r="F51" i="11" s="1"/>
  <c r="D163" i="23"/>
  <c r="F163" i="23" s="1"/>
  <c r="G163" i="23"/>
  <c r="C164" i="23" s="1"/>
  <c r="F162" i="23"/>
  <c r="F195" i="27" l="1"/>
  <c r="D196" i="27"/>
  <c r="I195" i="27"/>
  <c r="K195" i="27" s="1"/>
  <c r="C52" i="11"/>
  <c r="I51" i="11"/>
  <c r="L19" i="1" s="1"/>
  <c r="D164" i="23"/>
  <c r="G164" i="23"/>
  <c r="C165" i="23" s="1"/>
  <c r="D52" i="11" l="1"/>
  <c r="F52" i="11" s="1"/>
  <c r="G52" i="11"/>
  <c r="C53" i="11" s="1"/>
  <c r="H11" i="5"/>
  <c r="K51" i="11"/>
  <c r="L8" i="4"/>
  <c r="D165" i="23"/>
  <c r="F165" i="23" s="1"/>
  <c r="G165" i="23"/>
  <c r="C166" i="23" s="1"/>
  <c r="F164" i="23"/>
  <c r="G53" i="11" l="1"/>
  <c r="C54" i="11" s="1"/>
  <c r="D53" i="11"/>
  <c r="F53" i="11" s="1"/>
  <c r="H15" i="5"/>
  <c r="H26" i="5" s="1"/>
  <c r="H12" i="5"/>
  <c r="L28" i="4"/>
  <c r="L25" i="4" s="1"/>
  <c r="L31" i="4" s="1"/>
  <c r="D166" i="23"/>
  <c r="G166" i="23"/>
  <c r="C167" i="23" s="1"/>
  <c r="G54" i="11" l="1"/>
  <c r="C55" i="11" s="1"/>
  <c r="D54" i="11"/>
  <c r="F54" i="11" s="1"/>
  <c r="H27" i="5"/>
  <c r="H28" i="5" s="1"/>
  <c r="H29" i="5" s="1"/>
  <c r="G167" i="23"/>
  <c r="C168" i="23" s="1"/>
  <c r="D167" i="23"/>
  <c r="F167" i="23" s="1"/>
  <c r="F166" i="23"/>
  <c r="G55" i="11" l="1"/>
  <c r="C56" i="11" s="1"/>
  <c r="D55" i="11"/>
  <c r="F55" i="11" s="1"/>
  <c r="D168" i="23"/>
  <c r="F168" i="23" s="1"/>
  <c r="G168" i="23"/>
  <c r="C169" i="23" s="1"/>
  <c r="D56" i="11" l="1"/>
  <c r="F56" i="11" s="1"/>
  <c r="G56" i="11"/>
  <c r="C57" i="11" s="1"/>
  <c r="D169" i="23"/>
  <c r="F169" i="23" s="1"/>
  <c r="G169" i="23"/>
  <c r="C170" i="23" s="1"/>
  <c r="G57" i="11" l="1"/>
  <c r="C58" i="11" s="1"/>
  <c r="D57" i="11"/>
  <c r="F57" i="11" s="1"/>
  <c r="D170" i="23"/>
  <c r="F170" i="23" s="1"/>
  <c r="G170" i="23"/>
  <c r="C171" i="23" s="1"/>
  <c r="G58" i="11" l="1"/>
  <c r="C59" i="11" s="1"/>
  <c r="D58" i="11"/>
  <c r="F58" i="11" s="1"/>
  <c r="G171" i="23"/>
  <c r="D171" i="23"/>
  <c r="G59" i="11" l="1"/>
  <c r="C60" i="11" s="1"/>
  <c r="D59" i="11"/>
  <c r="F59" i="11" s="1"/>
  <c r="F171" i="23"/>
  <c r="I171" i="23"/>
  <c r="C172" i="23"/>
  <c r="D60" i="11" l="1"/>
  <c r="F60" i="11" s="1"/>
  <c r="G60" i="11"/>
  <c r="C61" i="11" s="1"/>
  <c r="K171" i="23"/>
  <c r="R11" i="18"/>
  <c r="R15" i="18" s="1"/>
  <c r="G172" i="23"/>
  <c r="C173" i="23" s="1"/>
  <c r="D172" i="23"/>
  <c r="G61" i="11" l="1"/>
  <c r="C62" i="11" s="1"/>
  <c r="D61" i="11"/>
  <c r="F61" i="11" s="1"/>
  <c r="R26" i="18"/>
  <c r="R27" i="18" s="1"/>
  <c r="R28" i="18" s="1"/>
  <c r="R29" i="18" s="1"/>
  <c r="R12" i="18"/>
  <c r="F172" i="23"/>
  <c r="D173" i="23"/>
  <c r="F173" i="23" s="1"/>
  <c r="G173" i="23"/>
  <c r="C174" i="23" s="1"/>
  <c r="G62" i="11" l="1"/>
  <c r="C63" i="11" s="1"/>
  <c r="D62" i="11"/>
  <c r="F62" i="11" s="1"/>
  <c r="G174" i="23"/>
  <c r="C175" i="23" s="1"/>
  <c r="D174" i="23"/>
  <c r="F174" i="23" s="1"/>
  <c r="G63" i="11" l="1"/>
  <c r="D63" i="11"/>
  <c r="G175" i="23"/>
  <c r="C176" i="23" s="1"/>
  <c r="D175" i="23"/>
  <c r="F175" i="23" s="1"/>
  <c r="I63" i="11" l="1"/>
  <c r="F63" i="11"/>
  <c r="C64" i="11"/>
  <c r="D176" i="23"/>
  <c r="G176" i="23"/>
  <c r="C177" i="23" s="1"/>
  <c r="D64" i="11" l="1"/>
  <c r="F64" i="11" s="1"/>
  <c r="G64" i="11"/>
  <c r="C65" i="11" s="1"/>
  <c r="I11" i="5"/>
  <c r="M19" i="1"/>
  <c r="M8" i="4" s="1"/>
  <c r="M28" i="4" s="1"/>
  <c r="M25" i="4" s="1"/>
  <c r="M31" i="4" s="1"/>
  <c r="K63" i="11"/>
  <c r="F176" i="23"/>
  <c r="D177" i="23"/>
  <c r="F177" i="23" s="1"/>
  <c r="G177" i="23"/>
  <c r="C178" i="23" s="1"/>
  <c r="I15" i="5" l="1"/>
  <c r="I26" i="5" s="1"/>
  <c r="I27" i="5" s="1"/>
  <c r="I28" i="5" s="1"/>
  <c r="I29" i="5" s="1"/>
  <c r="I12" i="5"/>
  <c r="G65" i="11"/>
  <c r="C66" i="11" s="1"/>
  <c r="D65" i="11"/>
  <c r="F65" i="11" s="1"/>
  <c r="G178" i="23"/>
  <c r="C179" i="23" s="1"/>
  <c r="D178" i="23"/>
  <c r="G66" i="11" l="1"/>
  <c r="C67" i="11" s="1"/>
  <c r="D66" i="11"/>
  <c r="F66" i="11" s="1"/>
  <c r="F178" i="23"/>
  <c r="G179" i="23"/>
  <c r="C180" i="23" s="1"/>
  <c r="D179" i="23"/>
  <c r="F179" i="23" s="1"/>
  <c r="G67" i="11" l="1"/>
  <c r="C68" i="11" s="1"/>
  <c r="D67" i="11"/>
  <c r="F67" i="11" s="1"/>
  <c r="G180" i="23"/>
  <c r="C181" i="23" s="1"/>
  <c r="D180" i="23"/>
  <c r="D68" i="11" l="1"/>
  <c r="F68" i="11" s="1"/>
  <c r="G68" i="11"/>
  <c r="C69" i="11" s="1"/>
  <c r="F180" i="23"/>
  <c r="G181" i="23"/>
  <c r="C182" i="23" s="1"/>
  <c r="D181" i="23"/>
  <c r="F181" i="23" s="1"/>
  <c r="G69" i="11" l="1"/>
  <c r="C70" i="11" s="1"/>
  <c r="D69" i="11"/>
  <c r="F69" i="11" s="1"/>
  <c r="D182" i="23"/>
  <c r="F182" i="23" s="1"/>
  <c r="G182" i="23"/>
  <c r="C183" i="23" s="1"/>
  <c r="G70" i="11" l="1"/>
  <c r="C71" i="11" s="1"/>
  <c r="D70" i="11"/>
  <c r="F70" i="11" s="1"/>
  <c r="D183" i="23"/>
  <c r="G183" i="23"/>
  <c r="G71" i="11" l="1"/>
  <c r="C72" i="11" s="1"/>
  <c r="D71" i="11"/>
  <c r="F71" i="11" s="1"/>
  <c r="C184" i="23"/>
  <c r="F183" i="23"/>
  <c r="I183" i="23"/>
  <c r="D72" i="11" l="1"/>
  <c r="F72" i="11" s="1"/>
  <c r="G72" i="11"/>
  <c r="C73" i="11" s="1"/>
  <c r="K183" i="23"/>
  <c r="S11" i="18"/>
  <c r="S15" i="18" s="1"/>
  <c r="G184" i="23"/>
  <c r="C185" i="23" s="1"/>
  <c r="D184" i="23"/>
  <c r="G73" i="11" l="1"/>
  <c r="C74" i="11" s="1"/>
  <c r="D73" i="11"/>
  <c r="F73" i="11" s="1"/>
  <c r="S26" i="18"/>
  <c r="S27" i="18" s="1"/>
  <c r="S28" i="18" s="1"/>
  <c r="S29" i="18" s="1"/>
  <c r="S12" i="18"/>
  <c r="F184" i="23"/>
  <c r="D185" i="23"/>
  <c r="F185" i="23" s="1"/>
  <c r="G185" i="23"/>
  <c r="C186" i="23" s="1"/>
  <c r="G74" i="11" l="1"/>
  <c r="C75" i="11" s="1"/>
  <c r="D74" i="11"/>
  <c r="F74" i="11" s="1"/>
  <c r="D186" i="23"/>
  <c r="F186" i="23" s="1"/>
  <c r="G186" i="23"/>
  <c r="C187" i="23" s="1"/>
  <c r="G75" i="11" l="1"/>
  <c r="D75" i="11"/>
  <c r="D187" i="23"/>
  <c r="F187" i="23" s="1"/>
  <c r="G187" i="23"/>
  <c r="C188" i="23" s="1"/>
  <c r="F75" i="11" l="1"/>
  <c r="I75" i="11"/>
  <c r="C76" i="11"/>
  <c r="D188" i="23"/>
  <c r="F188" i="23" s="1"/>
  <c r="G188" i="23"/>
  <c r="C189" i="23" s="1"/>
  <c r="D76" i="11" l="1"/>
  <c r="F76" i="11" s="1"/>
  <c r="G76" i="11"/>
  <c r="C77" i="11" s="1"/>
  <c r="K75" i="11"/>
  <c r="N19" i="1"/>
  <c r="N8" i="4" s="1"/>
  <c r="N28" i="4" s="1"/>
  <c r="N25" i="4" s="1"/>
  <c r="N31" i="4" s="1"/>
  <c r="J11" i="5"/>
  <c r="G189" i="23"/>
  <c r="C190" i="23" s="1"/>
  <c r="D189" i="23"/>
  <c r="G77" i="11" l="1"/>
  <c r="C78" i="11" s="1"/>
  <c r="D77" i="11"/>
  <c r="F77" i="11" s="1"/>
  <c r="J12" i="5"/>
  <c r="J15" i="5"/>
  <c r="J26" i="5" s="1"/>
  <c r="J27" i="5" s="1"/>
  <c r="J28" i="5" s="1"/>
  <c r="J29" i="5" s="1"/>
  <c r="F189" i="23"/>
  <c r="D190" i="23"/>
  <c r="F190" i="23" s="1"/>
  <c r="G190" i="23"/>
  <c r="C191" i="23" s="1"/>
  <c r="G78" i="11" l="1"/>
  <c r="C79" i="11" s="1"/>
  <c r="D78" i="11"/>
  <c r="F78" i="11" s="1"/>
  <c r="D191" i="23"/>
  <c r="F191" i="23" s="1"/>
  <c r="G191" i="23"/>
  <c r="C192" i="23" s="1"/>
  <c r="G79" i="11" l="1"/>
  <c r="C80" i="11" s="1"/>
  <c r="D79" i="11"/>
  <c r="F79" i="11" s="1"/>
  <c r="G192" i="23"/>
  <c r="C193" i="23" s="1"/>
  <c r="D192" i="23"/>
  <c r="F192" i="23" s="1"/>
  <c r="D80" i="11" l="1"/>
  <c r="F80" i="11" s="1"/>
  <c r="G80" i="11"/>
  <c r="C81" i="11" s="1"/>
  <c r="G193" i="23"/>
  <c r="C194" i="23" s="1"/>
  <c r="D193" i="23"/>
  <c r="F193" i="23" s="1"/>
  <c r="G81" i="11" l="1"/>
  <c r="C82" i="11" s="1"/>
  <c r="D81" i="11"/>
  <c r="F81" i="11" s="1"/>
  <c r="D194" i="23"/>
  <c r="F194" i="23" s="1"/>
  <c r="G194" i="23"/>
  <c r="C195" i="23" s="1"/>
  <c r="G82" i="11" l="1"/>
  <c r="C83" i="11" s="1"/>
  <c r="D82" i="11"/>
  <c r="F82" i="11" s="1"/>
  <c r="G195" i="23"/>
  <c r="D195" i="23"/>
  <c r="G83" i="11" l="1"/>
  <c r="C84" i="11" s="1"/>
  <c r="D83" i="11"/>
  <c r="F83" i="11" s="1"/>
  <c r="F195" i="23"/>
  <c r="D196" i="23"/>
  <c r="I195" i="23"/>
  <c r="D84" i="11" l="1"/>
  <c r="F84" i="11" s="1"/>
  <c r="G84" i="11"/>
  <c r="C85" i="11" s="1"/>
  <c r="K195" i="23"/>
  <c r="T11" i="18"/>
  <c r="T15" i="18" s="1"/>
  <c r="G85" i="11" l="1"/>
  <c r="C86" i="11" s="1"/>
  <c r="D85" i="11"/>
  <c r="F85" i="11" s="1"/>
  <c r="T26" i="18"/>
  <c r="T27" i="18" s="1"/>
  <c r="T28" i="18" s="1"/>
  <c r="T29" i="18" s="1"/>
  <c r="T12" i="18"/>
  <c r="G86" i="11" l="1"/>
  <c r="C87" i="11" s="1"/>
  <c r="D86" i="11"/>
  <c r="F86" i="11" l="1"/>
  <c r="G87" i="11"/>
  <c r="D87" i="11"/>
  <c r="F87" i="11" s="1"/>
  <c r="I87" i="11" l="1"/>
  <c r="C88" i="11"/>
  <c r="O19" i="1" l="1"/>
  <c r="O8" i="4" s="1"/>
  <c r="O28" i="4" s="1"/>
  <c r="O25" i="4" s="1"/>
  <c r="O31" i="4" s="1"/>
  <c r="K87" i="11"/>
  <c r="K11" i="5"/>
  <c r="K12" i="5" s="1"/>
  <c r="D88" i="11"/>
  <c r="F88" i="11" s="1"/>
  <c r="G88" i="11"/>
  <c r="C89" i="11" s="1"/>
  <c r="K15" i="5" l="1"/>
  <c r="K26" i="5" s="1"/>
  <c r="K27" i="5" s="1"/>
  <c r="K28" i="5" s="1"/>
  <c r="K29" i="5" s="1"/>
  <c r="G89" i="11"/>
  <c r="C90" i="11" s="1"/>
  <c r="D89" i="11"/>
  <c r="F89" i="11" s="1"/>
  <c r="G90" i="11" l="1"/>
  <c r="C91" i="11" s="1"/>
  <c r="D90" i="11"/>
  <c r="F90" i="11" s="1"/>
  <c r="G91" i="11" l="1"/>
  <c r="C92" i="11" s="1"/>
  <c r="D91" i="11"/>
  <c r="F91" i="11" s="1"/>
  <c r="D92" i="11" l="1"/>
  <c r="F92" i="11" s="1"/>
  <c r="G92" i="11"/>
  <c r="C93" i="11" s="1"/>
  <c r="G93" i="11" l="1"/>
  <c r="C94" i="11" s="1"/>
  <c r="D93" i="11"/>
  <c r="F93" i="11" s="1"/>
  <c r="G94" i="11" l="1"/>
  <c r="C95" i="11" s="1"/>
  <c r="D94" i="11"/>
  <c r="F94" i="11" s="1"/>
  <c r="G95" i="11" l="1"/>
  <c r="C96" i="11" s="1"/>
  <c r="D95" i="11"/>
  <c r="F95" i="11" s="1"/>
  <c r="D96" i="11" l="1"/>
  <c r="F96" i="11" s="1"/>
  <c r="G96" i="11"/>
  <c r="C97" i="11" s="1"/>
  <c r="G97" i="11" l="1"/>
  <c r="C98" i="11" s="1"/>
  <c r="D97" i="11"/>
  <c r="F97" i="11" l="1"/>
  <c r="G98" i="11"/>
  <c r="C99" i="11" s="1"/>
  <c r="D98" i="11"/>
  <c r="F98" i="11" s="1"/>
  <c r="D99" i="11" l="1"/>
  <c r="G99" i="11"/>
  <c r="C100" i="11" l="1"/>
  <c r="F99" i="11"/>
  <c r="I99" i="11"/>
  <c r="D100" i="11" l="1"/>
  <c r="F100" i="11" s="1"/>
  <c r="G100" i="11"/>
  <c r="C101" i="11" s="1"/>
  <c r="L11" i="5"/>
  <c r="K99" i="11"/>
  <c r="G101" i="11" l="1"/>
  <c r="C102" i="11" s="1"/>
  <c r="D101" i="11"/>
  <c r="F101" i="11" s="1"/>
  <c r="L15" i="5"/>
  <c r="L26" i="5" s="1"/>
  <c r="L27" i="5" s="1"/>
  <c r="L28" i="5" s="1"/>
  <c r="L29" i="5" s="1"/>
  <c r="L12" i="5"/>
  <c r="G102" i="11" l="1"/>
  <c r="C103" i="11" s="1"/>
  <c r="D102" i="11"/>
  <c r="F102" i="11" s="1"/>
  <c r="G103" i="11" l="1"/>
  <c r="C104" i="11" s="1"/>
  <c r="D103" i="11"/>
  <c r="F103" i="11" s="1"/>
  <c r="D104" i="11" l="1"/>
  <c r="F104" i="11" s="1"/>
  <c r="G104" i="11"/>
  <c r="C105" i="11" s="1"/>
  <c r="G105" i="11" l="1"/>
  <c r="C106" i="11" s="1"/>
  <c r="D105" i="11"/>
  <c r="F105" i="11" s="1"/>
  <c r="G106" i="11" l="1"/>
  <c r="C107" i="11" s="1"/>
  <c r="D106" i="11"/>
  <c r="F106" i="11" s="1"/>
  <c r="G107" i="11" l="1"/>
  <c r="C108" i="11" s="1"/>
  <c r="D107" i="11"/>
  <c r="F107" i="11" s="1"/>
  <c r="D108" i="11" l="1"/>
  <c r="G108" i="11"/>
  <c r="C109" i="11" s="1"/>
  <c r="G109" i="11" l="1"/>
  <c r="C110" i="11" s="1"/>
  <c r="D109" i="11"/>
  <c r="F109" i="11" s="1"/>
  <c r="F108" i="11"/>
  <c r="G110" i="11" l="1"/>
  <c r="C111" i="11" s="1"/>
  <c r="D110" i="11"/>
  <c r="F110" i="11" l="1"/>
  <c r="G111" i="11"/>
  <c r="D111" i="11"/>
  <c r="F111" i="11" s="1"/>
  <c r="I111" i="11" l="1"/>
  <c r="C112" i="11"/>
  <c r="M11" i="5" l="1"/>
  <c r="K111" i="11"/>
  <c r="M12" i="5"/>
  <c r="M15" i="5"/>
  <c r="M26" i="5" s="1"/>
  <c r="M27" i="5" s="1"/>
  <c r="M28" i="5" s="1"/>
  <c r="M29" i="5" s="1"/>
  <c r="D112" i="11"/>
  <c r="F112" i="11" s="1"/>
  <c r="G112" i="11"/>
  <c r="C113" i="11" s="1"/>
  <c r="G113" i="11" l="1"/>
  <c r="C114" i="11" s="1"/>
  <c r="D113" i="11"/>
  <c r="F113" i="11" s="1"/>
  <c r="G114" i="11" l="1"/>
  <c r="C115" i="11" s="1"/>
  <c r="D114" i="11"/>
  <c r="F114" i="11" s="1"/>
  <c r="G115" i="11" l="1"/>
  <c r="C116" i="11" s="1"/>
  <c r="D115" i="11"/>
  <c r="F115" i="11" s="1"/>
  <c r="D116" i="11" l="1"/>
  <c r="F116" i="11" s="1"/>
  <c r="G116" i="11"/>
  <c r="C117" i="11" s="1"/>
  <c r="G117" i="11" l="1"/>
  <c r="C118" i="11" s="1"/>
  <c r="D117" i="11"/>
  <c r="F117" i="11" s="1"/>
  <c r="G118" i="11" l="1"/>
  <c r="C119" i="11" s="1"/>
  <c r="D118" i="11"/>
  <c r="F118" i="11" s="1"/>
  <c r="G119" i="11" l="1"/>
  <c r="C120" i="11" s="1"/>
  <c r="D119" i="11"/>
  <c r="F119" i="11" s="1"/>
  <c r="D120" i="11" l="1"/>
  <c r="G120" i="11"/>
  <c r="C121" i="11" s="1"/>
  <c r="G121" i="11" l="1"/>
  <c r="C122" i="11" s="1"/>
  <c r="D121" i="11"/>
  <c r="F121" i="11" s="1"/>
  <c r="F120" i="11"/>
  <c r="G122" i="11" l="1"/>
  <c r="C123" i="11" s="1"/>
  <c r="D122" i="11"/>
  <c r="F122" i="11" s="1"/>
  <c r="G123" i="11" l="1"/>
  <c r="D123" i="11"/>
  <c r="F123" i="11" l="1"/>
  <c r="I123" i="11"/>
  <c r="C124" i="11"/>
  <c r="D124" i="11" l="1"/>
  <c r="F124" i="11" s="1"/>
  <c r="G124" i="11"/>
  <c r="C125" i="11" s="1"/>
  <c r="K123" i="11"/>
  <c r="N11" i="5"/>
  <c r="G125" i="11" l="1"/>
  <c r="C126" i="11" s="1"/>
  <c r="D125" i="11"/>
  <c r="F125" i="11" s="1"/>
  <c r="N12" i="5"/>
  <c r="N15" i="5"/>
  <c r="N26" i="5" s="1"/>
  <c r="N27" i="5" s="1"/>
  <c r="N28" i="5" s="1"/>
  <c r="N29" i="5" s="1"/>
  <c r="G126" i="11" l="1"/>
  <c r="C127" i="11" s="1"/>
  <c r="D126" i="11"/>
  <c r="F126" i="11" s="1"/>
  <c r="D127" i="11" l="1"/>
  <c r="F127" i="11" s="1"/>
  <c r="G127" i="11"/>
  <c r="C128" i="11" s="1"/>
  <c r="D128" i="11" l="1"/>
  <c r="F128" i="11" s="1"/>
  <c r="G128" i="11"/>
  <c r="C129" i="11" s="1"/>
  <c r="G129" i="11" l="1"/>
  <c r="C130" i="11" s="1"/>
  <c r="D129" i="11"/>
  <c r="F129" i="11" s="1"/>
  <c r="G130" i="11" l="1"/>
  <c r="C131" i="11" s="1"/>
  <c r="D130" i="11"/>
  <c r="F130" i="11" s="1"/>
  <c r="G131" i="11" l="1"/>
  <c r="C132" i="11" s="1"/>
  <c r="D131" i="11"/>
  <c r="F131" i="11" s="1"/>
  <c r="D132" i="11" l="1"/>
  <c r="F132" i="11" s="1"/>
  <c r="G132" i="11"/>
  <c r="C133" i="11" s="1"/>
  <c r="G133" i="11" l="1"/>
  <c r="C134" i="11" s="1"/>
  <c r="D133" i="11"/>
  <c r="F133" i="11" l="1"/>
  <c r="G134" i="11"/>
  <c r="C135" i="11" s="1"/>
  <c r="D134" i="11"/>
  <c r="F134" i="11" s="1"/>
  <c r="G135" i="11" l="1"/>
  <c r="D135" i="11"/>
  <c r="F135" i="11" s="1"/>
  <c r="I135" i="11" l="1"/>
  <c r="C136" i="11"/>
  <c r="D136" i="11" l="1"/>
  <c r="F136" i="11" s="1"/>
  <c r="G136" i="11"/>
  <c r="C137" i="11" s="1"/>
  <c r="O11" i="5"/>
  <c r="K135" i="11"/>
  <c r="O12" i="5" l="1"/>
  <c r="O15" i="5"/>
  <c r="O26" i="5" s="1"/>
  <c r="O27" i="5" s="1"/>
  <c r="O28" i="5" s="1"/>
  <c r="O29" i="5" s="1"/>
  <c r="G137" i="11"/>
  <c r="C138" i="11" s="1"/>
  <c r="D137" i="11"/>
  <c r="F137" i="11" s="1"/>
  <c r="G138" i="11" l="1"/>
  <c r="C139" i="11" s="1"/>
  <c r="D138" i="11"/>
  <c r="F138" i="11" s="1"/>
  <c r="D139" i="11" l="1"/>
  <c r="F139" i="11" s="1"/>
  <c r="G139" i="11"/>
  <c r="C140" i="11" s="1"/>
  <c r="D140" i="11" l="1"/>
  <c r="F140" i="11" s="1"/>
  <c r="G140" i="11"/>
  <c r="C141" i="11" s="1"/>
  <c r="G141" i="11" l="1"/>
  <c r="C142" i="11" s="1"/>
  <c r="D141" i="11"/>
  <c r="F141" i="11" l="1"/>
  <c r="G142" i="11"/>
  <c r="C143" i="11" s="1"/>
  <c r="D142" i="11"/>
  <c r="F142" i="11" s="1"/>
  <c r="G143" i="11" l="1"/>
  <c r="C144" i="11" s="1"/>
  <c r="D143" i="11"/>
  <c r="F143" i="11" l="1"/>
  <c r="D144" i="11"/>
  <c r="F144" i="11" s="1"/>
  <c r="G144" i="11"/>
  <c r="C145" i="11" s="1"/>
  <c r="G145" i="11" l="1"/>
  <c r="C146" i="11" s="1"/>
  <c r="D145" i="11"/>
  <c r="F145" i="11" s="1"/>
  <c r="G146" i="11" l="1"/>
  <c r="C147" i="11" s="1"/>
  <c r="D146" i="11"/>
  <c r="G147" i="11" l="1"/>
  <c r="D147" i="11"/>
  <c r="F147" i="11" s="1"/>
  <c r="F146" i="11"/>
  <c r="I147" i="11" l="1"/>
  <c r="K147" i="11" s="1"/>
  <c r="C148" i="11"/>
  <c r="P11" i="5" l="1"/>
  <c r="P12" i="5" s="1"/>
  <c r="D148" i="11"/>
  <c r="F148" i="11" s="1"/>
  <c r="G148" i="11"/>
  <c r="C149" i="11" s="1"/>
  <c r="P15" i="5" l="1"/>
  <c r="P26" i="5" s="1"/>
  <c r="P27" i="5" s="1"/>
  <c r="P28" i="5" s="1"/>
  <c r="P29" i="5" s="1"/>
  <c r="G149" i="11"/>
  <c r="C150" i="11" s="1"/>
  <c r="D149" i="11"/>
  <c r="F149" i="11" s="1"/>
  <c r="G150" i="11" l="1"/>
  <c r="C151" i="11" s="1"/>
  <c r="D150" i="11"/>
  <c r="F150" i="11" s="1"/>
  <c r="D151" i="11" l="1"/>
  <c r="F151" i="11" s="1"/>
  <c r="G151" i="11"/>
  <c r="C152" i="11" s="1"/>
  <c r="D152" i="11" l="1"/>
  <c r="G152" i="11"/>
  <c r="C153" i="11" s="1"/>
  <c r="G153" i="11" l="1"/>
  <c r="C154" i="11" s="1"/>
  <c r="D153" i="11"/>
  <c r="F153" i="11" s="1"/>
  <c r="F152" i="11"/>
  <c r="G154" i="11" l="1"/>
  <c r="C155" i="11" s="1"/>
  <c r="D154" i="11"/>
  <c r="F154" i="11" l="1"/>
  <c r="G155" i="11"/>
  <c r="C156" i="11" s="1"/>
  <c r="D155" i="11"/>
  <c r="F155" i="11" s="1"/>
  <c r="D156" i="11" l="1"/>
  <c r="F156" i="11" s="1"/>
  <c r="G156" i="11"/>
  <c r="C157" i="11" s="1"/>
  <c r="G157" i="11" l="1"/>
  <c r="C158" i="11" s="1"/>
  <c r="D157" i="11"/>
  <c r="F157" i="11" s="1"/>
  <c r="G158" i="11" l="1"/>
  <c r="C159" i="11" s="1"/>
  <c r="D158" i="11"/>
  <c r="G159" i="11" l="1"/>
  <c r="D159" i="11"/>
  <c r="F159" i="11" s="1"/>
  <c r="F158" i="11"/>
  <c r="I159" i="11" l="1"/>
  <c r="Q11" i="5" l="1"/>
  <c r="K159" i="11"/>
  <c r="Q15" i="5" l="1"/>
  <c r="Q26" i="5" s="1"/>
  <c r="Q27" i="5" s="1"/>
  <c r="Q28" i="5" s="1"/>
  <c r="Q29" i="5" s="1"/>
  <c r="Q12" i="5"/>
  <c r="R11" i="5" l="1"/>
  <c r="R12" i="5" l="1"/>
  <c r="R15" i="5"/>
  <c r="R26" i="5" s="1"/>
  <c r="R27" i="5" s="1"/>
  <c r="R28" i="5" s="1"/>
  <c r="R29" i="5" s="1"/>
  <c r="I31" i="4" l="1"/>
  <c r="I32" i="4" s="1"/>
  <c r="I33" i="4" s="1"/>
  <c r="I35" i="4" s="1"/>
  <c r="AN80" i="7"/>
  <c r="I29" i="3" s="1"/>
  <c r="I36" i="3" l="1"/>
  <c r="AZ80" i="7"/>
  <c r="BL80" i="7" s="1"/>
  <c r="BW80" i="7" s="1"/>
  <c r="J34" i="4"/>
  <c r="J35" i="4" s="1"/>
  <c r="J15" i="3" s="1"/>
  <c r="J14" i="3" s="1"/>
  <c r="J11" i="3" s="1"/>
  <c r="I15" i="3"/>
  <c r="I11" i="3" s="1"/>
  <c r="K29" i="3"/>
  <c r="K36" i="3" l="1"/>
  <c r="I17" i="3"/>
  <c r="I48" i="3"/>
  <c r="K34" i="4"/>
  <c r="K35" i="4" s="1"/>
  <c r="I38" i="3" l="1"/>
  <c r="I47" i="3"/>
  <c r="I49" i="3"/>
  <c r="K15" i="3"/>
  <c r="K14" i="3" s="1"/>
  <c r="K11" i="3" s="1"/>
  <c r="L34" i="4"/>
  <c r="J48" i="3" l="1"/>
  <c r="J17" i="3"/>
  <c r="J38" i="3" s="1"/>
  <c r="K17" i="3"/>
  <c r="K48" i="3"/>
  <c r="J47" i="3"/>
  <c r="J49" i="3"/>
  <c r="K38" i="3" l="1"/>
  <c r="K47" i="3"/>
  <c r="K49" i="3"/>
  <c r="K47" i="18"/>
  <c r="K62" i="18"/>
  <c r="K114" i="18" s="1"/>
  <c r="I52" i="18"/>
  <c r="I62" i="18" s="1"/>
  <c r="I114" i="18" s="1"/>
  <c r="J52" i="18"/>
  <c r="J47" i="18" s="1"/>
  <c r="H52" i="18"/>
  <c r="H62" i="18"/>
  <c r="H114" i="18" s="1"/>
  <c r="H7" i="18" s="1"/>
  <c r="L7" i="1" s="1"/>
  <c r="K7" i="18" l="1"/>
  <c r="H4" i="18"/>
  <c r="H15" i="18" s="1"/>
  <c r="H26" i="18" s="1"/>
  <c r="I47" i="18"/>
  <c r="J62" i="18"/>
  <c r="K4" i="18" l="1"/>
  <c r="I7" i="21" s="1"/>
  <c r="I8" i="21" s="1"/>
  <c r="O7" i="1"/>
  <c r="D196" i="11"/>
  <c r="J114" i="18"/>
  <c r="J7" i="18" s="1"/>
  <c r="I7" i="18"/>
  <c r="L4" i="1"/>
  <c r="L13" i="1" s="1"/>
  <c r="L17" i="1" s="1"/>
  <c r="G5" i="9"/>
  <c r="G7" i="9" s="1"/>
  <c r="F7" i="21"/>
  <c r="K15" i="18" l="1"/>
  <c r="K26" i="18" s="1"/>
  <c r="K27" i="18" s="1"/>
  <c r="K28" i="18" s="1"/>
  <c r="K29" i="18" s="1"/>
  <c r="I4" i="18"/>
  <c r="I15" i="18" s="1"/>
  <c r="I26" i="18" s="1"/>
  <c r="I27" i="18" s="1"/>
  <c r="I28" i="18" s="1"/>
  <c r="I29" i="18" s="1"/>
  <c r="M7" i="1"/>
  <c r="M4" i="1" s="1"/>
  <c r="M13" i="1" s="1"/>
  <c r="M17" i="1" s="1"/>
  <c r="J4" i="18"/>
  <c r="H7" i="21" s="1"/>
  <c r="H8" i="21" s="1"/>
  <c r="N7" i="1"/>
  <c r="S11" i="5"/>
  <c r="H27" i="18"/>
  <c r="F8" i="21"/>
  <c r="L44" i="3"/>
  <c r="L43" i="3"/>
  <c r="L21" i="1"/>
  <c r="L23" i="1" s="1"/>
  <c r="H6" i="9"/>
  <c r="H8" i="9" s="1"/>
  <c r="M13" i="3" s="1"/>
  <c r="G9" i="9"/>
  <c r="L33" i="3" s="1"/>
  <c r="H5" i="9"/>
  <c r="G7" i="21" l="1"/>
  <c r="G8" i="21" s="1"/>
  <c r="J15" i="18"/>
  <c r="J26" i="18" s="1"/>
  <c r="J27" i="18" s="1"/>
  <c r="J28" i="18" s="1"/>
  <c r="J29" i="18" s="1"/>
  <c r="T11" i="5"/>
  <c r="S15" i="5"/>
  <c r="S26" i="5" s="1"/>
  <c r="S27" i="5" s="1"/>
  <c r="S28" i="5" s="1"/>
  <c r="S29" i="5" s="1"/>
  <c r="S12" i="5"/>
  <c r="H28" i="18"/>
  <c r="H29" i="18" s="1"/>
  <c r="C11" i="21"/>
  <c r="H7" i="9"/>
  <c r="I6" i="9" s="1"/>
  <c r="I8" i="9" s="1"/>
  <c r="N13" i="3" s="1"/>
  <c r="L24" i="1"/>
  <c r="L26" i="1" s="1"/>
  <c r="M43" i="3"/>
  <c r="M44" i="3"/>
  <c r="M21" i="1"/>
  <c r="M23" i="1" s="1"/>
  <c r="L29" i="3"/>
  <c r="G18" i="9"/>
  <c r="H17" i="9"/>
  <c r="M52" i="3"/>
  <c r="N4" i="1"/>
  <c r="N13" i="1" s="1"/>
  <c r="N17" i="1" s="1"/>
  <c r="I5" i="9"/>
  <c r="C10" i="21" l="1"/>
  <c r="T12" i="5"/>
  <c r="T15" i="5"/>
  <c r="T26" i="5" s="1"/>
  <c r="T27" i="5" s="1"/>
  <c r="T28" i="5" s="1"/>
  <c r="T29" i="5" s="1"/>
  <c r="H9" i="9"/>
  <c r="M33" i="3" s="1"/>
  <c r="M29" i="3" s="1"/>
  <c r="I7" i="9"/>
  <c r="J6" i="9" s="1"/>
  <c r="J8" i="9" s="1"/>
  <c r="O13" i="3" s="1"/>
  <c r="L45" i="3"/>
  <c r="L4" i="4"/>
  <c r="L27" i="3"/>
  <c r="O4" i="1"/>
  <c r="O13" i="1" s="1"/>
  <c r="O17" i="1" s="1"/>
  <c r="J5" i="9"/>
  <c r="M24" i="1"/>
  <c r="M26" i="1" s="1"/>
  <c r="H23" i="9"/>
  <c r="M12" i="4" s="1"/>
  <c r="N43" i="3"/>
  <c r="N44" i="3"/>
  <c r="N21" i="1"/>
  <c r="N23" i="1" s="1"/>
  <c r="G24" i="9"/>
  <c r="L13" i="4" s="1"/>
  <c r="L5" i="4" s="1"/>
  <c r="G19" i="9"/>
  <c r="I17" i="9"/>
  <c r="I23" i="9" s="1"/>
  <c r="N12" i="4" s="1"/>
  <c r="N52" i="3"/>
  <c r="I9" i="9" l="1"/>
  <c r="N33" i="3" s="1"/>
  <c r="N29" i="3" s="1"/>
  <c r="H18" i="9"/>
  <c r="H24" i="9" s="1"/>
  <c r="M13" i="4" s="1"/>
  <c r="M5" i="4" s="1"/>
  <c r="M4" i="4"/>
  <c r="M27" i="3"/>
  <c r="M45" i="3"/>
  <c r="K5" i="9"/>
  <c r="M23" i="3"/>
  <c r="L19" i="3"/>
  <c r="G20" i="9"/>
  <c r="O44" i="3"/>
  <c r="O43" i="3"/>
  <c r="O21" i="1"/>
  <c r="O23" i="1" s="1"/>
  <c r="L16" i="4"/>
  <c r="L32" i="4" s="1"/>
  <c r="L33" i="4" s="1"/>
  <c r="L35" i="4" s="1"/>
  <c r="J17" i="9"/>
  <c r="O52" i="3"/>
  <c r="N24" i="1"/>
  <c r="N26" i="1" s="1"/>
  <c r="J7" i="9"/>
  <c r="H19" i="9" l="1"/>
  <c r="H20" i="9" s="1"/>
  <c r="I18" i="9"/>
  <c r="I24" i="9" s="1"/>
  <c r="N13" i="4" s="1"/>
  <c r="N5" i="4" s="1"/>
  <c r="M16" i="4"/>
  <c r="M32" i="4" s="1"/>
  <c r="M33" i="4" s="1"/>
  <c r="L15" i="3"/>
  <c r="L14" i="3" s="1"/>
  <c r="L11" i="3" s="1"/>
  <c r="M34" i="4"/>
  <c r="N4" i="4"/>
  <c r="N27" i="3"/>
  <c r="N45" i="3"/>
  <c r="L51" i="3"/>
  <c r="L36" i="3"/>
  <c r="L50" i="3"/>
  <c r="L46" i="3"/>
  <c r="O24" i="1"/>
  <c r="O26" i="1" s="1"/>
  <c r="N23" i="3"/>
  <c r="M19" i="3"/>
  <c r="J9" i="9"/>
  <c r="O33" i="3" s="1"/>
  <c r="K6" i="9"/>
  <c r="K8" i="9" s="1"/>
  <c r="J23" i="9"/>
  <c r="O12" i="4" s="1"/>
  <c r="L5" i="9"/>
  <c r="I19" i="9" l="1"/>
  <c r="I20" i="9" s="1"/>
  <c r="N16" i="4"/>
  <c r="N32" i="4" s="1"/>
  <c r="N33" i="4" s="1"/>
  <c r="M35" i="4"/>
  <c r="M15" i="3" s="1"/>
  <c r="M14" i="3" s="1"/>
  <c r="M11" i="3" s="1"/>
  <c r="K7" i="9"/>
  <c r="K9" i="9" s="1"/>
  <c r="N19" i="3"/>
  <c r="O23" i="3"/>
  <c r="K17" i="9"/>
  <c r="L17" i="3"/>
  <c r="L48" i="3"/>
  <c r="O29" i="3"/>
  <c r="J18" i="9"/>
  <c r="O45" i="3"/>
  <c r="O4" i="4"/>
  <c r="O27" i="3"/>
  <c r="M5" i="9"/>
  <c r="M51" i="3"/>
  <c r="M36" i="3"/>
  <c r="M50" i="3"/>
  <c r="M46" i="3"/>
  <c r="N34" i="4" l="1"/>
  <c r="N35" i="4" s="1"/>
  <c r="N15" i="3" s="1"/>
  <c r="N14" i="3" s="1"/>
  <c r="N11" i="3" s="1"/>
  <c r="L6" i="9"/>
  <c r="L8" i="9" s="1"/>
  <c r="O19" i="3"/>
  <c r="N51" i="3"/>
  <c r="N36" i="3"/>
  <c r="N50" i="3"/>
  <c r="N46" i="3"/>
  <c r="M48" i="3"/>
  <c r="M17" i="3"/>
  <c r="L38" i="3"/>
  <c r="L47" i="3"/>
  <c r="L49" i="3"/>
  <c r="N5" i="9"/>
  <c r="J24" i="9"/>
  <c r="O13" i="4" s="1"/>
  <c r="O5" i="4" s="1"/>
  <c r="O16" i="4" s="1"/>
  <c r="O32" i="4" s="1"/>
  <c r="O33" i="4" s="1"/>
  <c r="J19" i="9"/>
  <c r="K18" i="9"/>
  <c r="K24" i="9" s="1"/>
  <c r="K23" i="9"/>
  <c r="O34" i="4" l="1"/>
  <c r="O35" i="4" s="1"/>
  <c r="L17" i="9"/>
  <c r="L23" i="9" s="1"/>
  <c r="L7" i="9"/>
  <c r="M6" i="9" s="1"/>
  <c r="J20" i="9"/>
  <c r="O5" i="9"/>
  <c r="N17" i="3"/>
  <c r="N48" i="3"/>
  <c r="O36" i="3"/>
  <c r="O51" i="3"/>
  <c r="O50" i="3"/>
  <c r="O46" i="3"/>
  <c r="M38" i="3"/>
  <c r="M47" i="3"/>
  <c r="M49" i="3"/>
  <c r="K19" i="9"/>
  <c r="K20" i="9" s="1"/>
  <c r="O15" i="3" l="1"/>
  <c r="O14" i="3" s="1"/>
  <c r="O11" i="3" s="1"/>
  <c r="O48" i="3" s="1"/>
  <c r="L9" i="9"/>
  <c r="M8" i="9"/>
  <c r="M7" i="9"/>
  <c r="P5" i="9"/>
  <c r="N38" i="3"/>
  <c r="N47" i="3"/>
  <c r="N49" i="3"/>
  <c r="O17" i="3" l="1"/>
  <c r="O38" i="3" s="1"/>
  <c r="L18" i="9"/>
  <c r="L19" i="9" s="1"/>
  <c r="M17" i="9"/>
  <c r="Q5" i="9"/>
  <c r="N6" i="9"/>
  <c r="M9" i="9"/>
  <c r="O49" i="3" l="1"/>
  <c r="O47" i="3"/>
  <c r="L24" i="9"/>
  <c r="N8" i="9"/>
  <c r="N7" i="9"/>
  <c r="R5" i="9"/>
  <c r="L20" i="9"/>
  <c r="M18" i="9"/>
  <c r="M24" i="9" s="1"/>
  <c r="M23" i="9"/>
  <c r="M19" i="9" l="1"/>
  <c r="M20" i="9" s="1"/>
  <c r="N9" i="9"/>
  <c r="O6" i="9"/>
  <c r="S5" i="9"/>
  <c r="N17" i="9"/>
  <c r="N23" i="9" l="1"/>
  <c r="O8" i="9"/>
  <c r="O7" i="9"/>
  <c r="N18" i="9"/>
  <c r="N24" i="9" s="1"/>
  <c r="P6" i="9" l="1"/>
  <c r="O9" i="9"/>
  <c r="N19" i="9"/>
  <c r="O17" i="9"/>
  <c r="M28" i="1" l="1"/>
  <c r="P8" i="9"/>
  <c r="P7" i="9"/>
  <c r="N20" i="9"/>
  <c r="O23" i="9"/>
  <c r="O18" i="9"/>
  <c r="O24" i="9" s="1"/>
  <c r="Q6" i="9" l="1"/>
  <c r="P9" i="9"/>
  <c r="O19" i="9"/>
  <c r="P17" i="9"/>
  <c r="Q8" i="9" l="1"/>
  <c r="Q7" i="9"/>
  <c r="P23" i="9"/>
  <c r="O20" i="9"/>
  <c r="P18" i="9"/>
  <c r="P24" i="9" s="1"/>
  <c r="R6" i="9" l="1"/>
  <c r="Q9" i="9"/>
  <c r="P19" i="9"/>
  <c r="Q17" i="9"/>
  <c r="Q23" i="9" l="1"/>
  <c r="Q18" i="9"/>
  <c r="Q24" i="9" s="1"/>
  <c r="R8" i="9"/>
  <c r="R7" i="9"/>
  <c r="P20" i="9"/>
  <c r="Q19" i="9" l="1"/>
  <c r="R9" i="9"/>
  <c r="S6" i="9"/>
  <c r="R17" i="9"/>
  <c r="S8" i="9" l="1"/>
  <c r="S7" i="9"/>
  <c r="S9" i="9" s="1"/>
  <c r="R18" i="9"/>
  <c r="R24" i="9" s="1"/>
  <c r="R23" i="9"/>
  <c r="Q20" i="9"/>
  <c r="R19" i="9" l="1"/>
  <c r="R20" i="9" s="1"/>
  <c r="S18" i="9"/>
  <c r="S24" i="9" s="1"/>
  <c r="S17" i="9"/>
  <c r="S19" i="9" l="1"/>
  <c r="S20" i="9" s="1"/>
  <c r="S2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tc={AB64EF32-FF83-40C3-A816-CCAF182E81C7}</author>
  </authors>
  <commentList>
    <comment ref="Z1" authorId="0" shapeId="0" xr:uid="{00000000-0006-0000-1600-000001000000}">
      <text>
        <r>
          <rPr>
            <sz val="10"/>
            <color rgb="FF000000"/>
            <rFont val="Arial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poprawiłam ilość dni</t>
        </r>
      </text>
    </comment>
  </commentList>
</comments>
</file>

<file path=xl/sharedStrings.xml><?xml version="1.0" encoding="utf-8"?>
<sst xmlns="http://schemas.openxmlformats.org/spreadsheetml/2006/main" count="7256" uniqueCount="4201">
  <si>
    <t>Lp.</t>
  </si>
  <si>
    <t>Rachunek zysków i strat</t>
  </si>
  <si>
    <t>Jedn.</t>
  </si>
  <si>
    <t>2017</t>
  </si>
  <si>
    <t>2018</t>
  </si>
  <si>
    <t>2019</t>
  </si>
  <si>
    <t>2020</t>
  </si>
  <si>
    <t>1</t>
  </si>
  <si>
    <t>2</t>
  </si>
  <si>
    <t>3</t>
  </si>
  <si>
    <t>4</t>
  </si>
  <si>
    <t>5</t>
  </si>
  <si>
    <t>6</t>
  </si>
  <si>
    <t>7</t>
  </si>
  <si>
    <t>A</t>
  </si>
  <si>
    <t>Przychody netto ze sprzedaży i zrównane z nimi, w tym:</t>
  </si>
  <si>
    <t>zł</t>
  </si>
  <si>
    <t/>
  </si>
  <si>
    <t>B</t>
  </si>
  <si>
    <t>Koszty działalności operacyjnej, w tym:</t>
  </si>
  <si>
    <t>I.</t>
  </si>
  <si>
    <t>Amortyzacja</t>
  </si>
  <si>
    <t>II.</t>
  </si>
  <si>
    <t>Zużycie materiałów i energii</t>
  </si>
  <si>
    <t>III.</t>
  </si>
  <si>
    <t>Usługi obce</t>
  </si>
  <si>
    <t>IV.</t>
  </si>
  <si>
    <t>Podatki i opłaty</t>
  </si>
  <si>
    <t>V.</t>
  </si>
  <si>
    <t>Wynagrodzenia</t>
  </si>
  <si>
    <t>VI.</t>
  </si>
  <si>
    <t>Ubezpieczenia społeczne i inne świadczenia</t>
  </si>
  <si>
    <t>VII</t>
  </si>
  <si>
    <t>Pozostałe koszty rodzajowe</t>
  </si>
  <si>
    <t>VIII.</t>
  </si>
  <si>
    <t>Wartość sprzedanych towarów i materiałów</t>
  </si>
  <si>
    <t>C</t>
  </si>
  <si>
    <t>Zysk/strata ze sprzedaży (A-B)</t>
  </si>
  <si>
    <t>D</t>
  </si>
  <si>
    <t>Pozostałe przychody operacyjne, w tym:</t>
  </si>
  <si>
    <t>- rozliczenie wnioskowanej dotacji z NFOŚiGW</t>
  </si>
  <si>
    <t>E</t>
  </si>
  <si>
    <t>Pozostałe koszty operacyjne</t>
  </si>
  <si>
    <t>F</t>
  </si>
  <si>
    <t>Zysk/strata z działalności operacyjnej (C+D-E)</t>
  </si>
  <si>
    <t>G</t>
  </si>
  <si>
    <t>Przychody finansowe</t>
  </si>
  <si>
    <t>H</t>
  </si>
  <si>
    <t>Koszty finansowe, w tym:</t>
  </si>
  <si>
    <t>- odsetki od wnioskowanej pożyczki z NFOŚiGW</t>
  </si>
  <si>
    <t>I</t>
  </si>
  <si>
    <t>Zysk/strata z działalności gospodarczej (F+G-H)</t>
  </si>
  <si>
    <t>J</t>
  </si>
  <si>
    <t>Wynik zdarzeń nadzwyczajnych</t>
  </si>
  <si>
    <t>K</t>
  </si>
  <si>
    <t>Zysk/strata brutto (I+/-J)</t>
  </si>
  <si>
    <t>L</t>
  </si>
  <si>
    <t>Podatek dochodowy</t>
  </si>
  <si>
    <t>M</t>
  </si>
  <si>
    <t>Pozostałe obowiązkowe zmniejszenie zysku/zwiększenie straty</t>
  </si>
  <si>
    <t>N</t>
  </si>
  <si>
    <t>Zysk/strata netto (K-L-M)</t>
  </si>
  <si>
    <t>tbl060401RZiS_Row51_1_S3Component2Column18_1</t>
  </si>
  <si>
    <t>tbl060401RZiS_Row51_1_S3Component2Column19_1</t>
  </si>
  <si>
    <t>tbl060401RZiS_Row51_1_S3Component2Column20_1</t>
  </si>
  <si>
    <t>tbl060401RZiS_Row51_1_S3Component2Column21_1</t>
  </si>
  <si>
    <t>tbl060401RZiS_Row51_1_S3Component2Column21_2</t>
  </si>
  <si>
    <t>tbl060401RZiS_Row51_1_S3Component2Column21_3</t>
  </si>
  <si>
    <t>tbl060401RZiS_Row51_1_S3Component2Column21_4</t>
  </si>
  <si>
    <t>tbl060401RZiS_Row52_1_S3Component2Column18_1</t>
  </si>
  <si>
    <t>tbl060401RZiS_Row52_1_S3Component2Column19_1</t>
  </si>
  <si>
    <t>tbl060401RZiS_Row52_1_S3Component2Column20_1</t>
  </si>
  <si>
    <t>tbl060401RZiS_Row52_1_S3Component2Column21_1</t>
  </si>
  <si>
    <t>tbl060401RZiS_Row52_1_S3Component2Column21_2</t>
  </si>
  <si>
    <t>tbl060401RZiS_Row52_1_S3Component2Column21_3</t>
  </si>
  <si>
    <t>tbl060401RZiS_Row52_1_S3Component2Column21_4</t>
  </si>
  <si>
    <t>tbl060401RZiS_Row53_1_S3Component2Column18_1</t>
  </si>
  <si>
    <t>tbl060401RZiS_Row53_1_S3Component2Column19_1</t>
  </si>
  <si>
    <t>tbl060401RZiS_Row53_1_S3Component2Column20_1</t>
  </si>
  <si>
    <t>tbl060401RZiS_Row53_1_S3Component2Column21_1</t>
  </si>
  <si>
    <t>tbl060401RZiS_Row53_1_S3Component2Column21_2</t>
  </si>
  <si>
    <t>tbl060401RZiS_Row53_1_S3Component2Column21_3</t>
  </si>
  <si>
    <t>tbl060401RZiS_Row53_1_S3Component2Column21_4</t>
  </si>
  <si>
    <t>tbl060401RZiS_Row54_1_S3Component2Column18_1</t>
  </si>
  <si>
    <t>tbl060401RZiS_Row54_1_S3Component2Column19_1</t>
  </si>
  <si>
    <t>tbl060401RZiS_Row54_1_S3Component2Column20_1</t>
  </si>
  <si>
    <t>tbl060401RZiS_Row54_1_S3Component2Column21_1</t>
  </si>
  <si>
    <t>tbl060401RZiS_Row54_1_S3Component2Column21_2</t>
  </si>
  <si>
    <t>tbl060401RZiS_Row54_1_S3Component2Column21_3</t>
  </si>
  <si>
    <t>tbl060401RZiS_Row54_1_S3Component2Column21_4</t>
  </si>
  <si>
    <t>tbl060401RZiS_Row55_1_S3Component2Column18_1</t>
  </si>
  <si>
    <t>tbl060401RZiS_Row55_1_S3Component2Column19_1</t>
  </si>
  <si>
    <t>tbl060401RZiS_Row55_1_S3Component2Column20_1</t>
  </si>
  <si>
    <t>tbl060401RZiS_Row55_1_S3Component2Column21_1</t>
  </si>
  <si>
    <t>tbl060401RZiS_Row55_1_S3Component2Column21_2</t>
  </si>
  <si>
    <t>tbl060401RZiS_Row55_1_S3Component2Column21_3</t>
  </si>
  <si>
    <t>tbl060401RZiS_Row55_1_S3Component2Column21_4</t>
  </si>
  <si>
    <t>tbl060401RZiS_Row56_1_S3Component2Column18_1</t>
  </si>
  <si>
    <t>tbl060401RZiS_Row56_1_S3Component2Column19_1</t>
  </si>
  <si>
    <t>tbl060401RZiS_Row56_1_S3Component2Column20_1</t>
  </si>
  <si>
    <t>tbl060401RZiS_Row56_1_S3Component2Column21_1</t>
  </si>
  <si>
    <t>tbl060401RZiS_Row56_1_S3Component2Column21_2</t>
  </si>
  <si>
    <t>tbl060401RZiS_Row56_1_S3Component2Column21_3</t>
  </si>
  <si>
    <t>tbl060401RZiS_Row56_1_S3Component2Column21_4</t>
  </si>
  <si>
    <t>tbl060401RZiS_Row57_1_S3Component2Column18_1</t>
  </si>
  <si>
    <t>tbl060401RZiS_Row57_1_S3Component2Column19_1</t>
  </si>
  <si>
    <t>tbl060401RZiS_Row57_1_S3Component2Column20_1</t>
  </si>
  <si>
    <t>tbl060401RZiS_Row57_1_S3Component2Column21_1</t>
  </si>
  <si>
    <t>tbl060401RZiS_Row57_1_S3Component2Column21_2</t>
  </si>
  <si>
    <t>tbl060401RZiS_Row57_1_S3Component2Column21_3</t>
  </si>
  <si>
    <t>tbl060401RZiS_Row57_1_S3Component2Column21_4</t>
  </si>
  <si>
    <t>tbl060401RZiS_Row58_1_S3Component2Column18_1</t>
  </si>
  <si>
    <t>tbl060401RZiS_Row58_1_S3Component2Column19_1</t>
  </si>
  <si>
    <t>tbl060401RZiS_Row58_1_S3Component2Column20_1</t>
  </si>
  <si>
    <t>tbl060401RZiS_Row58_1_S3Component2Column21_1</t>
  </si>
  <si>
    <t>tbl060401RZiS_Row58_1_S3Component2Column21_2</t>
  </si>
  <si>
    <t>tbl060401RZiS_Row58_1_S3Component2Column21_3</t>
  </si>
  <si>
    <t>tbl060401RZiS_Row58_1_S3Component2Column21_4</t>
  </si>
  <si>
    <t>tbl060401RZiS_Row59_1_S3Component2Column18_1</t>
  </si>
  <si>
    <t>tbl060401RZiS_Row59_1_S3Component2Column19_1</t>
  </si>
  <si>
    <t>tbl060401RZiS_Row59_1_S3Component2Column20_1</t>
  </si>
  <si>
    <t>tbl060401RZiS_Row59_1_S3Component2Column21_1</t>
  </si>
  <si>
    <t>tbl060401RZiS_Row59_1_S3Component2Column21_2</t>
  </si>
  <si>
    <t>tbl060401RZiS_Row59_1_S3Component2Column21_3</t>
  </si>
  <si>
    <t>tbl060401RZiS_Row59_1_S3Component2Column21_4</t>
  </si>
  <si>
    <t>tbl060401RZiS_Row60_1_S3Component2Column18_1</t>
  </si>
  <si>
    <t>tbl060401RZiS_Row60_1_S3Component2Column19_1</t>
  </si>
  <si>
    <t>tbl060401RZiS_Row60_1_S3Component2Column20_1</t>
  </si>
  <si>
    <t>tbl060401RZiS_Row60_1_S3Component2Column21_1</t>
  </si>
  <si>
    <t>tbl060401RZiS_Row60_1_S3Component2Column21_2</t>
  </si>
  <si>
    <t>tbl060401RZiS_Row60_1_S3Component2Column21_3</t>
  </si>
  <si>
    <t>tbl060401RZiS_Row60_1_S3Component2Column21_4</t>
  </si>
  <si>
    <t>tbl060401RZiS_Row61_1_S3Component2Column18_1</t>
  </si>
  <si>
    <t>tbl060401RZiS_Row61_1_S3Component2Column19_1</t>
  </si>
  <si>
    <t>tbl060401RZiS_Row61_1_S3Component2Column20_1</t>
  </si>
  <si>
    <t>tbl060401RZiS_Row61_1_S3Component2Column21_1</t>
  </si>
  <si>
    <t>tbl060401RZiS_Row61_1_S3Component2Column21_2</t>
  </si>
  <si>
    <t>tbl060401RZiS_Row61_1_S3Component2Column21_3</t>
  </si>
  <si>
    <t>tbl060401RZiS_Row61_1_S3Component2Column21_4</t>
  </si>
  <si>
    <t>tbl060401RZiS_Row62_1_S3Component2Column18_1</t>
  </si>
  <si>
    <t>tbl060401RZiS_Row62_1_S3Component2Column19_1</t>
  </si>
  <si>
    <t>tbl060401RZiS_Row62_1_S3Component2Column20_1</t>
  </si>
  <si>
    <t>tbl060401RZiS_Row62_1_S3Component2Column21_1</t>
  </si>
  <si>
    <t>tbl060401RZiS_Row62_1_S3Component2Column21_2</t>
  </si>
  <si>
    <t>tbl060401RZiS_Row62_1_S3Component2Column21_3</t>
  </si>
  <si>
    <t>tbl060401RZiS_Row62_1_S3Component2Column21_4</t>
  </si>
  <si>
    <t>tbl060401RZiS_Row63_1_S3Component2Column18_1</t>
  </si>
  <si>
    <t>tbl060401RZiS_Row63_1_S3Component2Column19_1</t>
  </si>
  <si>
    <t>tbl060401RZiS_Row63_1_S3Component2Column20_1</t>
  </si>
  <si>
    <t>tbl060401RZiS_Row63_1_S3Component2Column21_1</t>
  </si>
  <si>
    <t>tbl060401RZiS_Row63_1_S3Component2Column21_2</t>
  </si>
  <si>
    <t>tbl060401RZiS_Row63_1_S3Component2Column21_3</t>
  </si>
  <si>
    <t>tbl060401RZiS_Row63_1_S3Component2Column21_4</t>
  </si>
  <si>
    <t>tbl060401RZiS_Row64_1_S3Component2Column18_1</t>
  </si>
  <si>
    <t>tbl060401RZiS_Row64_1_S3Component2Column19_1</t>
  </si>
  <si>
    <t>tbl060401RZiS_Row64_1_S3Component2Column20_1</t>
  </si>
  <si>
    <t>tbl060401RZiS_Row64_1_S3Component2Column21_1</t>
  </si>
  <si>
    <t>tbl060401RZiS_Row64_1_S3Component2Column21_2</t>
  </si>
  <si>
    <t>tbl060401RZiS_Row64_1_S3Component2Column21_3</t>
  </si>
  <si>
    <t>tbl060401RZiS_Row64_1_S3Component2Column21_4</t>
  </si>
  <si>
    <t>tbl060401RZiS_Row65_1_S3Component2Column18_1</t>
  </si>
  <si>
    <t>tbl060401RZiS_Row65_1_S3Component2Column19_1</t>
  </si>
  <si>
    <t>tbl060401RZiS_Row65_1_S3Component2Column20_1</t>
  </si>
  <si>
    <t>tbl060401RZiS_Row65_1_S3Component2Column21_1</t>
  </si>
  <si>
    <t>tbl060401RZiS_Row65_1_S3Component2Column21_2</t>
  </si>
  <si>
    <t>tbl060401RZiS_Row65_1_S3Component2Column21_3</t>
  </si>
  <si>
    <t>tbl060401RZiS_Row65_1_S3Component2Column21_4</t>
  </si>
  <si>
    <t>tbl060401RZiS_Row66_1_S3Component2Column18_1</t>
  </si>
  <si>
    <t>tbl060401RZiS_Row66_1_S3Component2Column19_1</t>
  </si>
  <si>
    <t>tbl060401RZiS_Row66_1_S3Component2Column20_1</t>
  </si>
  <si>
    <t>tbl060401RZiS_Row66_1_S3Component2Column21_1</t>
  </si>
  <si>
    <t>tbl060401RZiS_Row66_1_S3Component2Column21_2</t>
  </si>
  <si>
    <t>tbl060401RZiS_Row66_1_S3Component2Column21_3</t>
  </si>
  <si>
    <t>tbl060401RZiS_Row66_1_S3Component2Column21_4</t>
  </si>
  <si>
    <t>tbl060401RZiS_Row67_1_S3Component2Column18_1</t>
  </si>
  <si>
    <t>tbl060401RZiS_Row67_1_S3Component2Column19_1</t>
  </si>
  <si>
    <t>tbl060401RZiS_Row67_1_S3Component2Column20_1</t>
  </si>
  <si>
    <t>tbl060401RZiS_Row67_1_S3Component2Column21_1</t>
  </si>
  <si>
    <t>tbl060401RZiS_Row67_1_S3Component2Column21_2</t>
  </si>
  <si>
    <t>tbl060401RZiS_Row67_1_S3Component2Column21_3</t>
  </si>
  <si>
    <t>tbl060401RZiS_Row67_1_S3Component2Column21_4</t>
  </si>
  <si>
    <t>tbl060401RZiS_Row68_1_S3Component2Column18_1</t>
  </si>
  <si>
    <t>tbl060401RZiS_Row68_1_S3Component2Column19_1</t>
  </si>
  <si>
    <t>tbl060401RZiS_Row68_1_S3Component2Column20_1</t>
  </si>
  <si>
    <t>tbl060401RZiS_Row68_1_S3Component2Column21_1</t>
  </si>
  <si>
    <t>tbl060401RZiS_Row68_1_S3Component2Column21_2</t>
  </si>
  <si>
    <t>tbl060401RZiS_Row68_1_S3Component2Column21_3</t>
  </si>
  <si>
    <t>tbl060401RZiS_Row68_1_S3Component2Column21_4</t>
  </si>
  <si>
    <t>tbl060401RZiS_Row69_1_S3Component2Column18_1</t>
  </si>
  <si>
    <t>tbl060401RZiS_Row69_1_S3Component2Column19_1</t>
  </si>
  <si>
    <t>tbl060401RZiS_Row69_1_S3Component2Column20_1</t>
  </si>
  <si>
    <t>tbl060401RZiS_Row69_1_S3Component2Column21_1</t>
  </si>
  <si>
    <t>tbl060401RZiS_Row69_1_S3Component2Column21_2</t>
  </si>
  <si>
    <t>tbl060401RZiS_Row69_1_S3Component2Column21_3</t>
  </si>
  <si>
    <t>tbl060401RZiS_Row69_1_S3Component2Column21_4</t>
  </si>
  <si>
    <t>tbl060401RZiS_Row70_1_S3Component2Column18_1</t>
  </si>
  <si>
    <t>tbl060401RZiS_Row70_1_S3Component2Column19_1</t>
  </si>
  <si>
    <t>tbl060401RZiS_Row70_1_S3Component2Column20_1</t>
  </si>
  <si>
    <t>tbl060401RZiS_Row70_1_S3Component2Column21_1</t>
  </si>
  <si>
    <t>tbl060401RZiS_Row70_1_S3Component2Column21_2</t>
  </si>
  <si>
    <t>tbl060401RZiS_Row70_1_S3Component2Column21_3</t>
  </si>
  <si>
    <t>tbl060401RZiS_Row70_1_S3Component2Column21_4</t>
  </si>
  <si>
    <t>tbl060401RZiS_Row71_1_S3Component2Column18_1</t>
  </si>
  <si>
    <t>tbl060401RZiS_Row71_1_S3Component2Column19_1</t>
  </si>
  <si>
    <t>tbl060401RZiS_Row71_1_S3Component2Column20_1</t>
  </si>
  <si>
    <t>tbl060401RZiS_Row71_1_S3Component2Column21_1</t>
  </si>
  <si>
    <t>tbl060401RZiS_Row71_1_S3Component2Column21_2</t>
  </si>
  <si>
    <t>tbl060401RZiS_Row71_1_S3Component2Column21_3</t>
  </si>
  <si>
    <t>tbl060401RZiS_Row71_1_S3Component2Column21_4</t>
  </si>
  <si>
    <t>tbl060401RZiS_Row72_1_S3Component2Column18_1</t>
  </si>
  <si>
    <t>tbl060401RZiS_Row72_1_S3Component2Column19_1</t>
  </si>
  <si>
    <t>tbl060401RZiS_Row72_1_S3Component2Column20_1</t>
  </si>
  <si>
    <t>tbl060401RZiS_Row72_1_S3Component2Column21_1</t>
  </si>
  <si>
    <t>tbl060401RZiS_Row72_1_S3Component2Column21_2</t>
  </si>
  <si>
    <t>tbl060401RZiS_Row72_1_S3Component2Column21_3</t>
  </si>
  <si>
    <t>tbl060401RZiS_Row72_1_S3Component2Column21_4</t>
  </si>
  <si>
    <t>tbl060401RZiS_Row73_1_S3Component2Column18_1</t>
  </si>
  <si>
    <t>tbl060401RZiS_Row73_1_S3Component2Column19_1</t>
  </si>
  <si>
    <t>tbl060401RZiS_Row73_1_S3Component2Column20_1</t>
  </si>
  <si>
    <t>tbl060401RZiS_Row73_1_S3Component2Column21_1</t>
  </si>
  <si>
    <t>tbl060401RZiS_Row73_1_S3Component2Column21_2</t>
  </si>
  <si>
    <t>tbl060401RZiS_Row73_1_S3Component2Column21_3</t>
  </si>
  <si>
    <t>tbl060401RZiS_Row73_1_S3Component2Column21_4</t>
  </si>
  <si>
    <t>tbl060401RZiS_Row74_1_S3Component2Column18_1</t>
  </si>
  <si>
    <t>tbl060401RZiS_Row74_1_S3Component2Column19_1</t>
  </si>
  <si>
    <t>tbl060401RZiS_Row74_1_S3Component2Column20_1</t>
  </si>
  <si>
    <t>tbl060401RZiS_Row74_1_S3Component2Column21_1</t>
  </si>
  <si>
    <t>tbl060401RZiS_Row74_1_S3Component2Column21_2</t>
  </si>
  <si>
    <t>tbl060401RZiS_Row74_1_S3Component2Column21_3</t>
  </si>
  <si>
    <t>tbl060401RZiS_Row74_1_S3Component2Column21_4</t>
  </si>
  <si>
    <t>tbl060401RZiS_Row75_1_S3Component2Column18_1</t>
  </si>
  <si>
    <t>tbl060401RZiS_Row75_1_S3Component2Column19_1</t>
  </si>
  <si>
    <t>tbl060401RZiS_Row75_1_S3Component2Column20_1</t>
  </si>
  <si>
    <t>tbl060401RZiS_Row75_1_S3Component2Column21_1</t>
  </si>
  <si>
    <t>tbl060401RZiS_Row75_1_S3Component2Column21_2</t>
  </si>
  <si>
    <t>tbl060401RZiS_Row75_1_S3Component2Column21_3</t>
  </si>
  <si>
    <t>tbl060401RZiS_Row75_1_S3Component2Column21_4</t>
  </si>
  <si>
    <t>tbl060401RZiS_Row76_1_S3Component2Column18_1</t>
  </si>
  <si>
    <t>tbl060401RZiS_Row76_1_S3Component2Column19_1</t>
  </si>
  <si>
    <t>tbl060401RZiS_Row76_1_S3Component2Column20_1</t>
  </si>
  <si>
    <t>tbl060401RZiS_Row76_1_S3Component2Column21_1</t>
  </si>
  <si>
    <t>tbl060401RZiS_Row76_1_S3Component2Column21_2</t>
  </si>
  <si>
    <t>tbl060401RZiS_Row76_1_S3Component2Column21_3</t>
  </si>
  <si>
    <t>tbl060401RZiS_Row76_1_S3Component2Column21_4</t>
  </si>
  <si>
    <t>HF__tbl060401RZiS__COL__S3Component2Column21</t>
  </si>
  <si>
    <t>Bilans</t>
  </si>
  <si>
    <t>AKTYWA</t>
  </si>
  <si>
    <t>Aktywa trwałe</t>
  </si>
  <si>
    <t>Wartości niematerialne i prawne</t>
  </si>
  <si>
    <t>Rzeczowe aktywa trwałe, w tym:</t>
  </si>
  <si>
    <t>- z tytułu wnioskowanego przedsięwzięcia</t>
  </si>
  <si>
    <t>Należności długoterminowe</t>
  </si>
  <si>
    <t>Inwestycje długoterminowe</t>
  </si>
  <si>
    <t>Długoterminowe rozliczenia międzyokresowe</t>
  </si>
  <si>
    <t>Aktywa obrotowe</t>
  </si>
  <si>
    <t>Zapasy</t>
  </si>
  <si>
    <t>Należności krótkoterminowe</t>
  </si>
  <si>
    <t>Inwestycje krótkoterminowe, w tym:</t>
  </si>
  <si>
    <t>- środki pieniężne i inne aktywa pieniężne</t>
  </si>
  <si>
    <t>Krótkoterminowe rozliczenia międzyokresowe</t>
  </si>
  <si>
    <t>Aktywa razem (A+B)</t>
  </si>
  <si>
    <t>PASYWA</t>
  </si>
  <si>
    <t>Kapitał (fundusz) własny</t>
  </si>
  <si>
    <t>Kapitał (fundusz) podstawowy</t>
  </si>
  <si>
    <t>Należne, lecz nie wniesione wkłady na poczet kapitału (-)</t>
  </si>
  <si>
    <t>Udziały (akcje) własne (-)</t>
  </si>
  <si>
    <t>Kapitał (fundusz) zapasowy</t>
  </si>
  <si>
    <t>Kapitał (fundusz) rezerwowy z aktualizacji wyceny</t>
  </si>
  <si>
    <t>Pozostałe kapitały (fundusze) rezerwowe</t>
  </si>
  <si>
    <t>VII.</t>
  </si>
  <si>
    <t>Zysk (strata) z lat ubiegłych</t>
  </si>
  <si>
    <t>Zysk (strata) netto</t>
  </si>
  <si>
    <t>IX.</t>
  </si>
  <si>
    <t>Odpisy z zysku netto w ciągu roku obrotowego (-)</t>
  </si>
  <si>
    <t>Zobowiązania i rezerwy na zobowiązania</t>
  </si>
  <si>
    <t>Rezerwy na zobowiązania</t>
  </si>
  <si>
    <t>Zobowiązania długoterminowe, w tym:</t>
  </si>
  <si>
    <t>- z tytułu wnioskowanej pożyczki z NFOŚiGW</t>
  </si>
  <si>
    <t>Zobowiązania krótkoterminowe, w tym:</t>
  </si>
  <si>
    <t>Rozliczenia międzyokresowe, w tym:</t>
  </si>
  <si>
    <t>Suma Pasywów (A+B)</t>
  </si>
  <si>
    <t>Rachunek przepływów pieniężnych</t>
  </si>
  <si>
    <t>Przepływy środków pieniężnych z działalności operacyjnej</t>
  </si>
  <si>
    <t>Zysk ( strata ) netto</t>
  </si>
  <si>
    <t>Korekty</t>
  </si>
  <si>
    <t>1.</t>
  </si>
  <si>
    <t>2.</t>
  </si>
  <si>
    <t>Zysk/strata z tytułu różnic kursowych</t>
  </si>
  <si>
    <t>3.</t>
  </si>
  <si>
    <t>Odsetki i udziały w zyskach (dywidendy)</t>
  </si>
  <si>
    <t>4.</t>
  </si>
  <si>
    <t>Zysk/strata z działalności inwestycyjnej</t>
  </si>
  <si>
    <t>5.</t>
  </si>
  <si>
    <t>Zmiana stanu rezerw</t>
  </si>
  <si>
    <t>6.</t>
  </si>
  <si>
    <t>Zmiana stanu zapasów</t>
  </si>
  <si>
    <t>7.</t>
  </si>
  <si>
    <t>Zmiana stanu należności</t>
  </si>
  <si>
    <t>8.</t>
  </si>
  <si>
    <t>Zmiana stanu zobowiązań krótkoterminowych (bez kredytów i pożyczek)</t>
  </si>
  <si>
    <t>9.</t>
  </si>
  <si>
    <t>Zmiana stanu rozliczeń międzyokresowych</t>
  </si>
  <si>
    <t>10.</t>
  </si>
  <si>
    <t>Inne korekty</t>
  </si>
  <si>
    <t>Środki pieniężne netto z działalności operacyjnej (I+II)</t>
  </si>
  <si>
    <t>Przepływy środków pieniężnych z działalności inwestycyjnej</t>
  </si>
  <si>
    <t>Wpływy inwestycyjne</t>
  </si>
  <si>
    <t>Wydatki inwestycyjne, w tym:</t>
  </si>
  <si>
    <t>Przepływy pieniężne netto z działalności inwestycyjnej (I-II)</t>
  </si>
  <si>
    <t>Przepływy środków pieniężnych z działalności finansowej</t>
  </si>
  <si>
    <t>Wpływy finansowe, w tym:</t>
  </si>
  <si>
    <t>- z tytułu wnioskowanej dotacji/pożyczki z NFOŚiGW</t>
  </si>
  <si>
    <t>Wydatki finansowe, w tym:</t>
  </si>
  <si>
    <t>Spłaty kredytów i pożyczek, w tym:</t>
  </si>
  <si>
    <t>Odsetki, w tym:</t>
  </si>
  <si>
    <t>- spłata odsetek od wnioskowanej pożyczki z NFOŚiGW</t>
  </si>
  <si>
    <t>Inne wydatki finansowe (np. dywidendy, leasing)</t>
  </si>
  <si>
    <t>Przepływy pieniężne netto z działalności finansowej  (I-II)</t>
  </si>
  <si>
    <t>Przepływy pieniężne netto razem (A III+B III+C III)</t>
  </si>
  <si>
    <t>Bilansowa zmiana stanu środków pieniężnych</t>
  </si>
  <si>
    <t>Środki pieniężne na początek okresu</t>
  </si>
  <si>
    <t>Środki pieniężne na koniec okresu (F+D)</t>
  </si>
  <si>
    <t>Wyszczególnienie</t>
  </si>
  <si>
    <t>2021</t>
  </si>
  <si>
    <t>2022</t>
  </si>
  <si>
    <t>A.</t>
  </si>
  <si>
    <t>Amortyzacja/Umorzenie majątku</t>
  </si>
  <si>
    <t>B.</t>
  </si>
  <si>
    <t>Koszty eksploatacyjne:</t>
  </si>
  <si>
    <t>Materiały</t>
  </si>
  <si>
    <t>Energia</t>
  </si>
  <si>
    <t>Usługi</t>
  </si>
  <si>
    <t>Wynagrodzenia i świadczenia na rzecz pracowników</t>
  </si>
  <si>
    <t>Pozostałe koszty eksploatacyjne</t>
  </si>
  <si>
    <t>C.</t>
  </si>
  <si>
    <t>D.</t>
  </si>
  <si>
    <t>Pozostałe koszty operacyjne:</t>
  </si>
  <si>
    <t>D.1</t>
  </si>
  <si>
    <t>uzupełnić, dodajac wiersze odpowiednie dla projektu</t>
  </si>
  <si>
    <t>E.</t>
  </si>
  <si>
    <t>Razem koszty operacyjne (A+B+C+D)</t>
  </si>
  <si>
    <t>Przychody ze sprzedaży (1.1 x 1.2)</t>
  </si>
  <si>
    <t>1.1</t>
  </si>
  <si>
    <t>Roczna sprzedaż w ujęciu ilościowym</t>
  </si>
  <si>
    <t>1.2</t>
  </si>
  <si>
    <t>Jednostkowa cena</t>
  </si>
  <si>
    <t>Przychody ze sprzedaży (2.1 x 2.2)</t>
  </si>
  <si>
    <t>2.1</t>
  </si>
  <si>
    <t>2.2</t>
  </si>
  <si>
    <t>Pozostałe przychody:</t>
  </si>
  <si>
    <t>3.1</t>
  </si>
  <si>
    <t>3.2</t>
  </si>
  <si>
    <t>F.</t>
  </si>
  <si>
    <t>Razem przychody:</t>
  </si>
  <si>
    <t>G.</t>
  </si>
  <si>
    <t>Wynik brutto (F - E)</t>
  </si>
  <si>
    <t>H.</t>
  </si>
  <si>
    <t>Podatek dochodowy (jeżeli dotyczy)</t>
  </si>
  <si>
    <t>Wynik netto  (G-H)</t>
  </si>
  <si>
    <t>J.</t>
  </si>
  <si>
    <t>Nadwyżka finansowa (A + I)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</si>
  <si>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</si>
  <si>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</si>
  <si>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</si>
  <si>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</si>
  <si>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</si>
  <si>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</si>
  <si>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</si>
  <si>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</si>
  <si>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</si>
  <si>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</si>
  <si>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</si>
  <si>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</si>
  <si>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</si>
  <si>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</si>
  <si>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</si>
  <si>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</si>
  <si>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</si>
  <si>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</si>
  <si>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</si>
  <si>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</si>
  <si>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</si>
  <si>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</si>
  <si>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</si>
  <si>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</si>
  <si>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</si>
  <si>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Saldo zadłużenia</t>
  </si>
  <si>
    <t>POŻYCZKI</t>
  </si>
  <si>
    <t>kwota zobowiązania</t>
  </si>
  <si>
    <t>BO 2020</t>
  </si>
  <si>
    <t>BZ 2020</t>
  </si>
  <si>
    <t>BZ 2021</t>
  </si>
  <si>
    <t>BZ 2022</t>
  </si>
  <si>
    <t>BZ 2023</t>
  </si>
  <si>
    <t>BZ 2024</t>
  </si>
  <si>
    <t>BZ 2025</t>
  </si>
  <si>
    <t>BZ 2026</t>
  </si>
  <si>
    <t>BZ 2027</t>
  </si>
  <si>
    <t>BZ 2028</t>
  </si>
  <si>
    <t>BZ 2029</t>
  </si>
  <si>
    <t>BZ 2030</t>
  </si>
  <si>
    <t>BZ 2031</t>
  </si>
  <si>
    <t>BZ 2032</t>
  </si>
  <si>
    <t>WFOŚiGW</t>
  </si>
  <si>
    <t>pożyczka 66/2020/82/OZ/uk/P</t>
  </si>
  <si>
    <t>harmonogram</t>
  </si>
  <si>
    <t>pożyczka 67/2020/82/OZ/si/P</t>
  </si>
  <si>
    <t>pożyczka 225/2019/82/OZ/uk/P</t>
  </si>
  <si>
    <t>2 wypłata</t>
  </si>
  <si>
    <t>pożyczka 252/2018/82/OZ/uk/P</t>
  </si>
  <si>
    <t>pożyczka 177/2012/82/OZ/si/P</t>
  </si>
  <si>
    <t>260-1-1; 260-2-1</t>
  </si>
  <si>
    <t>saldo F-K</t>
  </si>
  <si>
    <t>sprawdzenie</t>
  </si>
  <si>
    <t>NFOŚiGW</t>
  </si>
  <si>
    <t>pożyczka 149/2017/Wn12/OZ-uk/go/P</t>
  </si>
  <si>
    <t>pożyczka 280/2011/Wn12/OZ-uk/ps/P</t>
  </si>
  <si>
    <t>260-1-2; 260-2-2</t>
  </si>
  <si>
    <t>Ʃ ZADŁUŻENIA POŻYCZEK</t>
  </si>
  <si>
    <t>BOŚ</t>
  </si>
  <si>
    <t>135-3-2</t>
  </si>
  <si>
    <t>kredyt 35154011281112704349770004</t>
  </si>
  <si>
    <t>135-2-2</t>
  </si>
  <si>
    <t>kredyt 62154011281112704349770003</t>
  </si>
  <si>
    <t>Ʃ ZADŁUŻENIA KREDYTÓW</t>
  </si>
  <si>
    <t xml:space="preserve">Ʃ ZADŁUŻENIA </t>
  </si>
  <si>
    <t>Lp</t>
  </si>
  <si>
    <t>Przedmiot leasingu</t>
  </si>
  <si>
    <t>nr rej.</t>
  </si>
  <si>
    <t>nr ŚT</t>
  </si>
  <si>
    <t>Finansujący</t>
  </si>
  <si>
    <t>nr umowy</t>
  </si>
  <si>
    <t>Wartość przedmiotru leasingu</t>
  </si>
  <si>
    <t>Samochód ciążarowy DMC</t>
  </si>
  <si>
    <t>ST9437K</t>
  </si>
  <si>
    <t>730/2019</t>
  </si>
  <si>
    <t>Millennium</t>
  </si>
  <si>
    <t>rata kapitału</t>
  </si>
  <si>
    <t>saldo kapitału</t>
  </si>
  <si>
    <t>rata ogółem</t>
  </si>
  <si>
    <t>odsetki</t>
  </si>
  <si>
    <t>kapitał</t>
  </si>
  <si>
    <t>różnica</t>
  </si>
  <si>
    <t>ST5157R</t>
  </si>
  <si>
    <t>756/2020</t>
  </si>
  <si>
    <t>Ładowarka kołowa</t>
  </si>
  <si>
    <t>758/2020</t>
  </si>
  <si>
    <t>Spycharka gąsienicowa</t>
  </si>
  <si>
    <t>731/2019</t>
  </si>
  <si>
    <t>SG equipment</t>
  </si>
  <si>
    <t>Zamiatarka Terberg</t>
  </si>
  <si>
    <t>732/2019</t>
  </si>
  <si>
    <t>Samochód ciężarowy VOLVO FE 260</t>
  </si>
  <si>
    <t>DL2318E</t>
  </si>
  <si>
    <t>733/2019</t>
  </si>
  <si>
    <t>EFL SA</t>
  </si>
  <si>
    <t>17416/JG/19</t>
  </si>
  <si>
    <t>Samochód ciężarowy VOLVO FE 300</t>
  </si>
  <si>
    <t>DL2319E</t>
  </si>
  <si>
    <t>734/2019</t>
  </si>
  <si>
    <t>17417/JG/19</t>
  </si>
  <si>
    <t>System ppoż</t>
  </si>
  <si>
    <t>746/2019</t>
  </si>
  <si>
    <t>Idea Getin Leasing</t>
  </si>
  <si>
    <t>Samochód Toyota</t>
  </si>
  <si>
    <t>ST6802L</t>
  </si>
  <si>
    <t>619/2019</t>
  </si>
  <si>
    <t>Idea Leasing</t>
  </si>
  <si>
    <t>Maszyna przeładunkowa ATLAS</t>
  </si>
  <si>
    <t>785/2020</t>
  </si>
  <si>
    <t>Ʃ odsetek</t>
  </si>
  <si>
    <t>Nr</t>
  </si>
  <si>
    <t>Nazwa środka</t>
  </si>
  <si>
    <t>Numer
ewidencyjny</t>
  </si>
  <si>
    <t>Konto umorzeń</t>
  </si>
  <si>
    <t>Wartość początkowa
po zmianach</t>
  </si>
  <si>
    <t>Typ
amortyzacji</t>
  </si>
  <si>
    <t>Stopa
[%]</t>
  </si>
  <si>
    <t>Współcz.
modyf.</t>
  </si>
  <si>
    <t>01/2021</t>
  </si>
  <si>
    <t>02/2021</t>
  </si>
  <si>
    <t>03/2021</t>
  </si>
  <si>
    <t>04/2021</t>
  </si>
  <si>
    <t>05/2021</t>
  </si>
  <si>
    <t>06/2021</t>
  </si>
  <si>
    <t>07/2021</t>
  </si>
  <si>
    <t>08/2021</t>
  </si>
  <si>
    <t>09/2021</t>
  </si>
  <si>
    <t>10/2021</t>
  </si>
  <si>
    <t>11/2021</t>
  </si>
  <si>
    <t>12/2021</t>
  </si>
  <si>
    <t>Budynek portierni</t>
  </si>
  <si>
    <t>589/2017</t>
  </si>
  <si>
    <t>070-1-1-1</t>
  </si>
  <si>
    <t>liniowa</t>
  </si>
  <si>
    <t>Budynek warsztatowy</t>
  </si>
  <si>
    <t>599/2017</t>
  </si>
  <si>
    <t>Kontener socjalno- administracyjny PSZOK ul. Lokalna</t>
  </si>
  <si>
    <t>783/2021</t>
  </si>
  <si>
    <t>Magazyn podręczny</t>
  </si>
  <si>
    <t>590/2017</t>
  </si>
  <si>
    <t>Ogrodzenia boczne</t>
  </si>
  <si>
    <t>592/2017</t>
  </si>
  <si>
    <t>Ogrodzenia frontowe</t>
  </si>
  <si>
    <t>593/2017</t>
  </si>
  <si>
    <t>Boksy do składowania kompostu</t>
  </si>
  <si>
    <t>630/2018</t>
  </si>
  <si>
    <t>070-1-1-2</t>
  </si>
  <si>
    <t>Boksy na surowce wtórne</t>
  </si>
  <si>
    <t>96/2002</t>
  </si>
  <si>
    <t>Droga technologiczna</t>
  </si>
  <si>
    <t>97/2002</t>
  </si>
  <si>
    <t>Hala segregacji</t>
  </si>
  <si>
    <t>100/2002</t>
  </si>
  <si>
    <t>Instalacja zasilania i sterowania</t>
  </si>
  <si>
    <t>683/2018</t>
  </si>
  <si>
    <t>Kanalizacja działki 605/24</t>
  </si>
  <si>
    <t>628/2018</t>
  </si>
  <si>
    <t>Nawierzchnia betonowa dla składowania odpadu i mat. przerabianego i uzyskiwanego w procesie komposto</t>
  </si>
  <si>
    <t>755/2020</t>
  </si>
  <si>
    <t>Ogrodzenie</t>
  </si>
  <si>
    <t>166/2005</t>
  </si>
  <si>
    <t>Ogrodzenie wraz z bramą</t>
  </si>
  <si>
    <t>636/2018</t>
  </si>
  <si>
    <t>Piesze ciągi komunikacyjne</t>
  </si>
  <si>
    <t>612/2017</t>
  </si>
  <si>
    <t>780/2020</t>
  </si>
  <si>
    <t>Plac manewrowy</t>
  </si>
  <si>
    <t>631/2018</t>
  </si>
  <si>
    <t>Plac przy hali segregacji</t>
  </si>
  <si>
    <t>95/2002</t>
  </si>
  <si>
    <t>Place utwardzone</t>
  </si>
  <si>
    <t>591/2017</t>
  </si>
  <si>
    <t>Podczyszczalnia ścieków technologicznych</t>
  </si>
  <si>
    <t>678/2018</t>
  </si>
  <si>
    <t>Rów wraz z wylotem odprowadzający wody deszczowe z terenu MZKZOK</t>
  </si>
  <si>
    <t>711/2019</t>
  </si>
  <si>
    <t>Sieć kanalizacji deszczowej</t>
  </si>
  <si>
    <t>632/2018</t>
  </si>
  <si>
    <t>Sieć wewnętrzna prądu</t>
  </si>
  <si>
    <t>595/2017</t>
  </si>
  <si>
    <t>Sieć wewnętrzna wody</t>
  </si>
  <si>
    <t>594/2017</t>
  </si>
  <si>
    <t>Utwardzony plac przy boksach na placu kompostowania</t>
  </si>
  <si>
    <t>689/2019</t>
  </si>
  <si>
    <t>Zadaszenie strefy załadunku RDF</t>
  </si>
  <si>
    <t>640/2018</t>
  </si>
  <si>
    <t>Chłodziarka labolatoryjna</t>
  </si>
  <si>
    <t>465/2014</t>
  </si>
  <si>
    <t>070-1-1-4</t>
  </si>
  <si>
    <t>Dell Vostro I5</t>
  </si>
  <si>
    <t>741/2019</t>
  </si>
  <si>
    <t>742/2019</t>
  </si>
  <si>
    <t>Dell Vostro I5 (K30)</t>
  </si>
  <si>
    <t>728/2019</t>
  </si>
  <si>
    <t>Kompresor śrubowy Herma</t>
  </si>
  <si>
    <t>729/2019</t>
  </si>
  <si>
    <t>Mobilny przesiewacz gwiaździsty</t>
  </si>
  <si>
    <t>677/2018</t>
  </si>
  <si>
    <t>Notebook DELL Vastro 3578 N50</t>
  </si>
  <si>
    <t>637/2018</t>
  </si>
  <si>
    <t>Notebook Dell Vostro (N66)</t>
  </si>
  <si>
    <t>726/2019</t>
  </si>
  <si>
    <t>Notebook Dell Vostro I5 15'6</t>
  </si>
  <si>
    <t>709/2019</t>
  </si>
  <si>
    <t>Notebook Dell Vostro I5 15'6 N63</t>
  </si>
  <si>
    <t>713/2019</t>
  </si>
  <si>
    <t>Notebook Dell Vostro I5 15'6 N64</t>
  </si>
  <si>
    <t>714/2019</t>
  </si>
  <si>
    <t>Półautomatyczna przecinarka taśmowa MEX-230PA</t>
  </si>
  <si>
    <t>773/2020</t>
  </si>
  <si>
    <t>Sprężarka</t>
  </si>
  <si>
    <t>776/2020</t>
  </si>
  <si>
    <t>Wentylator stacjonarny</t>
  </si>
  <si>
    <t>613/2017</t>
  </si>
  <si>
    <t>Wentylator stacjonarny WPA-13-S-3-N</t>
  </si>
  <si>
    <t>663/2018</t>
  </si>
  <si>
    <t>Ładowarka kołowa LIUGONG 856H</t>
  </si>
  <si>
    <t>070-1-1-5</t>
  </si>
  <si>
    <t>Ładowarka teleskopowa JCB</t>
  </si>
  <si>
    <t>649/2018</t>
  </si>
  <si>
    <t>Instalacja napowietrzania w boksach na paliwo RDF</t>
  </si>
  <si>
    <t>664/2018</t>
  </si>
  <si>
    <t>070-1-1-6</t>
  </si>
  <si>
    <t>Instalacja wentylacyjno-susząca w boksach na paliwo RDF</t>
  </si>
  <si>
    <t>629/2018</t>
  </si>
  <si>
    <t>Klimatyzacja- budynek administracji</t>
  </si>
  <si>
    <t>704/2019</t>
  </si>
  <si>
    <t>705/2019</t>
  </si>
  <si>
    <t>706/2019</t>
  </si>
  <si>
    <t>Klimatyzator</t>
  </si>
  <si>
    <t>542/2015</t>
  </si>
  <si>
    <t>Klimatyzator UR</t>
  </si>
  <si>
    <t>757/2020</t>
  </si>
  <si>
    <t>Klimatyzator w pomieszczeniu jadalni</t>
  </si>
  <si>
    <t>720/2019</t>
  </si>
  <si>
    <t>Klimatyzatory LG</t>
  </si>
  <si>
    <t>696/2019</t>
  </si>
  <si>
    <t>Kurtyna PCV wraz z napędem</t>
  </si>
  <si>
    <t>657/2018</t>
  </si>
  <si>
    <t>Monitoring termowizyjny</t>
  </si>
  <si>
    <t>618/2017</t>
  </si>
  <si>
    <t>Osuszacz absorpcyjny</t>
  </si>
  <si>
    <t>775/2020</t>
  </si>
  <si>
    <t>Przenośnik taśmowy</t>
  </si>
  <si>
    <t>681/2018</t>
  </si>
  <si>
    <t>Rozdrabniacz Lindner</t>
  </si>
  <si>
    <t>680/2018</t>
  </si>
  <si>
    <t>Rozdrabniacz Terminator</t>
  </si>
  <si>
    <t>724/2019</t>
  </si>
  <si>
    <t>Separator z osadnikiem</t>
  </si>
  <si>
    <t>633/2018</t>
  </si>
  <si>
    <t>System p.poż</t>
  </si>
  <si>
    <t>736/2019</t>
  </si>
  <si>
    <t>System wideodomofonów, interkom oraz szlabany</t>
  </si>
  <si>
    <t>528/2015</t>
  </si>
  <si>
    <t>System wzmacniacza sygnału GSM</t>
  </si>
  <si>
    <t>676/2018</t>
  </si>
  <si>
    <t>Waga samochodowa 6ton</t>
  </si>
  <si>
    <t>529/2015</t>
  </si>
  <si>
    <t>Zasilanie rozdzielnicy RT2</t>
  </si>
  <si>
    <t>679/2018</t>
  </si>
  <si>
    <t>Ciągnik siodłowy ST 4858K</t>
  </si>
  <si>
    <t>583/2016</t>
  </si>
  <si>
    <t>070-1-1-7</t>
  </si>
  <si>
    <t>Elektryczny pojazd wolnobieżny</t>
  </si>
  <si>
    <t>703/2019</t>
  </si>
  <si>
    <t>Naczepa ST1050H</t>
  </si>
  <si>
    <t>582/2016</t>
  </si>
  <si>
    <t>Balustrady nad węzłem CO</t>
  </si>
  <si>
    <t>666/2018</t>
  </si>
  <si>
    <t>070-1-1-8</t>
  </si>
  <si>
    <t>Konstrukcje metalowe (podesty, drabiny)</t>
  </si>
  <si>
    <t>667/2018</t>
  </si>
  <si>
    <t>Konstrukcje stalowe</t>
  </si>
  <si>
    <t>682/2018</t>
  </si>
  <si>
    <t>Kontener KP32</t>
  </si>
  <si>
    <t>748/2020</t>
  </si>
  <si>
    <t>Kontener magazynowy</t>
  </si>
  <si>
    <t>516/2015</t>
  </si>
  <si>
    <t>564/2016</t>
  </si>
  <si>
    <t>565/2016</t>
  </si>
  <si>
    <t>Narzędzia</t>
  </si>
  <si>
    <t>579/2016</t>
  </si>
  <si>
    <t>Oświetlenie boksów</t>
  </si>
  <si>
    <t>634/2018</t>
  </si>
  <si>
    <t>Oświetlenie strefy zadaszenia RDF</t>
  </si>
  <si>
    <t>639/2018</t>
  </si>
  <si>
    <t>Oświetlenie zewnętrzne boksów i placu manewrowego</t>
  </si>
  <si>
    <t>635/2018</t>
  </si>
  <si>
    <t>Podest przy fermenterach (25H23)</t>
  </si>
  <si>
    <t>665/2018</t>
  </si>
  <si>
    <t>Regały magazynowe wraz z wygrodzeniem siatkowym</t>
  </si>
  <si>
    <t>615/2017</t>
  </si>
  <si>
    <t>RZO Wyry</t>
  </si>
  <si>
    <t>92/2002</t>
  </si>
  <si>
    <t>Szafki ubraniowe</t>
  </si>
  <si>
    <t>659/2018</t>
  </si>
  <si>
    <t>Boksy (wiata) na stłuczkę szklaną</t>
  </si>
  <si>
    <t>503/2014</t>
  </si>
  <si>
    <t>070-1-2-1</t>
  </si>
  <si>
    <t>Budynek administracyjno socjalny ob.12</t>
  </si>
  <si>
    <t>488/2014</t>
  </si>
  <si>
    <t>Budynek wagi ob.3</t>
  </si>
  <si>
    <t>489/2014</t>
  </si>
  <si>
    <t>Hala fermentacji ob 6e, 6d</t>
  </si>
  <si>
    <t>486/2014</t>
  </si>
  <si>
    <t>Hala sortowni ob.5,5a</t>
  </si>
  <si>
    <t>485/2014</t>
  </si>
  <si>
    <t>Hala stabilizacji tlenowej ob. 6a, 6b, 6d3</t>
  </si>
  <si>
    <t>487/2014</t>
  </si>
  <si>
    <t>Linia stabilizacji tlenowej</t>
  </si>
  <si>
    <t>507/2014</t>
  </si>
  <si>
    <t>Ogrodzenie o bramy wjazdowe ob. 17</t>
  </si>
  <si>
    <t>494/2014</t>
  </si>
  <si>
    <t>Wiaty magazynowe ob. 9,10,11,22,23</t>
  </si>
  <si>
    <t>490/2014</t>
  </si>
  <si>
    <t>Drogi i place wewnętrzne</t>
  </si>
  <si>
    <t>491/2014</t>
  </si>
  <si>
    <t>070-1-2-2</t>
  </si>
  <si>
    <t>Parking dla samochodów osobowych ob. 13</t>
  </si>
  <si>
    <t>493/2014</t>
  </si>
  <si>
    <t>492/2014</t>
  </si>
  <si>
    <t>Sieć c-o z wymiennikami w tym ob. 33</t>
  </si>
  <si>
    <t>500/2014</t>
  </si>
  <si>
    <t>Sieć kanalizacji deszczowej "brudnej"</t>
  </si>
  <si>
    <t>499/2014</t>
  </si>
  <si>
    <t>Sieć kanalizacji deszczowej "czystej" wraz zb.</t>
  </si>
  <si>
    <t>498/2014</t>
  </si>
  <si>
    <t>Sieć kanalizacji sanitarnej z przyłączem</t>
  </si>
  <si>
    <t>496/2014</t>
  </si>
  <si>
    <t>Sieć kanalizacji technologicznej</t>
  </si>
  <si>
    <t>497/2014</t>
  </si>
  <si>
    <t>Sieć przesyłowa energ. elektr. SN</t>
  </si>
  <si>
    <t>502/2014</t>
  </si>
  <si>
    <t>Sieć wodociągowa z przyłaczem</t>
  </si>
  <si>
    <t>495/2014</t>
  </si>
  <si>
    <t>Sieć zasilająca obiekty w energ. elektr.</t>
  </si>
  <si>
    <t>501/2014</t>
  </si>
  <si>
    <t>Węzeł przeróbki odpadów budowlanych</t>
  </si>
  <si>
    <t>504/2014</t>
  </si>
  <si>
    <t>Urządzenia stacji kogeneracji</t>
  </si>
  <si>
    <t>510/2014</t>
  </si>
  <si>
    <t>070-1-2-3</t>
  </si>
  <si>
    <t>Piec- wyposażenie labolatorium</t>
  </si>
  <si>
    <t>521/2015</t>
  </si>
  <si>
    <t>070-1-2-4</t>
  </si>
  <si>
    <t>Centrala telefoniczna</t>
  </si>
  <si>
    <t>475/2014</t>
  </si>
  <si>
    <t>070-1-2-6</t>
  </si>
  <si>
    <t>Podnośnik nożycowy</t>
  </si>
  <si>
    <t>535/2015</t>
  </si>
  <si>
    <t>Podnośnik teleskopowo- przegubowy</t>
  </si>
  <si>
    <t>534/2015</t>
  </si>
  <si>
    <t>Urządzenia technologiczne fermentacji</t>
  </si>
  <si>
    <t>506/2014</t>
  </si>
  <si>
    <t>Wagi samochodowe</t>
  </si>
  <si>
    <t>512/2014</t>
  </si>
  <si>
    <t>Wyposażenie sortowni</t>
  </si>
  <si>
    <t>505/2014</t>
  </si>
  <si>
    <t>Maszyna czyszcząca 41B</t>
  </si>
  <si>
    <t>479/2014</t>
  </si>
  <si>
    <t>070-1-2-7</t>
  </si>
  <si>
    <t>Maszyna czyszcząca TITAN 252BF</t>
  </si>
  <si>
    <t>478/2014</t>
  </si>
  <si>
    <t>Myjka ciśnieniowa</t>
  </si>
  <si>
    <t>480/2014</t>
  </si>
  <si>
    <t>Wózek widłowy HELI CPQD30</t>
  </si>
  <si>
    <t>539/2015</t>
  </si>
  <si>
    <t>540/2015</t>
  </si>
  <si>
    <t>Wózek widłowy HELI CPQD35</t>
  </si>
  <si>
    <t>538/2015</t>
  </si>
  <si>
    <t>Zamiatarka JET</t>
  </si>
  <si>
    <t>477/2014</t>
  </si>
  <si>
    <t>Myjnia kół pojazdu</t>
  </si>
  <si>
    <t>513/2014</t>
  </si>
  <si>
    <t>070-1-2-8</t>
  </si>
  <si>
    <t>511/2014</t>
  </si>
  <si>
    <t>Rozdrabniarko- mieszarka</t>
  </si>
  <si>
    <t>481/2014</t>
  </si>
  <si>
    <t>Urządzenia oczyszczania powietrza</t>
  </si>
  <si>
    <t>508/2014</t>
  </si>
  <si>
    <t>Urządzenia transportu i oczyszczania biogazu</t>
  </si>
  <si>
    <t>509/2014</t>
  </si>
  <si>
    <t>System p.poż II</t>
  </si>
  <si>
    <t>070-1-4-6</t>
  </si>
  <si>
    <t>Ogrodzenie PSZOK Chełm Śląski</t>
  </si>
  <si>
    <t>699/2019</t>
  </si>
  <si>
    <t>070-2-1-2</t>
  </si>
  <si>
    <t>Ogrodzenie PSZOK MIKOŁOWSKA</t>
  </si>
  <si>
    <t>404/2014</t>
  </si>
  <si>
    <t>Plac składowy na magazynowanie kontenerów</t>
  </si>
  <si>
    <t>784/2021</t>
  </si>
  <si>
    <t>Rampa PSZOK Chełm Śląski</t>
  </si>
  <si>
    <t>700/2019</t>
  </si>
  <si>
    <t>Dell Laptop 15</t>
  </si>
  <si>
    <t>747/2020</t>
  </si>
  <si>
    <t>070-2-1-4</t>
  </si>
  <si>
    <t>Dell Laptop I5 N69</t>
  </si>
  <si>
    <t>743/2019</t>
  </si>
  <si>
    <t>Dell Laptop Latitude N70</t>
  </si>
  <si>
    <t>753/2020</t>
  </si>
  <si>
    <t>Dell Laptop Vostro 15 (N 73)</t>
  </si>
  <si>
    <t>761/2020</t>
  </si>
  <si>
    <t>Dell Laptop Vostro N72</t>
  </si>
  <si>
    <t>752/2020</t>
  </si>
  <si>
    <t>Dell Vostro I5 K32</t>
  </si>
  <si>
    <t>739/2019</t>
  </si>
  <si>
    <t>Komputer Dell Vostro 3268 z Windows 10 Pro K24</t>
  </si>
  <si>
    <t>642/2018</t>
  </si>
  <si>
    <t>Komputer Dell Vostro 3268 z Windows 10 Pro K25</t>
  </si>
  <si>
    <t>644/2018</t>
  </si>
  <si>
    <t>Komputer Dell Vostro 3268 z Windows 10 Pro K26</t>
  </si>
  <si>
    <t>646/2018</t>
  </si>
  <si>
    <t>Notebook HP 450 G4 N49</t>
  </si>
  <si>
    <t>621/2018</t>
  </si>
  <si>
    <t>Urządzenie myjące na zabudowie samochodu</t>
  </si>
  <si>
    <t>723/2019</t>
  </si>
  <si>
    <t>Monitoring- PSZOK</t>
  </si>
  <si>
    <t>403/2014</t>
  </si>
  <si>
    <t>070-2-1-6</t>
  </si>
  <si>
    <t>Monitoring wizyjny</t>
  </si>
  <si>
    <t>607/2017</t>
  </si>
  <si>
    <t>Monitoring wizyjny ST4300M</t>
  </si>
  <si>
    <t>648/2018</t>
  </si>
  <si>
    <t>System monitoringu- PSZOK</t>
  </si>
  <si>
    <t>754/2020</t>
  </si>
  <si>
    <t>System monitorowania pojazdów GPS</t>
  </si>
  <si>
    <t>514/2014</t>
  </si>
  <si>
    <t>Waga samochodowa</t>
  </si>
  <si>
    <t>394/2013</t>
  </si>
  <si>
    <t>Waga samochodowa 6t</t>
  </si>
  <si>
    <t>551/2015</t>
  </si>
  <si>
    <t>Waga samochodowa 6t- Kobiór</t>
  </si>
  <si>
    <t>561/2016</t>
  </si>
  <si>
    <t>Zestaw monitoringu wizyjnego</t>
  </si>
  <si>
    <t>605/2017</t>
  </si>
  <si>
    <t>Przyczepa ST 5656H</t>
  </si>
  <si>
    <t>760/2020</t>
  </si>
  <si>
    <t>070-2-1-7</t>
  </si>
  <si>
    <t>Przyczepa ST 9387A</t>
  </si>
  <si>
    <t>525/2015</t>
  </si>
  <si>
    <t>Samochód ciężarowy Mercedes Benz Atego 815 ST4300M</t>
  </si>
  <si>
    <t>641/2018</t>
  </si>
  <si>
    <t>Samochód ciężarowy ST4952J</t>
  </si>
  <si>
    <t>560/2016</t>
  </si>
  <si>
    <t>Kontener KP7, KP10</t>
  </si>
  <si>
    <t>759/2020</t>
  </si>
  <si>
    <t>070-2-1-8</t>
  </si>
  <si>
    <t>Kontener socjalno- administracyjny PSZOK ul. Katowicka</t>
  </si>
  <si>
    <t>782/2021</t>
  </si>
  <si>
    <t>Kontener socjalno- administracyjny PSZOK ul. Serdeczna</t>
  </si>
  <si>
    <t>781/2021</t>
  </si>
  <si>
    <t>Kontenery KP10</t>
  </si>
  <si>
    <t>721/2019</t>
  </si>
  <si>
    <t>722/2019</t>
  </si>
  <si>
    <t>Moduł kontenerowy</t>
  </si>
  <si>
    <t>383/2013</t>
  </si>
  <si>
    <t>Plac utwardzony PSZOK Bojszowy</t>
  </si>
  <si>
    <t>395/2014</t>
  </si>
  <si>
    <t>Plac utwardzony PSZOK Chełm Ślaski</t>
  </si>
  <si>
    <t>396/2014</t>
  </si>
  <si>
    <t>Plac utwardzony PSZOK Imielin</t>
  </si>
  <si>
    <t>397/2014</t>
  </si>
  <si>
    <t>Plac utwardzony PSZOK Tychy Katowicka</t>
  </si>
  <si>
    <t>399/2014</t>
  </si>
  <si>
    <t>Plac utwardzony PSZOK Tychy Mikołowska</t>
  </si>
  <si>
    <t>398/2014</t>
  </si>
  <si>
    <t>Pojemniki</t>
  </si>
  <si>
    <t>686/2019</t>
  </si>
  <si>
    <t>695/2019</t>
  </si>
  <si>
    <t>701/2019</t>
  </si>
  <si>
    <t>771/2020</t>
  </si>
  <si>
    <t>774/2020</t>
  </si>
  <si>
    <t>786/2021</t>
  </si>
  <si>
    <t>Pojemniki 1100</t>
  </si>
  <si>
    <t>716/2019</t>
  </si>
  <si>
    <t>717/2019</t>
  </si>
  <si>
    <t>Pojemniki 1100L</t>
  </si>
  <si>
    <t>580/2016</t>
  </si>
  <si>
    <t>651/2018</t>
  </si>
  <si>
    <t>Pojemniki 120, 240</t>
  </si>
  <si>
    <t>584/2016</t>
  </si>
  <si>
    <t>Pojemniki 120L</t>
  </si>
  <si>
    <t>762/2020</t>
  </si>
  <si>
    <t>Pojemniki 120L, 240L</t>
  </si>
  <si>
    <t>749/2020</t>
  </si>
  <si>
    <t>750/2020</t>
  </si>
  <si>
    <t>Pojemniki 120L, 240L, 1100L</t>
  </si>
  <si>
    <t>624/2018</t>
  </si>
  <si>
    <t>652/2018</t>
  </si>
  <si>
    <t>Pojemniki 120L, 240L, 140L, 80L</t>
  </si>
  <si>
    <t>627/2018</t>
  </si>
  <si>
    <t>Pojemniki 240, 1,1</t>
  </si>
  <si>
    <t>585/2017</t>
  </si>
  <si>
    <t>Pojemniki 240, 1,1, 120</t>
  </si>
  <si>
    <t>586/2017</t>
  </si>
  <si>
    <t>587/2017</t>
  </si>
  <si>
    <t>Pojemniki 240, 120</t>
  </si>
  <si>
    <t>588/2017</t>
  </si>
  <si>
    <t>Pojemniki 80L, 120L, 140L, 240L, 360L, 660L, 1100L, dzwony</t>
  </si>
  <si>
    <t>620/2017</t>
  </si>
  <si>
    <t>Pojemniki 80L, 120L, 140L, 240L, 660L, 770L, 1100L</t>
  </si>
  <si>
    <t>603/2017</t>
  </si>
  <si>
    <t>Pojemniki KP7</t>
  </si>
  <si>
    <t>715/2019</t>
  </si>
  <si>
    <t>Pojemniki na odpady</t>
  </si>
  <si>
    <t>574/2016</t>
  </si>
  <si>
    <t>PSZOK Tychy (Serdeczna)</t>
  </si>
  <si>
    <t>388/2013</t>
  </si>
  <si>
    <t>Samochód ciężarowy DAF LF ST9437K</t>
  </si>
  <si>
    <t>070-2-4-7</t>
  </si>
  <si>
    <t>Samochód ciężarowy Volvo FE260</t>
  </si>
  <si>
    <t>Samochód ciężarowy Volvo FE300</t>
  </si>
  <si>
    <t>Samochód ciężarowy VOLVO ST5157R</t>
  </si>
  <si>
    <t>Zamiatarka Terberg CityFant 6000</t>
  </si>
  <si>
    <t>Brama segmentowa</t>
  </si>
  <si>
    <t>608/2017</t>
  </si>
  <si>
    <t>070-3-1-1</t>
  </si>
  <si>
    <t>Budynek administracyjno socjalny</t>
  </si>
  <si>
    <t>94/2002</t>
  </si>
  <si>
    <t>Wiata na sprzęt</t>
  </si>
  <si>
    <t>44/1999</t>
  </si>
  <si>
    <t>Niecka składowiska</t>
  </si>
  <si>
    <t>114/2003</t>
  </si>
  <si>
    <t>070-3-1-2</t>
  </si>
  <si>
    <t>Ogrodzenie- ruchome przęsła</t>
  </si>
  <si>
    <t>33/1999</t>
  </si>
  <si>
    <t>Ogrodzenie wokół terenu składowiska</t>
  </si>
  <si>
    <t>25/1998</t>
  </si>
  <si>
    <t>Oświetlenie kwatery</t>
  </si>
  <si>
    <t>167/2005</t>
  </si>
  <si>
    <t>Parking przy MZKZOK</t>
  </si>
  <si>
    <t>688/2019</t>
  </si>
  <si>
    <t>Schody na wale składowiska</t>
  </si>
  <si>
    <t>281/2010</t>
  </si>
  <si>
    <t>Schody stalowe na skarpie składowiska</t>
  </si>
  <si>
    <t>274/2009</t>
  </si>
  <si>
    <t>Składowisko</t>
  </si>
  <si>
    <t>141/2004</t>
  </si>
  <si>
    <t>Studnia pomiarowa</t>
  </si>
  <si>
    <t>187/2005</t>
  </si>
  <si>
    <t>Urządzenie melioracyjne</t>
  </si>
  <si>
    <t>32/1999</t>
  </si>
  <si>
    <t>Utwardzony plac</t>
  </si>
  <si>
    <t>325/2012</t>
  </si>
  <si>
    <t>Notebook Dell Vostro I5 14 N59</t>
  </si>
  <si>
    <t>710/2019</t>
  </si>
  <si>
    <t>070-3-1-4</t>
  </si>
  <si>
    <t>Notebook Dell Vostro I5 15'6 N60</t>
  </si>
  <si>
    <t>708/2019</t>
  </si>
  <si>
    <t>Notebook Dell Vostro I5 15'6 N65</t>
  </si>
  <si>
    <t>712/2019</t>
  </si>
  <si>
    <t>Pompa</t>
  </si>
  <si>
    <t>402/2014</t>
  </si>
  <si>
    <t>541/2015</t>
  </si>
  <si>
    <t>Pompa 65PZM 3, 0/WP-4</t>
  </si>
  <si>
    <t>626/2018</t>
  </si>
  <si>
    <t>Ładowarka Manitou MT732</t>
  </si>
  <si>
    <t>674/2018</t>
  </si>
  <si>
    <t>070-3-1-5</t>
  </si>
  <si>
    <t>Spycharka gąsienicowa T-130</t>
  </si>
  <si>
    <t>578/2016</t>
  </si>
  <si>
    <t>Kamery- plac przesiewacz</t>
  </si>
  <si>
    <t>338/2012</t>
  </si>
  <si>
    <t>070-3-1-6</t>
  </si>
  <si>
    <t>System alarmowy</t>
  </si>
  <si>
    <t>305/2011</t>
  </si>
  <si>
    <t>System monitoringu wizyjnego</t>
  </si>
  <si>
    <t>745/2019</t>
  </si>
  <si>
    <t>123/2003</t>
  </si>
  <si>
    <t>Spycharka gąsienicowa DRESSTA TD-15R EXTRA LA</t>
  </si>
  <si>
    <t>070-3-4-5</t>
  </si>
  <si>
    <t>Zbiorniki do odsiarczania biogazu</t>
  </si>
  <si>
    <t>250/2008</t>
  </si>
  <si>
    <t>070-4-1-1</t>
  </si>
  <si>
    <t>Gazociąg</t>
  </si>
  <si>
    <t>251/2008</t>
  </si>
  <si>
    <t>070-4-3-2</t>
  </si>
  <si>
    <t>Sieć odgazowania, elektryczna i cieplna</t>
  </si>
  <si>
    <t>212/2007</t>
  </si>
  <si>
    <t>Utwardzenie terenu- chodniki, brama</t>
  </si>
  <si>
    <t>224/2007</t>
  </si>
  <si>
    <t>Wykonanie wjazdu, parkingu, chodnika</t>
  </si>
  <si>
    <t>236/2007</t>
  </si>
  <si>
    <t>Agregat kogeneracyjny</t>
  </si>
  <si>
    <t>213/2007</t>
  </si>
  <si>
    <t>070-4-3-3</t>
  </si>
  <si>
    <t>Dell Laptop VOSTRO N71</t>
  </si>
  <si>
    <t>751/2020</t>
  </si>
  <si>
    <t>070-5-1-4</t>
  </si>
  <si>
    <t>Dell Vostro I5 K31</t>
  </si>
  <si>
    <t>740/2019</t>
  </si>
  <si>
    <t>Notebook ASUS ZenBook '13 N75</t>
  </si>
  <si>
    <t>772/2020</t>
  </si>
  <si>
    <t>Notebook Dell 15" Latitude (N68)</t>
  </si>
  <si>
    <t>727/2019</t>
  </si>
  <si>
    <t>Notebook Dell 15" Latitude N57</t>
  </si>
  <si>
    <t>718/2019</t>
  </si>
  <si>
    <t>Notebook Dell 15" Latitude N67</t>
  </si>
  <si>
    <t>725/2019</t>
  </si>
  <si>
    <t>Notebook Dell Latitude N55</t>
  </si>
  <si>
    <t>690/2019</t>
  </si>
  <si>
    <t>Notebook Dell Vostro I5 15'6 N61 N58</t>
  </si>
  <si>
    <t>707/2019</t>
  </si>
  <si>
    <t>Notebook Dell Vostro N56</t>
  </si>
  <si>
    <t>692/2019</t>
  </si>
  <si>
    <t>Notebook Dell Vostro N74</t>
  </si>
  <si>
    <t>770/2020</t>
  </si>
  <si>
    <t>Notebook HP 450 G4 N48</t>
  </si>
  <si>
    <t>610/2017</t>
  </si>
  <si>
    <t>NotebookDell 15" LATITUDE</t>
  </si>
  <si>
    <t>777/2020</t>
  </si>
  <si>
    <t>NotebookDell 15" VOSTRO</t>
  </si>
  <si>
    <t>778/2020</t>
  </si>
  <si>
    <t>Server NAS</t>
  </si>
  <si>
    <t>744/2019</t>
  </si>
  <si>
    <t>Serwer Dell Power Edge</t>
  </si>
  <si>
    <t>779/2020</t>
  </si>
  <si>
    <t>Drukarka EVOLIS</t>
  </si>
  <si>
    <t>526/2015</t>
  </si>
  <si>
    <t>070-5-1-8</t>
  </si>
  <si>
    <t>Niszczarka HSM Securio</t>
  </si>
  <si>
    <t>702/2019</t>
  </si>
  <si>
    <t>Urządzenie Develop ineo 3351- ksero</t>
  </si>
  <si>
    <t>606/2017</t>
  </si>
  <si>
    <t>TOYOTA RAV 4 HYBRID ST6802L</t>
  </si>
  <si>
    <t>619/2017</t>
  </si>
  <si>
    <t>070-5-4-7</t>
  </si>
  <si>
    <t>Hala modułu przygotowania odpadów biodegradowalnych zbieranych selektywnie</t>
  </si>
  <si>
    <t>763/2020</t>
  </si>
  <si>
    <t>071-1</t>
  </si>
  <si>
    <t>Rurociąg wody chłodzącej</t>
  </si>
  <si>
    <t>768/2020</t>
  </si>
  <si>
    <t>071-2</t>
  </si>
  <si>
    <t>Rurociąg wody grzewczej</t>
  </si>
  <si>
    <t>767/2020</t>
  </si>
  <si>
    <t>Chłodnica wodna CWT</t>
  </si>
  <si>
    <t>769/2020</t>
  </si>
  <si>
    <t>071-4</t>
  </si>
  <si>
    <t>Szafa elektryczna ze sterowaniem</t>
  </si>
  <si>
    <t>764/2020</t>
  </si>
  <si>
    <t>Linia pasteryzacji odpadów pochodzenia zwierzęcego</t>
  </si>
  <si>
    <t>765/2020</t>
  </si>
  <si>
    <t>071-5</t>
  </si>
  <si>
    <t>TIGER</t>
  </si>
  <si>
    <t>766/2020</t>
  </si>
  <si>
    <t>Oprogramowanie SIMATIC S7 STEP7</t>
  </si>
  <si>
    <t>738/2019</t>
  </si>
  <si>
    <t>072-1-1-3</t>
  </si>
  <si>
    <t>Program enova365 Kadry i Płace</t>
  </si>
  <si>
    <t>698/2019</t>
  </si>
  <si>
    <t>072-5-1-3</t>
  </si>
  <si>
    <t>System elektronicznego obiegu dokumentów</t>
  </si>
  <si>
    <t>737/2019</t>
  </si>
  <si>
    <t>Instalacja solarna</t>
  </si>
  <si>
    <t>348/2013</t>
  </si>
  <si>
    <t>076</t>
  </si>
  <si>
    <t>Ʃ rata kapitałowa</t>
  </si>
  <si>
    <t>Do</t>
  </si>
  <si>
    <t xml:space="preserve">Przepływy VAT </t>
  </si>
  <si>
    <t>VAT należny (okres bieżący)</t>
  </si>
  <si>
    <t>VAT naliczony (okres bieżący)</t>
  </si>
  <si>
    <t>VAT naliczony cum</t>
  </si>
  <si>
    <t>Rozliczenie VAT</t>
  </si>
  <si>
    <t>Przepływy z tytułu rozliczeń VAT naliczonego</t>
  </si>
  <si>
    <t>Przepływy z tytułu rozliczeń VAT należnego</t>
  </si>
  <si>
    <t>Stawka VAT</t>
  </si>
  <si>
    <t xml:space="preserve">Kapitał obrotowy netto </t>
  </si>
  <si>
    <t>Należności handlowe</t>
  </si>
  <si>
    <t>Zobowiązania handlowe</t>
  </si>
  <si>
    <t>Kapitał obrotowy netto</t>
  </si>
  <si>
    <t>Zmiana Kapitału obrotowego</t>
  </si>
  <si>
    <t>Zmiana zapasów</t>
  </si>
  <si>
    <t>Zmiana należności</t>
  </si>
  <si>
    <t>Zmiana zobowiązań</t>
  </si>
  <si>
    <t>Wskaźniki:</t>
  </si>
  <si>
    <t>Wskaźnik rotacji zapasów w dniach</t>
  </si>
  <si>
    <t>Wskaźnik rotacji należności w dniach</t>
  </si>
  <si>
    <t>Wskaźnik rotacji zobowiązań w dniach</t>
  </si>
  <si>
    <t>Wyszczególnienie 
(obiekty, czynności, prace, dostawy, zakupy, kontrakty)</t>
  </si>
  <si>
    <t>Jednostki miary</t>
  </si>
  <si>
    <t>Ilość, liczba</t>
  </si>
  <si>
    <t>Rodzaj pozycji (koszty całkowite / kwalifiko
wane)</t>
  </si>
  <si>
    <t>Wartość pozycji</t>
  </si>
  <si>
    <t>Dofinansowanie kosztów kwalifikowa
nych ze środków NFOŚiGW</t>
  </si>
  <si>
    <t>Planowane koszty do poniesienia [w zł]</t>
  </si>
  <si>
    <t>2021-04-09</t>
  </si>
  <si>
    <t>[w zł]</t>
  </si>
  <si>
    <t>[%]</t>
  </si>
  <si>
    <t>rok finansowania (kwartały)</t>
  </si>
  <si>
    <t>Razem</t>
  </si>
  <si>
    <t>II</t>
  </si>
  <si>
    <t>III</t>
  </si>
  <si>
    <t>IV</t>
  </si>
  <si>
    <t>zakup przesiewacza młotkowego</t>
  </si>
  <si>
    <t>szt</t>
  </si>
  <si>
    <t>kwalifikowane</t>
  </si>
  <si>
    <t>%</t>
  </si>
  <si>
    <t>zakup sita bębnowego</t>
  </si>
  <si>
    <t>zakup separatora powietrznego</t>
  </si>
  <si>
    <t>przygotowanie dokumentacji technicznej</t>
  </si>
  <si>
    <t>RAZEM - koszt całkowity</t>
  </si>
  <si>
    <t>RAZEM - koszty kwalifikowane</t>
  </si>
  <si>
    <t>w tym koszty bieżące - nieinwestycyjne</t>
  </si>
  <si>
    <t>RAZEM - koszty niekwalifikowane</t>
  </si>
  <si>
    <t>Przesiewacz gwieździsty</t>
  </si>
  <si>
    <t>Sito bębnowe</t>
  </si>
  <si>
    <t>Separator powietrzny</t>
  </si>
  <si>
    <t>Dokumentacja techniczna</t>
  </si>
  <si>
    <t>Kredyt</t>
  </si>
  <si>
    <t>Data</t>
  </si>
  <si>
    <t>Odsetki</t>
  </si>
  <si>
    <t>Kapitał</t>
  </si>
  <si>
    <t>Rata</t>
  </si>
  <si>
    <t>Pozostało do spłaty</t>
  </si>
  <si>
    <t>Założenia</t>
  </si>
  <si>
    <t xml:space="preserve">  - kredyt</t>
  </si>
  <si>
    <t xml:space="preserve">  - oprocentowanie Marża + WIBOR 1M</t>
  </si>
  <si>
    <t xml:space="preserve"> -  prowizja</t>
  </si>
  <si>
    <t xml:space="preserve">  - liczba rat</t>
  </si>
  <si>
    <t>L.p.</t>
  </si>
  <si>
    <t>Koszty dotychczas poniesione</t>
  </si>
  <si>
    <t>Koszty niezbędne do zakończenia przedsięwzięcia</t>
  </si>
  <si>
    <t>Koszty całkowite przedsięwzięcia</t>
  </si>
  <si>
    <t>Koszty kwalifikowane przedsięwzięcia</t>
  </si>
  <si>
    <t>Koszty niekwalifikowane przedsięwzięcia</t>
  </si>
  <si>
    <t>Udział
w stosunku
do kosztów
kwalifikowanych</t>
  </si>
  <si>
    <t>od:</t>
  </si>
  <si>
    <t>2021-04-01</t>
  </si>
  <si>
    <t>w latach</t>
  </si>
  <si>
    <t>do:</t>
  </si>
  <si>
    <t>Środki własne Wnioskodawcy:</t>
  </si>
  <si>
    <t>w tym z emisji obligacji</t>
  </si>
  <si>
    <t>Kredyty i pożyczki:</t>
  </si>
  <si>
    <t>WFOŚiGW w</t>
  </si>
  <si>
    <t>2.3</t>
  </si>
  <si>
    <t>Bank</t>
  </si>
  <si>
    <t>2.4</t>
  </si>
  <si>
    <t>Kredyt z dopłatami do oprocentowania NFOŚiGW</t>
  </si>
  <si>
    <t>2.5</t>
  </si>
  <si>
    <t>Inne (określić źródło pochodzenia)</t>
  </si>
  <si>
    <t>Dotacje:</t>
  </si>
  <si>
    <t>Dotacje z NFOŚiGW</t>
  </si>
  <si>
    <t>Dotacje z WFOŚiGW w</t>
  </si>
  <si>
    <t>3.3</t>
  </si>
  <si>
    <t>Dotacje z FS/EFRR</t>
  </si>
  <si>
    <t>3.4</t>
  </si>
  <si>
    <t>Dotacje z LIFE+</t>
  </si>
  <si>
    <t>3.5</t>
  </si>
  <si>
    <t>Inne:</t>
  </si>
  <si>
    <t>4.1</t>
  </si>
  <si>
    <t>Razem:</t>
  </si>
  <si>
    <t>2036</t>
  </si>
  <si>
    <t>Obroty aktywnych kont analitycznych (bez pozabilansowych) za miesiąc: 12-2020</t>
  </si>
  <si>
    <t>Konto</t>
  </si>
  <si>
    <t>Nazwa</t>
  </si>
  <si>
    <t>bilans otwarcia Wn</t>
  </si>
  <si>
    <t>bilans otwarcia Ma</t>
  </si>
  <si>
    <t>obroty Wn</t>
  </si>
  <si>
    <t>obroty Ma</t>
  </si>
  <si>
    <t>narastająco Wn</t>
  </si>
  <si>
    <t>narastająco Ma</t>
  </si>
  <si>
    <t>Saldo Wn</t>
  </si>
  <si>
    <t>Saldo Ma</t>
  </si>
  <si>
    <t>010</t>
  </si>
  <si>
    <t>Środki trwałe</t>
  </si>
  <si>
    <t>010-1-1-1</t>
  </si>
  <si>
    <t>Budynki i budowle</t>
  </si>
  <si>
    <t>010-1-1-2</t>
  </si>
  <si>
    <t>Obiekty inż. lądowej i wodnej</t>
  </si>
  <si>
    <t>010-1-1-4</t>
  </si>
  <si>
    <t>Maszyny, urządzenia i aparaty</t>
  </si>
  <si>
    <t>010-1-1-5</t>
  </si>
  <si>
    <t>Specjalistyczne maszyny</t>
  </si>
  <si>
    <t>010-1-1-6</t>
  </si>
  <si>
    <t>Urządzenia techniczne</t>
  </si>
  <si>
    <t>010-1-1-7</t>
  </si>
  <si>
    <t>Środki transportu</t>
  </si>
  <si>
    <t>010-1-1-8</t>
  </si>
  <si>
    <t>Narzędzia, przyrządy</t>
  </si>
  <si>
    <t>010-1-1-9</t>
  </si>
  <si>
    <t>Grunty</t>
  </si>
  <si>
    <t>010-1-2-1</t>
  </si>
  <si>
    <t>010-1-2-2</t>
  </si>
  <si>
    <t>010-1-2-3</t>
  </si>
  <si>
    <t>Kotły i maszyny energetyczne</t>
  </si>
  <si>
    <t>010-1-2-4</t>
  </si>
  <si>
    <t>010-1-2-5</t>
  </si>
  <si>
    <t>010-1-2-6</t>
  </si>
  <si>
    <t>010-1-2-7</t>
  </si>
  <si>
    <t>010-1-2-8</t>
  </si>
  <si>
    <t>010-1-4-6</t>
  </si>
  <si>
    <t>010-2-1-2</t>
  </si>
  <si>
    <t>010-2-1-4</t>
  </si>
  <si>
    <t>010-2-1-6</t>
  </si>
  <si>
    <t>010-2-1-7</t>
  </si>
  <si>
    <t>010-2-1-8</t>
  </si>
  <si>
    <t>010-2-4-7</t>
  </si>
  <si>
    <t>010-3-1-1</t>
  </si>
  <si>
    <t>010-3-1-2</t>
  </si>
  <si>
    <t>010-3-1-4</t>
  </si>
  <si>
    <t>010-3-1-5</t>
  </si>
  <si>
    <t>010-3-1-6</t>
  </si>
  <si>
    <t>010-3-1-8</t>
  </si>
  <si>
    <t>010-3-1-9</t>
  </si>
  <si>
    <t>010-3-4-5</t>
  </si>
  <si>
    <t>010-4-1-1</t>
  </si>
  <si>
    <t>010-4-1-4</t>
  </si>
  <si>
    <t>010-4-1-8</t>
  </si>
  <si>
    <t>010-4-3-2</t>
  </si>
  <si>
    <t>010-4-3-3</t>
  </si>
  <si>
    <t>010-5-1-4</t>
  </si>
  <si>
    <t>010-5-1-6</t>
  </si>
  <si>
    <t>010-5-1-7</t>
  </si>
  <si>
    <t>010-5-1-8</t>
  </si>
  <si>
    <t>010-5-4-7</t>
  </si>
  <si>
    <t>011</t>
  </si>
  <si>
    <t>Środki trwałe RPO</t>
  </si>
  <si>
    <t>011-1</t>
  </si>
  <si>
    <t>011-2</t>
  </si>
  <si>
    <t>Obiekty inżynierii lądowej i wodnej</t>
  </si>
  <si>
    <t>011-4</t>
  </si>
  <si>
    <t xml:space="preserve">Maszyny, urządzenia i aparaty </t>
  </si>
  <si>
    <t>011-5</t>
  </si>
  <si>
    <t>020</t>
  </si>
  <si>
    <t>Wartości niematerialne i prawn</t>
  </si>
  <si>
    <t>020-1-1-3</t>
  </si>
  <si>
    <t>Inne WNiP</t>
  </si>
  <si>
    <t>020-1-2-3</t>
  </si>
  <si>
    <t>020-2-1-3</t>
  </si>
  <si>
    <t>020-3-1-3</t>
  </si>
  <si>
    <t>020-4-1-3</t>
  </si>
  <si>
    <t>020-5-1-3</t>
  </si>
  <si>
    <t>038</t>
  </si>
  <si>
    <t>039</t>
  </si>
  <si>
    <t>Umorzenie innych inwestycji dł</t>
  </si>
  <si>
    <t>040</t>
  </si>
  <si>
    <t>Inwestycje krótkoterminowe</t>
  </si>
  <si>
    <t>070</t>
  </si>
  <si>
    <t>Umorzenie środków trwałych</t>
  </si>
  <si>
    <t>070-1-2-5</t>
  </si>
  <si>
    <t>070-3-1-8</t>
  </si>
  <si>
    <t>070-4-1-4</t>
  </si>
  <si>
    <t>070-4-1-8</t>
  </si>
  <si>
    <t>070-5-1-6</t>
  </si>
  <si>
    <t>070-5-1-7</t>
  </si>
  <si>
    <t>071</t>
  </si>
  <si>
    <t>Umorzenie środków trwałych RPO</t>
  </si>
  <si>
    <t>072</t>
  </si>
  <si>
    <t>Umorzenie WNiP</t>
  </si>
  <si>
    <t>072-1-2-3</t>
  </si>
  <si>
    <t>072-2-1-3</t>
  </si>
  <si>
    <t>072-3-1-3</t>
  </si>
  <si>
    <t>072-4-1-3</t>
  </si>
  <si>
    <t>080</t>
  </si>
  <si>
    <t>Środki trwałe w budowie</t>
  </si>
  <si>
    <t>080-1-1</t>
  </si>
  <si>
    <t>Własne</t>
  </si>
  <si>
    <t>080-1-7</t>
  </si>
  <si>
    <t>Moduł frakcji BIO</t>
  </si>
  <si>
    <t>080-1-10</t>
  </si>
  <si>
    <t>Przebudowa układu technologicznego</t>
  </si>
  <si>
    <t>080-1-11</t>
  </si>
  <si>
    <t>Budowa hali warsztatowo magazynowej wraz z częścią administracyjną</t>
  </si>
  <si>
    <t>080-1-13</t>
  </si>
  <si>
    <t>Nawierzchnia betonowa dla składowania odpadu</t>
  </si>
  <si>
    <t>080-1-14</t>
  </si>
  <si>
    <t xml:space="preserve">Rewizja zbiornika odcieków </t>
  </si>
  <si>
    <t>080-1-15</t>
  </si>
  <si>
    <t>Modernizacja budynku hali biologicznego przetwarzania odpadów</t>
  </si>
  <si>
    <t>080-1-16</t>
  </si>
  <si>
    <t>Place do odpadów biodegradowalnych</t>
  </si>
  <si>
    <t>080-2-1-1</t>
  </si>
  <si>
    <t>080-3-1-1</t>
  </si>
  <si>
    <t>Modernizacja i przebudowa budynku administracyjnego</t>
  </si>
  <si>
    <t>080-3-1-2</t>
  </si>
  <si>
    <t>Rozbudowa składowiska</t>
  </si>
  <si>
    <t>080-3-1-3</t>
  </si>
  <si>
    <t>Budowa studni odgazowania</t>
  </si>
  <si>
    <t>080-5-1-1</t>
  </si>
  <si>
    <t>Zakup działek 210/26, 212/25</t>
  </si>
  <si>
    <t>081</t>
  </si>
  <si>
    <t>Środki trwałe w budowie RPO</t>
  </si>
  <si>
    <t>081-1-1-1</t>
  </si>
  <si>
    <t>081-1-1-2</t>
  </si>
  <si>
    <t>Maszyny i urządzenia</t>
  </si>
  <si>
    <t>081-1-1-3</t>
  </si>
  <si>
    <t>Inżynier kontraktu</t>
  </si>
  <si>
    <t>081-1-1-4</t>
  </si>
  <si>
    <t>Doradztwo techniczne</t>
  </si>
  <si>
    <t>081-1-1-5</t>
  </si>
  <si>
    <t>Doradztwo prawno-finansowe</t>
  </si>
  <si>
    <t>081-1-2-1</t>
  </si>
  <si>
    <t>081-1-2-2</t>
  </si>
  <si>
    <t>081-1-2-3</t>
  </si>
  <si>
    <t>081-1-2-4</t>
  </si>
  <si>
    <t>081-1-2-5</t>
  </si>
  <si>
    <t>081-1-3-1</t>
  </si>
  <si>
    <t>081-1-3-2</t>
  </si>
  <si>
    <t>081-1-3-3</t>
  </si>
  <si>
    <t>081-1-3-4</t>
  </si>
  <si>
    <t>081-1-3-5</t>
  </si>
  <si>
    <t>081-2-1</t>
  </si>
  <si>
    <t>081-2-2</t>
  </si>
  <si>
    <t>081-2-3</t>
  </si>
  <si>
    <t>081-2-4</t>
  </si>
  <si>
    <t>081-2-5</t>
  </si>
  <si>
    <t>081-3</t>
  </si>
  <si>
    <t>Pozostałe wydatki dotyczące projektu</t>
  </si>
  <si>
    <t>084</t>
  </si>
  <si>
    <t>Rozliczenie środków trwałych</t>
  </si>
  <si>
    <t>100</t>
  </si>
  <si>
    <t>Kasa krajowych środków</t>
  </si>
  <si>
    <t>100-1</t>
  </si>
  <si>
    <t>Kasa główna</t>
  </si>
  <si>
    <t>100-2</t>
  </si>
  <si>
    <t>Kasa nr 2</t>
  </si>
  <si>
    <t>130</t>
  </si>
  <si>
    <t>Rachunek bankowy bieżący</t>
  </si>
  <si>
    <t>130-1</t>
  </si>
  <si>
    <t>Rachunek bieżący BOŚ</t>
  </si>
  <si>
    <t>130-2</t>
  </si>
  <si>
    <t>Rachunek VAT</t>
  </si>
  <si>
    <t>131</t>
  </si>
  <si>
    <t>Pozostałe rachunki bankowe</t>
  </si>
  <si>
    <t>131-1-1</t>
  </si>
  <si>
    <t>Rachunek bankowy refundacji</t>
  </si>
  <si>
    <t>131-1-2</t>
  </si>
  <si>
    <t>Rachunek bankowy - refundacja RPO</t>
  </si>
  <si>
    <t>131-1-3</t>
  </si>
  <si>
    <t>Rachunek bankowy</t>
  </si>
  <si>
    <t>131-1-4</t>
  </si>
  <si>
    <t>Rachunek bankowy - zaliczki RPO</t>
  </si>
  <si>
    <t>131-1-5</t>
  </si>
  <si>
    <t>Rachunek bankowy- płacowy</t>
  </si>
  <si>
    <t>131-2-2</t>
  </si>
  <si>
    <t>Rachunek OKO</t>
  </si>
  <si>
    <t>131-3-1</t>
  </si>
  <si>
    <t>Rachunek bieżący</t>
  </si>
  <si>
    <t>131-3-2</t>
  </si>
  <si>
    <t>133</t>
  </si>
  <si>
    <t>Rachunek ZFŚS</t>
  </si>
  <si>
    <t>133-1</t>
  </si>
  <si>
    <t>ZFŚS</t>
  </si>
  <si>
    <t>135</t>
  </si>
  <si>
    <t>Kredyty bankowe</t>
  </si>
  <si>
    <t>135-2-1</t>
  </si>
  <si>
    <t>Długoterminowy</t>
  </si>
  <si>
    <t>Krótkoterminowy</t>
  </si>
  <si>
    <t>135-3-1</t>
  </si>
  <si>
    <t>145</t>
  </si>
  <si>
    <t>Inne środki pieniężne</t>
  </si>
  <si>
    <t>145-1</t>
  </si>
  <si>
    <t>Lokaty</t>
  </si>
  <si>
    <t>149</t>
  </si>
  <si>
    <t>Środki pieniężne w drodze</t>
  </si>
  <si>
    <t>149-1</t>
  </si>
  <si>
    <t>Wpłata utargu</t>
  </si>
  <si>
    <t>149-2</t>
  </si>
  <si>
    <t>Przelew środków własnych</t>
  </si>
  <si>
    <t>200</t>
  </si>
  <si>
    <t>Rozrachunki z dostawcami</t>
  </si>
  <si>
    <t>200-6</t>
  </si>
  <si>
    <t>Wydawnictwo forum</t>
  </si>
  <si>
    <t>200-16</t>
  </si>
  <si>
    <t>PRZEDSIĘBIORSTWO ROBÓT INŻYNIERYJNYCH "I</t>
  </si>
  <si>
    <t>200-36</t>
  </si>
  <si>
    <t>PREZERO SERVICE POŁUDNIE SP. Z O.O.</t>
  </si>
  <si>
    <t>200-47</t>
  </si>
  <si>
    <t>RPWIK</t>
  </si>
  <si>
    <t>200-65</t>
  </si>
  <si>
    <t>UM TYCHY</t>
  </si>
  <si>
    <t>200-111</t>
  </si>
  <si>
    <t>RCGWŚ</t>
  </si>
  <si>
    <t>200-126</t>
  </si>
  <si>
    <t>BEN</t>
  </si>
  <si>
    <t>200-130</t>
  </si>
  <si>
    <t>L.A.S. KONTNY - "LAMS" SPÓŁKA JAWNA</t>
  </si>
  <si>
    <t>200-137</t>
  </si>
  <si>
    <t>TEKTURA OPAKOWANIA PAPIER SPÓŁKA AKCYJNA</t>
  </si>
  <si>
    <t>200-139</t>
  </si>
  <si>
    <t>ORANGE POLSKA SPÓŁKA AKCYJNA</t>
  </si>
  <si>
    <t>200-159</t>
  </si>
  <si>
    <t>Centrum Bad. i Doz.</t>
  </si>
  <si>
    <t>200-160</t>
  </si>
  <si>
    <t>Stowarz. Księgowych</t>
  </si>
  <si>
    <t>200-168</t>
  </si>
  <si>
    <t>KRAJOWE FORUM DYREKTORÓW ZAKŁADÓW OCZYSZ</t>
  </si>
  <si>
    <t>200-180</t>
  </si>
  <si>
    <t>Joker Club</t>
  </si>
  <si>
    <t>200-208</t>
  </si>
  <si>
    <t>PIOTR ŁYSAŃCZUK PRZEDSIĘBIORSTWO USŁUGOW</t>
  </si>
  <si>
    <t>200-212</t>
  </si>
  <si>
    <t>SMART PLUS SPÓŁKA Z OGRANICZONĄ ODPOWIED</t>
  </si>
  <si>
    <t>200-215</t>
  </si>
  <si>
    <t>Bieruńskie Przeds.</t>
  </si>
  <si>
    <t>200-249</t>
  </si>
  <si>
    <t>EDEN Springs Sp. z</t>
  </si>
  <si>
    <t>200-257</t>
  </si>
  <si>
    <t>F.H.U. JARKO</t>
  </si>
  <si>
    <t>200-273</t>
  </si>
  <si>
    <t>PEC SP. Z O.O.</t>
  </si>
  <si>
    <t>200-278</t>
  </si>
  <si>
    <t>OBIKŚ</t>
  </si>
  <si>
    <t>200-314</t>
  </si>
  <si>
    <t>U RZEPKI"</t>
  </si>
  <si>
    <t>200-326</t>
  </si>
  <si>
    <t>MORION</t>
  </si>
  <si>
    <t>200-454</t>
  </si>
  <si>
    <t>GIG</t>
  </si>
  <si>
    <t>200-521</t>
  </si>
  <si>
    <t>SERTROP</t>
  </si>
  <si>
    <t>200-532</t>
  </si>
  <si>
    <t>OKR.IZBA PRZ.-HANDL</t>
  </si>
  <si>
    <t>200-535</t>
  </si>
  <si>
    <t>PGU POLONEZ S.C.</t>
  </si>
  <si>
    <t>200-567</t>
  </si>
  <si>
    <t>BARWA</t>
  </si>
  <si>
    <t>200-611</t>
  </si>
  <si>
    <t>ART.- Projekt</t>
  </si>
  <si>
    <t>200-628</t>
  </si>
  <si>
    <t>Eko Ogród</t>
  </si>
  <si>
    <t>200-641</t>
  </si>
  <si>
    <t>Firma Usł. E. L.</t>
  </si>
  <si>
    <t>200-670</t>
  </si>
  <si>
    <t>UG Wyry</t>
  </si>
  <si>
    <t>200-673</t>
  </si>
  <si>
    <t>Media- Com Sp. z. o. o.</t>
  </si>
  <si>
    <t>200-674</t>
  </si>
  <si>
    <t>Polkomtel S.A.</t>
  </si>
  <si>
    <t>200-683</t>
  </si>
  <si>
    <t>Janta</t>
  </si>
  <si>
    <t>200-687</t>
  </si>
  <si>
    <t>Wiedza i praktyka</t>
  </si>
  <si>
    <t>200-691</t>
  </si>
  <si>
    <t>RYTM-L</t>
  </si>
  <si>
    <t>200-703</t>
  </si>
  <si>
    <t>ORLEN</t>
  </si>
  <si>
    <t>200-715</t>
  </si>
  <si>
    <t>INSTALMEDIA</t>
  </si>
  <si>
    <t>200-729</t>
  </si>
  <si>
    <t>ZGK W WYRACH</t>
  </si>
  <si>
    <t>200-771</t>
  </si>
  <si>
    <t>OTTO</t>
  </si>
  <si>
    <t>200-786</t>
  </si>
  <si>
    <t>Śródmieście</t>
  </si>
  <si>
    <t>200-789</t>
  </si>
  <si>
    <t>DROMA</t>
  </si>
  <si>
    <t>200-806</t>
  </si>
  <si>
    <t>A-Z</t>
  </si>
  <si>
    <t>200-807</t>
  </si>
  <si>
    <t>Pol. Wydaw.Prof</t>
  </si>
  <si>
    <t>200-837</t>
  </si>
  <si>
    <t>KARTA PLATNICZA</t>
  </si>
  <si>
    <t>200-864</t>
  </si>
  <si>
    <t>Remondis</t>
  </si>
  <si>
    <t>200-871</t>
  </si>
  <si>
    <t>Urzad Dozoru Technicznego</t>
  </si>
  <si>
    <t>200-883</t>
  </si>
  <si>
    <t>pop.pl Internetowe System</t>
  </si>
  <si>
    <t>200-892</t>
  </si>
  <si>
    <t>Krajowa Izba Gospodarki</t>
  </si>
  <si>
    <t>200-927</t>
  </si>
  <si>
    <t>EFEKT PHU</t>
  </si>
  <si>
    <t>200-937</t>
  </si>
  <si>
    <t>Polskapresse Sp. z o. o.</t>
  </si>
  <si>
    <t>200-942</t>
  </si>
  <si>
    <t>PHU BORIM</t>
  </si>
  <si>
    <t>200-1036</t>
  </si>
  <si>
    <t>Breś</t>
  </si>
  <si>
    <t>200-1047</t>
  </si>
  <si>
    <t>Waśpol</t>
  </si>
  <si>
    <t>200-1085</t>
  </si>
  <si>
    <t>HORUS-ENERGIA SPÓŁKA Z O.O.</t>
  </si>
  <si>
    <t>200-1097</t>
  </si>
  <si>
    <t>EKOREC SPÓŁKA Z OGRANICZONĄ ODPOWIEDZIAL</t>
  </si>
  <si>
    <t>200-1120</t>
  </si>
  <si>
    <t>Transport niędzynarodowy i Krajowy</t>
  </si>
  <si>
    <t>200-1123</t>
  </si>
  <si>
    <t>Poczta Polska</t>
  </si>
  <si>
    <t>200-1130</t>
  </si>
  <si>
    <t>KUBIN</t>
  </si>
  <si>
    <t>200-1134</t>
  </si>
  <si>
    <t>Gminna Spółka Komunalna Sp. z o.o.</t>
  </si>
  <si>
    <t>200-1203</t>
  </si>
  <si>
    <t>Wydawnictwo C.H. Beck</t>
  </si>
  <si>
    <t>200-1216</t>
  </si>
  <si>
    <t>ZOELLER TECH SPÓŁKA Z OGRANICZONĄ ODPOWI</t>
  </si>
  <si>
    <t>200-1228</t>
  </si>
  <si>
    <t>HYVA</t>
  </si>
  <si>
    <t>200-1294</t>
  </si>
  <si>
    <t>TAURON SPRZEDAŻ GZE SPÓŁKA Z OGRANICZONĄ</t>
  </si>
  <si>
    <t>200-1319</t>
  </si>
  <si>
    <t>Sutco-Polska Sp. z o. o.</t>
  </si>
  <si>
    <t>200-1342</t>
  </si>
  <si>
    <t>Dom Maklerski Banku Ochrony Środowiska S</t>
  </si>
  <si>
    <t>200-1347</t>
  </si>
  <si>
    <t>S PLASTIC SPÓŁKA Z O.O.</t>
  </si>
  <si>
    <t>200-1356</t>
  </si>
  <si>
    <t>Przedsiębiorstwo Handlowe TORUS M.Jeleń</t>
  </si>
  <si>
    <t>200-1361</t>
  </si>
  <si>
    <t>Porsche Inter Auto Polska Sp. z o.o.</t>
  </si>
  <si>
    <t>200-1374</t>
  </si>
  <si>
    <t>Paks'D Sp. z o. o.</t>
  </si>
  <si>
    <t>200-1381</t>
  </si>
  <si>
    <t>WTC SPÓŁKA Z OGRANICZONĄ ODPOWIEDZIALNOŚ</t>
  </si>
  <si>
    <t>200-1402</t>
  </si>
  <si>
    <t>Tandem Trucks</t>
  </si>
  <si>
    <t>200-1417</t>
  </si>
  <si>
    <t>EurPol S.C. Gawłowski Norbert, Huber Raf</t>
  </si>
  <si>
    <t>200-1443</t>
  </si>
  <si>
    <t>TAURON SPRZEDAŻ SPÓŁKA Z OGRANICZONĄ ODP</t>
  </si>
  <si>
    <t>200-1452</t>
  </si>
  <si>
    <t>TOI-TOI SYSTEMY SANITARNE Sp. z. o. o.</t>
  </si>
  <si>
    <t>200-1482</t>
  </si>
  <si>
    <t>STAL sp</t>
  </si>
  <si>
    <t>200-1507</t>
  </si>
  <si>
    <t>Language Learning Paul Price</t>
  </si>
  <si>
    <t>200-1514</t>
  </si>
  <si>
    <t>"RHR" S.C.</t>
  </si>
  <si>
    <t>200-1528</t>
  </si>
  <si>
    <t>Sage Sp. z o. o.</t>
  </si>
  <si>
    <t>200-1559</t>
  </si>
  <si>
    <t>P.H. "ALFA-ELEKTRO" Sp. z o. o.</t>
  </si>
  <si>
    <t>200-1574</t>
  </si>
  <si>
    <t>THOMEX</t>
  </si>
  <si>
    <t>200-1580</t>
  </si>
  <si>
    <t>CHOMA PROGRESSION Bofdan Choma</t>
  </si>
  <si>
    <t>200-1644</t>
  </si>
  <si>
    <t>"EKOLAND" Sp. z o.o.</t>
  </si>
  <si>
    <t>200-1782</t>
  </si>
  <si>
    <t>Krajowy Rejestr Długów Biuro Informacji</t>
  </si>
  <si>
    <t>200-1792</t>
  </si>
  <si>
    <t>4M s.c. Marzanna Zięciak, Piotr Gałęski</t>
  </si>
  <si>
    <t>200-1857</t>
  </si>
  <si>
    <t>Przetwórstwo Tworzyw Sztucznych Janusz K</t>
  </si>
  <si>
    <t>200-1875</t>
  </si>
  <si>
    <t>Tyski Klub Siatkarski</t>
  </si>
  <si>
    <t>200-1931</t>
  </si>
  <si>
    <t>EPO-TRANS LOGISTIC S.A.</t>
  </si>
  <si>
    <t>200-1958</t>
  </si>
  <si>
    <t>Szpital Miejski w Tychach Sp. z o.o.</t>
  </si>
  <si>
    <t>200-2028</t>
  </si>
  <si>
    <t>INSTALBUD JANOSZ Spółka Jawna</t>
  </si>
  <si>
    <t>200-2037</t>
  </si>
  <si>
    <t>Agencja Ochrony Mienia i Usług Detektywi</t>
  </si>
  <si>
    <t>200-2041</t>
  </si>
  <si>
    <t>RESTAURACJA "POD PROSIAKIEM" JOLANTA JAK</t>
  </si>
  <si>
    <t>200-2058</t>
  </si>
  <si>
    <t>BIO-EKOS Sp</t>
  </si>
  <si>
    <t>200-2059</t>
  </si>
  <si>
    <t>PHU WIDRYMM RYSZARD WIELGAT</t>
  </si>
  <si>
    <t>200-2060</t>
  </si>
  <si>
    <t>"EPO-TRANS-SERWIS" mgr Ewa Ozimek</t>
  </si>
  <si>
    <t>200-2089</t>
  </si>
  <si>
    <t>BS STUDIO</t>
  </si>
  <si>
    <t>200-2094</t>
  </si>
  <si>
    <t>ELMAX-HURT Żywicki Sp. j.</t>
  </si>
  <si>
    <t>200-2095</t>
  </si>
  <si>
    <t>Saint-Gobain Dystrybucja Budowlana Sp. z</t>
  </si>
  <si>
    <t>200-2096</t>
  </si>
  <si>
    <t>Przedsiębiorstwo Wielobranżowe " FOREST"</t>
  </si>
  <si>
    <t>200-2105</t>
  </si>
  <si>
    <t>JOKER - BIS "Zielony Smok" S.C.</t>
  </si>
  <si>
    <t>200-2129</t>
  </si>
  <si>
    <t>ZPSO Rosa Rosa Stanisław</t>
  </si>
  <si>
    <t>200-2144</t>
  </si>
  <si>
    <t>Kulinaria S.A.</t>
  </si>
  <si>
    <t>200-2290</t>
  </si>
  <si>
    <t>Wastes Service Group Sp. z o.o. i Wspóln</t>
  </si>
  <si>
    <t>200-2399</t>
  </si>
  <si>
    <t>ELECTRO CAR 2</t>
  </si>
  <si>
    <t>200-2400</t>
  </si>
  <si>
    <t>Usługi Informatyczne "ACME"</t>
  </si>
  <si>
    <t>200-2402</t>
  </si>
  <si>
    <t>ZEPPELIN POLSKA Sp. z o.</t>
  </si>
  <si>
    <t>200-2403</t>
  </si>
  <si>
    <t>Tyski Sport SA</t>
  </si>
  <si>
    <t>200-2408</t>
  </si>
  <si>
    <t>PHU DUET Marzena Rutkowska</t>
  </si>
  <si>
    <t>200-2419</t>
  </si>
  <si>
    <t>TAURON Dystrybucja S.A.</t>
  </si>
  <si>
    <t>200-2422</t>
  </si>
  <si>
    <t>Tek.rental Polska Sp. z o. o.</t>
  </si>
  <si>
    <t>200-2425</t>
  </si>
  <si>
    <t>K+S Polska Sp. z o. o.</t>
  </si>
  <si>
    <t>200-2426</t>
  </si>
  <si>
    <t>Dobrowolski Spółka z o. o.</t>
  </si>
  <si>
    <t>200-2430</t>
  </si>
  <si>
    <t>PRESSCOM Sp. z o. o.</t>
  </si>
  <si>
    <t>200-2431</t>
  </si>
  <si>
    <t>Przedsiebiorstwo Handlowo-Techniczne SUP</t>
  </si>
  <si>
    <t>200-2441</t>
  </si>
  <si>
    <t>Manuli Fluiconnecto Sp. z o. o.</t>
  </si>
  <si>
    <t>200-2446</t>
  </si>
  <si>
    <t>MOTOCHEMICA Pikuła Grzegorz</t>
  </si>
  <si>
    <t>200-2450</t>
  </si>
  <si>
    <t>BRODD POLONIA Sp.z o. o.</t>
  </si>
  <si>
    <t>200-2464</t>
  </si>
  <si>
    <t>Przedsiebiorstwo Produkcyjno- Handlowo-</t>
  </si>
  <si>
    <t>200-2466</t>
  </si>
  <si>
    <t>MET-STAL Sp kawna</t>
  </si>
  <si>
    <t>200-2472</t>
  </si>
  <si>
    <t>PPHU PERFEKT Benek Grzegorz</t>
  </si>
  <si>
    <t>200-2474</t>
  </si>
  <si>
    <t>SUEZ POŁUDNIE SP. Z O.O.</t>
  </si>
  <si>
    <t>200-2482</t>
  </si>
  <si>
    <t>TUV NORD Polska Sp. z o. o.</t>
  </si>
  <si>
    <t>200-2485</t>
  </si>
  <si>
    <t>Mikrowag Wagi Samochodewe ŁUKASZ Rogowsk</t>
  </si>
  <si>
    <t>200-2487</t>
  </si>
  <si>
    <t>POWIATOWY INSPEKTORAT WETERYNARII w Tych</t>
  </si>
  <si>
    <t>200-2488</t>
  </si>
  <si>
    <t>MART Marcin Ziaja</t>
  </si>
  <si>
    <t>200-2490</t>
  </si>
  <si>
    <t>PHUT EURO-TACHO Dariusz Stanik</t>
  </si>
  <si>
    <t>200-2494</t>
  </si>
  <si>
    <t>WC SERWIS Bańska Kucharski spółka jawna</t>
  </si>
  <si>
    <t>200-2497</t>
  </si>
  <si>
    <t>SAPRI DĄBROWA GÓRNICZA Sp. z o. o.</t>
  </si>
  <si>
    <t>200-2507</t>
  </si>
  <si>
    <t>MECHANIKA MASZYN "REM-BOT"  ANNA BOURKE</t>
  </si>
  <si>
    <t>200-2508</t>
  </si>
  <si>
    <t>Beata Kaszyk</t>
  </si>
  <si>
    <t>200-2525</t>
  </si>
  <si>
    <t>FENICE Poland Sp. z o.o.</t>
  </si>
  <si>
    <t>200-2527</t>
  </si>
  <si>
    <t>Gmina Kobiór</t>
  </si>
  <si>
    <t>200-2528</t>
  </si>
  <si>
    <t>Spółka Jawna BIURO PERFEKT Foltyn Adam</t>
  </si>
  <si>
    <t>200-2530</t>
  </si>
  <si>
    <t>TS Umweltanlagenbau GmbH</t>
  </si>
  <si>
    <t>200-2537</t>
  </si>
  <si>
    <t>Bax Baumaschinen sp. z o.o.</t>
  </si>
  <si>
    <t>200-2538</t>
  </si>
  <si>
    <t>Betagaz Sp. z o.o.</t>
  </si>
  <si>
    <t>200-2545</t>
  </si>
  <si>
    <t>GEA Westfalia Separator</t>
  </si>
  <si>
    <t>200-2550</t>
  </si>
  <si>
    <t>Volvo Maszyny Budowlane</t>
  </si>
  <si>
    <t>200-2564</t>
  </si>
  <si>
    <t>EKOWAVE</t>
  </si>
  <si>
    <t>200-2565</t>
  </si>
  <si>
    <t>Arcon Polska Sp. z o.o.</t>
  </si>
  <si>
    <t>200-2573</t>
  </si>
  <si>
    <t>Europejski Fundusz Leasingowy S.A.</t>
  </si>
  <si>
    <t>200-2574</t>
  </si>
  <si>
    <t>FRAMElogic Sp. z o.o.</t>
  </si>
  <si>
    <t>200-2578</t>
  </si>
  <si>
    <t>P4</t>
  </si>
  <si>
    <t>200-2583</t>
  </si>
  <si>
    <t>Kancelaria Notarialna Jacek Darowski</t>
  </si>
  <si>
    <t>200-2585</t>
  </si>
  <si>
    <t>Urban-Metal</t>
  </si>
  <si>
    <t>200-2586</t>
  </si>
  <si>
    <t>SGS Polska</t>
  </si>
  <si>
    <t>200-2591</t>
  </si>
  <si>
    <t>TOMRA Sorting</t>
  </si>
  <si>
    <t>200-2593</t>
  </si>
  <si>
    <t>KAREL 2 Sp. z o.o.</t>
  </si>
  <si>
    <t>200-2596</t>
  </si>
  <si>
    <t>EUROTHERM POLAND SPÓŁKA Z OGRANICZONĄ OD</t>
  </si>
  <si>
    <t>200-2598</t>
  </si>
  <si>
    <t>ALCHEM GRUPA SPÓŁKA Z O.O.</t>
  </si>
  <si>
    <t>200-2601</t>
  </si>
  <si>
    <t>Alup Kompressoren Polska Sp. z o.o.</t>
  </si>
  <si>
    <t>200-2612</t>
  </si>
  <si>
    <t>KACZMAREK ELECTRIC S.A.</t>
  </si>
  <si>
    <t>200-2616</t>
  </si>
  <si>
    <t>Silesia Oil Sp. z o.o.</t>
  </si>
  <si>
    <t>200-2617</t>
  </si>
  <si>
    <t>Zakład DDD Krzysztof Dulski</t>
  </si>
  <si>
    <t>200-2623</t>
  </si>
  <si>
    <t>RENTHOFF Sp. z o.o. Textil Management Sp</t>
  </si>
  <si>
    <t>200-2628</t>
  </si>
  <si>
    <t>ATMOPOL Sp. z o.o.</t>
  </si>
  <si>
    <t>200-2630</t>
  </si>
  <si>
    <t>Busch Polska Sp. z o.o.</t>
  </si>
  <si>
    <t>200-2635</t>
  </si>
  <si>
    <t>LINDE GAZ POLSKA SPÓŁKA Z OGRANICZONĄ OD</t>
  </si>
  <si>
    <t>200-2637</t>
  </si>
  <si>
    <t>TEKOpro Sp. z o.o.</t>
  </si>
  <si>
    <t>200-2639</t>
  </si>
  <si>
    <t>Omega-Oil S.C.</t>
  </si>
  <si>
    <t>200-2642</t>
  </si>
  <si>
    <t>Wende Recyclingtech S.C.</t>
  </si>
  <si>
    <t>200-2643</t>
  </si>
  <si>
    <t>SIGA-TECH SPÓŁKA Z OGRANICZONĄ ODPOWIEDZ</t>
  </si>
  <si>
    <t>200-2644</t>
  </si>
  <si>
    <t>WEGA - MIKOŁÓW Sp. z o.o. Sp. k.</t>
  </si>
  <si>
    <t>200-2647</t>
  </si>
  <si>
    <t>MTL ASCO SP. Z O.O.</t>
  </si>
  <si>
    <t>200-2648</t>
  </si>
  <si>
    <t>LUTHMAR Sp. z o.o.</t>
  </si>
  <si>
    <t>200-2654</t>
  </si>
  <si>
    <t>AVOB BUDOWA MASZYN SP. Z O.O.</t>
  </si>
  <si>
    <t>200-2655</t>
  </si>
  <si>
    <t>MAŁOPOLSKA WYTWÓRNIA MASZYN BRZESKO SP.</t>
  </si>
  <si>
    <t>200-2659</t>
  </si>
  <si>
    <t>PGE Obrót S.A.</t>
  </si>
  <si>
    <t>200-2666</t>
  </si>
  <si>
    <t>STOWARZYSZENIE POLSKICH ENERGETYKÓW ODDZ</t>
  </si>
  <si>
    <t>200-2668</t>
  </si>
  <si>
    <t>MULTI BIURO JUSTYNA GOLDA</t>
  </si>
  <si>
    <t>200-2672</t>
  </si>
  <si>
    <t>"ROWIS SYSTEM SPÓŁKA JAWNA M.SIEMIŃSKI I</t>
  </si>
  <si>
    <t>200-2682</t>
  </si>
  <si>
    <t>ENDRESS+HAUSER POLSKA SP. Z O.O.</t>
  </si>
  <si>
    <t>200-2686</t>
  </si>
  <si>
    <t>AUTO-CENTRUM M.Z. KIERAT SP. J.</t>
  </si>
  <si>
    <t>200-2687</t>
  </si>
  <si>
    <t>EDENRED POLSKA SP. Z O.O.</t>
  </si>
  <si>
    <t>200-2688</t>
  </si>
  <si>
    <t>AKMA Sp. z o.o.</t>
  </si>
  <si>
    <t>200-2689</t>
  </si>
  <si>
    <t>WEB SOLUTION Dariusz Szulik</t>
  </si>
  <si>
    <t>200-2692</t>
  </si>
  <si>
    <t>SANIT-TRANS SP. Z O.O.</t>
  </si>
  <si>
    <t>200-2693</t>
  </si>
  <si>
    <t>Agencja Reklamy i Promocji "Studio Art"</t>
  </si>
  <si>
    <t>200-2696</t>
  </si>
  <si>
    <t>SONEL SPÓŁKA AKCYJNA</t>
  </si>
  <si>
    <t>200-2700</t>
  </si>
  <si>
    <t>Studio Reklamowe Bonata Beata Pawełczyk</t>
  </si>
  <si>
    <t>200-2712</t>
  </si>
  <si>
    <t>Zakład Poligraficzno-Reklamowy "RODO"Dam</t>
  </si>
  <si>
    <t>200-2713</t>
  </si>
  <si>
    <t>"YAZAMCO POLAND" SPÓŁKA Z OGRANICZONĄ OD</t>
  </si>
  <si>
    <t>200-2714</t>
  </si>
  <si>
    <t>ECO-TEAM REMIGIUSZ NIESŁONY, AGNIESZKA G</t>
  </si>
  <si>
    <t>200-2717</t>
  </si>
  <si>
    <t>"NOMA TOOLS" SPÓŁKA Z OGRANICZONĄ ODPOWI</t>
  </si>
  <si>
    <t>200-2719</t>
  </si>
  <si>
    <t>"NOMA 2" SPÓŁKA Z OGRANICZONĄ ODPOWIEDZI</t>
  </si>
  <si>
    <t>200-2722</t>
  </si>
  <si>
    <t>ORWAT FILTERTECHNIK SPÓŁKA Z OGRANICZONĄ</t>
  </si>
  <si>
    <t>200-2725</t>
  </si>
  <si>
    <t>MARCOM MIROSŁAW ZYCHOWICZ</t>
  </si>
  <si>
    <t>200-2727</t>
  </si>
  <si>
    <t>PRZEDSIĘBIORSTWO USŁUGOWO-HANDLOWE ENERG</t>
  </si>
  <si>
    <t>200-2728</t>
  </si>
  <si>
    <t>ANDRZEJ JĘDRYKA BIURO HANDLOWO-USŁUGOWE</t>
  </si>
  <si>
    <t>200-2732</t>
  </si>
  <si>
    <t>BIURO REKONSTRUKCJI WYPADKÓW DROGOWYCH I</t>
  </si>
  <si>
    <t>200-2741</t>
  </si>
  <si>
    <t>"SPRINT - GOLEMO" SPÓŁKA Z OGRANICZONĄ O</t>
  </si>
  <si>
    <t>200-2742</t>
  </si>
  <si>
    <t>"SOLEKO" PRZEDSIĘBIORSTWO HANDLOWE  CEZA</t>
  </si>
  <si>
    <t>200-2748</t>
  </si>
  <si>
    <t>MARAT SPÓŁKA Z OGRANICZONĄ ODPOWIEDZIALN</t>
  </si>
  <si>
    <t>200-2751</t>
  </si>
  <si>
    <t>TIP-TOPOL SPÓŁKA Z OGRANICZONĄ ODPOWIEDZ</t>
  </si>
  <si>
    <t>200-2765</t>
  </si>
  <si>
    <t>PRZEDSIĘBIORSTWO PRODUKCYJNO-HANDLOWE"MO</t>
  </si>
  <si>
    <t>200-2767</t>
  </si>
  <si>
    <t>AFT SPÓŁKA Z OGRANICZONĄ ODPOWIEDZIALNOŚ</t>
  </si>
  <si>
    <t>200-2768</t>
  </si>
  <si>
    <t>PTM POLSKA SPÓŁKA Z OGRANICZONĄ ODPOWIED</t>
  </si>
  <si>
    <t>200-2778</t>
  </si>
  <si>
    <t>"SEW-EURODRIVE POLSKA" SPÓŁKA Z OGRANICZ</t>
  </si>
  <si>
    <t>200-2781</t>
  </si>
  <si>
    <t>KANCELARIA FINANSOWO - PODATKOWA BEATA H</t>
  </si>
  <si>
    <t>200-2782</t>
  </si>
  <si>
    <t>FIRMA HANDLOWO-USŁUGOWA  "GAZ-TECH"  S.C</t>
  </si>
  <si>
    <t>200-2783</t>
  </si>
  <si>
    <t>"ŚWIAT NARZĘDZI" SPÓŁKA CYWILNA WOJCIECH</t>
  </si>
  <si>
    <t>200-2790</t>
  </si>
  <si>
    <t>"WURTH POLSKA" SPÓŁKA Z OGRANICZONĄ ODPO</t>
  </si>
  <si>
    <t>200-2792</t>
  </si>
  <si>
    <t>TTS GROUP RAFAŁ DROB</t>
  </si>
  <si>
    <t>200-2793</t>
  </si>
  <si>
    <t>PETROJET SPÓŁKA Z OGRANICZONĄ ODPOWIEDZI</t>
  </si>
  <si>
    <t>200-2794</t>
  </si>
  <si>
    <t>ODDK SPÓŁKA Z OGRANICZONĄ ODPOWIEDZIALNO</t>
  </si>
  <si>
    <t>200-2795</t>
  </si>
  <si>
    <t>"KLIMAPOL" SPÓŁKA Z OGRANICZONĄ ODPOWIED</t>
  </si>
  <si>
    <t>200-2796</t>
  </si>
  <si>
    <t>HYDROPRESS  Wojciech Górzny</t>
  </si>
  <si>
    <t>200-2798</t>
  </si>
  <si>
    <t>AZ TECHNIKA TOMASZ WAWRZYCZEK</t>
  </si>
  <si>
    <t>200-2802</t>
  </si>
  <si>
    <t>"LASKA" TECHNIKA PRZEMYSŁOWA SPÓŁKA Z OG</t>
  </si>
  <si>
    <t>200-2803</t>
  </si>
  <si>
    <t>"AMPAR-SILESIA" SPÓŁKA Z OGRANICZONĄ ODP</t>
  </si>
  <si>
    <t>200-2804</t>
  </si>
  <si>
    <t>Marlena Wojciechowska Ingift</t>
  </si>
  <si>
    <t>200-2806</t>
  </si>
  <si>
    <t>MERA SPÓŁKA Z OGRANICZONĄ ODPOWIEDZIALNO</t>
  </si>
  <si>
    <t>200-2814</t>
  </si>
  <si>
    <t>TAMTRON SPÓŁKA AKCYJNA</t>
  </si>
  <si>
    <t>200-2816</t>
  </si>
  <si>
    <t>1/YOUNGMEDIA RAFAŁ RAKOCZY 2/ YOUNGMEDIA</t>
  </si>
  <si>
    <t>200-2825</t>
  </si>
  <si>
    <t>AKART S.C. SEBASTIAN LEBUDA, ARTUR KLOSA</t>
  </si>
  <si>
    <t>200-2828</t>
  </si>
  <si>
    <t>ATM Alina Jaromin</t>
  </si>
  <si>
    <t>200-2833</t>
  </si>
  <si>
    <t>PROTECHNIKA SPÓŁKA Z OGRANICZONĄ ODPOWIE</t>
  </si>
  <si>
    <t>200-2837</t>
  </si>
  <si>
    <t>GLOBTRAK POLSKA SPÓŁKA Z OGRANICZONĄ ODP</t>
  </si>
  <si>
    <t>200-2838</t>
  </si>
  <si>
    <t>"HYDROSPRZĘT" SPÓŁKA JAWNA WIESŁAW KUKLA</t>
  </si>
  <si>
    <t>200-2842</t>
  </si>
  <si>
    <t>MERIDA SPÓŁKA Z OGRANICZONĄ ODPOWIEDZIAL</t>
  </si>
  <si>
    <t>200-2845</t>
  </si>
  <si>
    <t>UCZNIOWSKI KLUB SPORTOWY  UNIA BIERUŃ</t>
  </si>
  <si>
    <t>200-2846</t>
  </si>
  <si>
    <t>MAN-TRANS SPÓŁKA Z OGRANICZONĄ ODPOWIEDZ</t>
  </si>
  <si>
    <t>200-2848</t>
  </si>
  <si>
    <t>IDEA GETIN LEASING SPÓŁKA AKCYJNA</t>
  </si>
  <si>
    <t>200-2850</t>
  </si>
  <si>
    <t>PRINT FACTORY Radosław Tylka</t>
  </si>
  <si>
    <t>200-2852</t>
  </si>
  <si>
    <t>POLSKA IZBA EKOLOGII</t>
  </si>
  <si>
    <t>200-2854</t>
  </si>
  <si>
    <t>IRENEUSZ PISZCZEK SOLVE - ELEKTRONIKA</t>
  </si>
  <si>
    <t>200-2856</t>
  </si>
  <si>
    <t>"ECOL - UNICON" SPÓŁKA Z OGRANICZONĄ ODP</t>
  </si>
  <si>
    <t>200-2857</t>
  </si>
  <si>
    <t>SUNDOOR SPÓŁKA Z OGRANICZONĄ ODPOWIEDZIA</t>
  </si>
  <si>
    <t>200-2859</t>
  </si>
  <si>
    <t>ZAKŁAD PRZEROBU ZŁOMU "ZŁOMEX" SPÓŁKA AK</t>
  </si>
  <si>
    <t>200-2865</t>
  </si>
  <si>
    <t>PRZEDSIĘBIORSTWO PRODUKCYJNO - HANDLOWE</t>
  </si>
  <si>
    <t>200-2872</t>
  </si>
  <si>
    <t>PRZEDSIĘBIORSTWO EKOLOGICZNE EKO-INŻYNIE</t>
  </si>
  <si>
    <t>200-2878</t>
  </si>
  <si>
    <t>MS SPAW SPÓŁKA Z OGRANICZONĄ ODPOWIEDZIA</t>
  </si>
  <si>
    <t>200-2880</t>
  </si>
  <si>
    <t>PASCAL SERVICES ARTUR FOX</t>
  </si>
  <si>
    <t>200-2881</t>
  </si>
  <si>
    <t>KANCELARIA ADWOKACKA BARTOSZ SYNOWIEC</t>
  </si>
  <si>
    <t>200-2884</t>
  </si>
  <si>
    <t>ROBERT SKITEK RS +</t>
  </si>
  <si>
    <t>200-2885</t>
  </si>
  <si>
    <t>EUROPEJSKI INSTYTUT EKOLOGII SPÓŁKA Z OG</t>
  </si>
  <si>
    <t>200-2886</t>
  </si>
  <si>
    <t>"ATUT" SPÓŁKA Z OGRANICZONĄ ODPOWIEDZIAL</t>
  </si>
  <si>
    <t>200-2887</t>
  </si>
  <si>
    <t>KUŚ IRENEUSZ "DENAR P" Firma Handlowa</t>
  </si>
  <si>
    <t>200-2888</t>
  </si>
  <si>
    <t>KINGA GAMAŃSKA EKORUM</t>
  </si>
  <si>
    <t>200-2889</t>
  </si>
  <si>
    <t>KOMUNAL PARTNER JANUSZ LATOS</t>
  </si>
  <si>
    <t>200-2895</t>
  </si>
  <si>
    <t>PAŃSTWOWE GOSPODARSTWO WODNE WODY POLSKI</t>
  </si>
  <si>
    <t>200-2905</t>
  </si>
  <si>
    <t>SOLENIS POLAND SPÓŁKA Z OGRANICZONĄ ODPO</t>
  </si>
  <si>
    <t>200-2909</t>
  </si>
  <si>
    <t>FIRMA HANDLOWO USŁUGOWA "PLACAT" KRZYSZT</t>
  </si>
  <si>
    <t>200-2913</t>
  </si>
  <si>
    <t>GEMINI PARK TYCHY SPÓŁKA Z OGRANICZONĄ O</t>
  </si>
  <si>
    <t>200-2914</t>
  </si>
  <si>
    <t>AB - CREATION ANNA BUCZKOWSKA</t>
  </si>
  <si>
    <t>200-2915</t>
  </si>
  <si>
    <t>PGS POLSKA GRUPA SERWISOWA SPÓŁKA Z OGRA</t>
  </si>
  <si>
    <t>200-2916</t>
  </si>
  <si>
    <t>ITPOL SPÓŁKA Z OGRANICZONĄ ODPOWIEDZIA</t>
  </si>
  <si>
    <t>200-2923</t>
  </si>
  <si>
    <t>YESO SPÓŁKA Z OGRANICZONĄ ODPOWIEDZIALNO</t>
  </si>
  <si>
    <t>200-2927</t>
  </si>
  <si>
    <t>"KON-WIT RECYKLING"S.C.KONRAD ZAJKIEWICZ</t>
  </si>
  <si>
    <t>200-2928</t>
  </si>
  <si>
    <t>AGENCJA FOTOGRAFICZNA  BM        MARZEC</t>
  </si>
  <si>
    <t>200-2930</t>
  </si>
  <si>
    <t>"INTERHANDLER" SPÓŁKA Z OGRANICZONĄ ODPO</t>
  </si>
  <si>
    <t>200-2932</t>
  </si>
  <si>
    <t>NEXTON MARCIN BUJNAROWSKI</t>
  </si>
  <si>
    <t>200-2933</t>
  </si>
  <si>
    <t>DOROTA KOŁSUT PRZEDSIĘBIORSTWO PRODUKCYJ</t>
  </si>
  <si>
    <t>200-2934</t>
  </si>
  <si>
    <t>EA SYSTEMS SPÓŁKA Z OGRANICZONĄ ODPOWIED</t>
  </si>
  <si>
    <t>200-2936</t>
  </si>
  <si>
    <t>ASSA ABLOY ENTRANCE SYSTEMS POLAND SPÓŁK</t>
  </si>
  <si>
    <t>200-2938</t>
  </si>
  <si>
    <t>KANCELARIA RADCY PRAWNEGO ALICJA BOBIEC</t>
  </si>
  <si>
    <t>200-2940</t>
  </si>
  <si>
    <t>Jarosław Szczyrbak HERMA</t>
  </si>
  <si>
    <t>200-2941</t>
  </si>
  <si>
    <t>JWW SPÓŁKA CYWILNA</t>
  </si>
  <si>
    <t>200-2949</t>
  </si>
  <si>
    <t>"OPEN NEXUS" SPÓŁKA Z OGRANICZONĄ ODPOWI</t>
  </si>
  <si>
    <t>200-2951</t>
  </si>
  <si>
    <t>ALEKSANDER POSEŁEK  KOLOM.PL</t>
  </si>
  <si>
    <t>200-2958</t>
  </si>
  <si>
    <t>RAFAŁ LATACZ PC - NET</t>
  </si>
  <si>
    <t>200-2961</t>
  </si>
  <si>
    <t>AGREX-ECO SPÓŁKA Z OGRANICZONĄ ODPOWIEDZ</t>
  </si>
  <si>
    <t>200-2964</t>
  </si>
  <si>
    <t>WEHRLE UMWELT GMBH</t>
  </si>
  <si>
    <t>200-2965</t>
  </si>
  <si>
    <t>D.B. BIAŁY SPÓŁKA Z OGRANICZONĄ ODPOWIED</t>
  </si>
  <si>
    <t>200-2968</t>
  </si>
  <si>
    <t>LUBAZ SPÓŁKA Z OGRANICZONĄ ODPOWIEDZIALN</t>
  </si>
  <si>
    <t>200-2971</t>
  </si>
  <si>
    <t>Miropajo</t>
  </si>
  <si>
    <t>200-2972</t>
  </si>
  <si>
    <t>ELPRO JAROSŁAW HALOTA</t>
  </si>
  <si>
    <t>200-2973</t>
  </si>
  <si>
    <t>MS-IT MIŁOSZ SĘKAŁA</t>
  </si>
  <si>
    <t>200-2983</t>
  </si>
  <si>
    <t>ARW BALTIC SPÓŁKA Z OGRANICZONĄ ODPOWIED</t>
  </si>
  <si>
    <t>200-2988</t>
  </si>
  <si>
    <t>SUNDOOR TECH SPÓŁKA Z OGRANICZONĄ ODPOWI</t>
  </si>
  <si>
    <t>200-2990</t>
  </si>
  <si>
    <t>JBM BOŻENA JUROWICZ, JUSTYNA JUROWICZ SP</t>
  </si>
  <si>
    <t>200-2992</t>
  </si>
  <si>
    <t>KANRI Doradztwo biznesowe Małgorzata Gaw</t>
  </si>
  <si>
    <t>200-2993</t>
  </si>
  <si>
    <t>KATARZYNA DRUCH</t>
  </si>
  <si>
    <t>200-2994</t>
  </si>
  <si>
    <t>SPY SHOP Paweł Wujcikowski</t>
  </si>
  <si>
    <t>200-2996</t>
  </si>
  <si>
    <t>AUTOMOBILE SPÓŁKA Z OGRANICZONĄ ODPOWIED</t>
  </si>
  <si>
    <t>200-3009</t>
  </si>
  <si>
    <t>AERZEN POLSKA SPÓŁKA Z OGRANICZONĄ ODPOW</t>
  </si>
  <si>
    <t>200-3010</t>
  </si>
  <si>
    <t>LAZAR ANNA SKALSKA</t>
  </si>
  <si>
    <t>200-3011</t>
  </si>
  <si>
    <t>JK RACING  S. C. JAREMI KURKOWSKI, PAWEŁ</t>
  </si>
  <si>
    <t>200-3013</t>
  </si>
  <si>
    <t>KOWALSKI KRZYSZTOF Firma Usługowo-Handlo</t>
  </si>
  <si>
    <t>200-3014</t>
  </si>
  <si>
    <t>Ambroży Kamil ENERGOS-PRO</t>
  </si>
  <si>
    <t>200-3015</t>
  </si>
  <si>
    <t>PODNOSEK.PL SPÓŁKA Z OGRANICZONĄ ODPOWIE</t>
  </si>
  <si>
    <t>200-3016</t>
  </si>
  <si>
    <t>CZĘŚCI TIR CHLEBEK SPÓŁKA JAWNA</t>
  </si>
  <si>
    <t>200-3020</t>
  </si>
  <si>
    <t>TZ POLSKA SPÓŁKA Z OGRANICZONĄ ODPOWIEDZ</t>
  </si>
  <si>
    <t>200-3021</t>
  </si>
  <si>
    <t>M-Serwis s.c.  Marcin Pskorz   Mirosław</t>
  </si>
  <si>
    <t>200-3023</t>
  </si>
  <si>
    <t>AURUM SPÓŁKA Z OGRANICZONĄ ODPOWIEDZIALN</t>
  </si>
  <si>
    <t>200-3024</t>
  </si>
  <si>
    <t>Iteam4U S.C.  M. PODYMA, R.WÓJCICKI</t>
  </si>
  <si>
    <t>200-3026</t>
  </si>
  <si>
    <t>"SOLAR POLSKA" SPÓŁKA Z OGRANICZONĄ ODPO</t>
  </si>
  <si>
    <t>200-3027</t>
  </si>
  <si>
    <t>EKOBAT MACIEJ CHAJDYS</t>
  </si>
  <si>
    <t>200-3028</t>
  </si>
  <si>
    <t>MORAWSKA-PATEREK, JANKOWSKI KANCELARIA R</t>
  </si>
  <si>
    <t>200-3035</t>
  </si>
  <si>
    <t>KUBA INSTALACJE I POMIARY ELEKTRYCZNE S.</t>
  </si>
  <si>
    <t>200-3036</t>
  </si>
  <si>
    <t>PRO-TECH Firma Techniczno Handlowa Dariu</t>
  </si>
  <si>
    <t>200-3037</t>
  </si>
  <si>
    <t>SCP SPÓŁKA Z OGRANICZONĄ ODPOWIEDZIALNOŚ</t>
  </si>
  <si>
    <t>200-3039</t>
  </si>
  <si>
    <t>ZAKŁAD USŁUGOWO-HANDLOWY "NOWY ELEKTRONI</t>
  </si>
  <si>
    <t>200-3041</t>
  </si>
  <si>
    <t>"TOWAROWA GIEŁDA ENERGII" SPÓŁKA AKCYJNA</t>
  </si>
  <si>
    <t>200-3042</t>
  </si>
  <si>
    <t>STANISŁAW CENA F.H.U. AUTO-STAN</t>
  </si>
  <si>
    <t>200-3044</t>
  </si>
  <si>
    <t>KRZEŚNIAK KRZYSZTOF P.H.U. ANTAREX</t>
  </si>
  <si>
    <t>200-3045</t>
  </si>
  <si>
    <t>P.H.U.IMPEX PIOTR BĘĆKOWSKI</t>
  </si>
  <si>
    <t>200-3052</t>
  </si>
  <si>
    <t>JEDYNAK TOMASZ DRAGON COMPUTER</t>
  </si>
  <si>
    <t>200-3053</t>
  </si>
  <si>
    <t>EWELKAN BARAN &amp; ALEKSIEJUK SPÓŁKA KOMAND</t>
  </si>
  <si>
    <t>200-3054</t>
  </si>
  <si>
    <t>Pardi sp. z o. o.</t>
  </si>
  <si>
    <t>200-3055</t>
  </si>
  <si>
    <t>"GEOZET" ZAKŁAD USŁUG GEODEZYJNO-KARTOGR</t>
  </si>
  <si>
    <t>200-3056</t>
  </si>
  <si>
    <t>FIRMA "MAGROSS" JOLANTA KUŹMIŃSKA</t>
  </si>
  <si>
    <t>200-3057</t>
  </si>
  <si>
    <t>PROMINENT DOZOTECHNIKA SPÓŁKA Z OGRANICZ</t>
  </si>
  <si>
    <t>200-3061</t>
  </si>
  <si>
    <t>"SILVA" SPÓŁKA Z OGRANICZONĄ ODPOWIEDZIA</t>
  </si>
  <si>
    <t>200-3062</t>
  </si>
  <si>
    <t>PARTA SPÓŁKA Z OGRANICZONĄ ODPOWIEDZIALN</t>
  </si>
  <si>
    <t>200-3064</t>
  </si>
  <si>
    <t>ECO-CARS Karol Mrówczyński</t>
  </si>
  <si>
    <t>200-3067</t>
  </si>
  <si>
    <t>KRZYSZTOF SZUMACHER U.T.H. NAPRAWA WÓZKÓ</t>
  </si>
  <si>
    <t>200-3068</t>
  </si>
  <si>
    <t>STEELKO SPÓŁKA Z OGRANICZONĄ ODPOWIEDZIA</t>
  </si>
  <si>
    <t>200-3070</t>
  </si>
  <si>
    <t>GFG POLSKA SPÓŁKA Z OGRANICZONĄ ODPOWIED</t>
  </si>
  <si>
    <t>200-3077</t>
  </si>
  <si>
    <t>IWONA MACIĄG IM - TECH</t>
  </si>
  <si>
    <t>200-3081</t>
  </si>
  <si>
    <t>Małgorzata Werner Coach Systemowy</t>
  </si>
  <si>
    <t>200-3082</t>
  </si>
  <si>
    <t>SOFT HORIZON GROUP SPÓŁKA Z OGRANICZONĄ</t>
  </si>
  <si>
    <t>200-3089</t>
  </si>
  <si>
    <t>INTENTIO TOMASZ ŁABNO</t>
  </si>
  <si>
    <t>200-3092</t>
  </si>
  <si>
    <t>"BEATUR" SPÓŁKA Z OGRANICZONĄ ODPOWIEDZI</t>
  </si>
  <si>
    <t>200-3093</t>
  </si>
  <si>
    <t>INOX POLSKA TABORSCY SPÓŁKA JAWNA</t>
  </si>
  <si>
    <t>200-3094</t>
  </si>
  <si>
    <t>PIKUŁA SPÓŁKA Z OGRANICZONĄ ODPOWIEDZIAL</t>
  </si>
  <si>
    <t>200-3095</t>
  </si>
  <si>
    <t>WĘGLO-STAL PPHU WALDEMAR BISKUPEK</t>
  </si>
  <si>
    <t>200-3096</t>
  </si>
  <si>
    <t>PRO-FROZEN SPÓŁKA Z OGRANICZONĄ ODPOWIED</t>
  </si>
  <si>
    <t>200-3097</t>
  </si>
  <si>
    <t>SYLWIA TOKAR-WRONA ZAKŁAD USŁUG POŻARNIC</t>
  </si>
  <si>
    <t>200-3098</t>
  </si>
  <si>
    <t>HILTON FOODS LTD SPÓŁKA Z OGRANICZONĄ OD</t>
  </si>
  <si>
    <t>200-3099</t>
  </si>
  <si>
    <t>"SG EQUIPMENT LEASING POLSKA" SPÓŁKA Z O</t>
  </si>
  <si>
    <t>200-3105</t>
  </si>
  <si>
    <t>ANWIM SPÓŁKA AKCYJNA</t>
  </si>
  <si>
    <t>200-3111</t>
  </si>
  <si>
    <t>Zakład Dezynfekcji Dezynsekcji Deratyzac</t>
  </si>
  <si>
    <t>200-3114</t>
  </si>
  <si>
    <t>F.H.U. "ARTIS" SPÓŁKA JAWNA ALDONA MALAR</t>
  </si>
  <si>
    <t>200-3115</t>
  </si>
  <si>
    <t>MILLENNIUM LEASING SPÓŁKA Z OGRANICZONĄ</t>
  </si>
  <si>
    <t>200-3116</t>
  </si>
  <si>
    <t>FITPACK SEBASTIAN DUKAT</t>
  </si>
  <si>
    <t>200-3120</t>
  </si>
  <si>
    <t>KLUB PIŁKARSKI GKS TYCHY SPÓŁKA AKCYJNA</t>
  </si>
  <si>
    <t>200-3123</t>
  </si>
  <si>
    <t>ZENEX SPÓŁKA Z OGRANICZONĄ ODPOWIEDZIALN</t>
  </si>
  <si>
    <t>200-3133</t>
  </si>
  <si>
    <t>ZAKŁAD PRODUKCYJNO - HANDLOWY ZWIĄZKU NI</t>
  </si>
  <si>
    <t>200-3134</t>
  </si>
  <si>
    <t>Serwis Maszyn i Urządzeń Aneta Piotrowsk</t>
  </si>
  <si>
    <t>200-3137</t>
  </si>
  <si>
    <t>FIRMA HANDLOWA "RENATA" SPÓŁKA JAWNA JAC</t>
  </si>
  <si>
    <t>200-3140</t>
  </si>
  <si>
    <t>" AF SEKO SPÓŁKA Z OGRANICZONĄ ODPOWIEDZ</t>
  </si>
  <si>
    <t>200-3141</t>
  </si>
  <si>
    <t>TARGET SAFETY SPÓŁKA Z OGRANICZONĄ ODPOW</t>
  </si>
  <si>
    <t>200-3143</t>
  </si>
  <si>
    <t>ELTECO SPÓŁKA Z OGRANICZONĄ ODPOWIEDZIAL</t>
  </si>
  <si>
    <t>200-3147</t>
  </si>
  <si>
    <t>"DRÄGER POLSKA SPÓŁKA Z OGRANICZONĄ ODPO</t>
  </si>
  <si>
    <t>200-3148</t>
  </si>
  <si>
    <t>HUT-TRANS KATOWICE SPÓŁKA Z OGRANICZONĄ</t>
  </si>
  <si>
    <t>200-3150</t>
  </si>
  <si>
    <t>F.U.H. SBL-trans Mateusz Kowalski</t>
  </si>
  <si>
    <t>200-3151</t>
  </si>
  <si>
    <t>PRZEDSIĘBIORSTWO OBSŁUGI MASZYN BUDOWLAN</t>
  </si>
  <si>
    <t>200-3155</t>
  </si>
  <si>
    <t>Metach Ferenc Szeidl</t>
  </si>
  <si>
    <t>200-3159</t>
  </si>
  <si>
    <t>PRZEDSIĘBIORSTWO HANDLOWE "SOR-POL"  SOR</t>
  </si>
  <si>
    <t>200-3160</t>
  </si>
  <si>
    <t>AUTOMATSU Grzegorz Janowiak</t>
  </si>
  <si>
    <t>200-3165</t>
  </si>
  <si>
    <t>EURO-KOM - SERWIS DĄBROWSKI TADEUSZ DĄBR</t>
  </si>
  <si>
    <t>200-3167</t>
  </si>
  <si>
    <t>2EM SPÓŁKA Z OGRANICZONĄ ODPOWIEDZIALNOŚ</t>
  </si>
  <si>
    <t>200-3171</t>
  </si>
  <si>
    <t>Magsteron Mirosław Król</t>
  </si>
  <si>
    <t>200-3172</t>
  </si>
  <si>
    <t>MAREKWIA &amp; PŁAWNY KANCELARIA RADCÓW PRAW</t>
  </si>
  <si>
    <t>200-3173</t>
  </si>
  <si>
    <t>MIRELLA DŁUGAJCZYK 1/ F.H."ORIENTEX" S.C</t>
  </si>
  <si>
    <t>200-3174</t>
  </si>
  <si>
    <t>WIDROG Sylwia Wiśniewska</t>
  </si>
  <si>
    <t>200-3176</t>
  </si>
  <si>
    <t>REDTOM SPÓŁKA Z OGRANICZONĄ ODPOWIEDZIAL</t>
  </si>
  <si>
    <t>200-3177</t>
  </si>
  <si>
    <t>JOLANTA CHACHULSKA-NIEDZIELA TECHCAR</t>
  </si>
  <si>
    <t>200-3178</t>
  </si>
  <si>
    <t>PNEUMATIK SPÓŁKA AKCYJNA</t>
  </si>
  <si>
    <t>200-3180</t>
  </si>
  <si>
    <t>MADAR SPÓŁKA Z OGRANICZONĄ ODPOWIEDZIALN</t>
  </si>
  <si>
    <t>200-3181</t>
  </si>
  <si>
    <t>PIVEXIN TECHNOLOGY SPÓŁKA Z OGRANICZONĄ</t>
  </si>
  <si>
    <t>200-3182</t>
  </si>
  <si>
    <t>Firma Handlowo Usługowa Megakuchnia Kami</t>
  </si>
  <si>
    <t>200-3183</t>
  </si>
  <si>
    <t>DONAUCHEM POLSKA SPÓŁKA Z OGRANICZONĄ OD</t>
  </si>
  <si>
    <t>200-3184</t>
  </si>
  <si>
    <t>ERG BIERUŃ - FOLIE SPÓŁKA Z OGRANICZONĄ</t>
  </si>
  <si>
    <t>200-3185</t>
  </si>
  <si>
    <t>TECHKOP POLSKA S.C. PAWEŁ PUSTUŁ, DANIEL</t>
  </si>
  <si>
    <t>200-3186</t>
  </si>
  <si>
    <t>"DIAMENT" JUSTYNA GORAJ</t>
  </si>
  <si>
    <t>200-3187</t>
  </si>
  <si>
    <t>STOCKMEIER CHEMIA SPÓŁKA Z OGRANICZONĄ O</t>
  </si>
  <si>
    <t>200-3188</t>
  </si>
  <si>
    <t>PETECH JACEK BOGDANOWICZ</t>
  </si>
  <si>
    <t>200-3189</t>
  </si>
  <si>
    <t>DB AUDYT SPÓŁKA Z OGRANICZONĄ ODPOWIEDZI</t>
  </si>
  <si>
    <t>200-3190</t>
  </si>
  <si>
    <t>H&amp;P HYDROTECHNIK MACIEJ HOLIK</t>
  </si>
  <si>
    <t>200-3191</t>
  </si>
  <si>
    <t>PRZEDSIĘBIORSTWO BUDOWLANE MAAL SPÓŁKA Z</t>
  </si>
  <si>
    <t>200-3192</t>
  </si>
  <si>
    <t>STERCONTROL MAREK GRDEŃ</t>
  </si>
  <si>
    <t>200-3193</t>
  </si>
  <si>
    <t>"BEST-CHEM" Przedsiębiorstwo Produkcyjno</t>
  </si>
  <si>
    <t>200-3194</t>
  </si>
  <si>
    <t>TECHMIKS SPÓŁKA Z OGRANICZONĄ ODPOWIEDZI</t>
  </si>
  <si>
    <t>200-3195</t>
  </si>
  <si>
    <t>ŁONAK MARIUSZ Przedsiębiorstwo Transport</t>
  </si>
  <si>
    <t>200-3196</t>
  </si>
  <si>
    <t>CENTRUM SPORTOWO-REKREACYJNE ZAWODZIE SP</t>
  </si>
  <si>
    <t>200-3197</t>
  </si>
  <si>
    <t>"ENERIA" SPÓŁKA Z OGRANICZONĄ ODPOWIEDZI</t>
  </si>
  <si>
    <t>200-3198</t>
  </si>
  <si>
    <t>KANCELARIA RADCY PRAWNEGO KATARZYNA MORA</t>
  </si>
  <si>
    <t>200-3199</t>
  </si>
  <si>
    <t>OŚRODEK SZKOLENIA SYSTEMATYCZNEGO SPÓŁKA</t>
  </si>
  <si>
    <t>200-3200</t>
  </si>
  <si>
    <t>Przedsiębiorstwo Naukowo-Badawczo-Usługo</t>
  </si>
  <si>
    <t>200-3201</t>
  </si>
  <si>
    <t>SUEZ POŁUDNIE SPÓŁKA Z OGRANICZONĄ ODPOW</t>
  </si>
  <si>
    <t>200-3202</t>
  </si>
  <si>
    <t>DŹWIGI SOŁTYS SPÓŁKA Z OGRANICZONĄ ODPOW</t>
  </si>
  <si>
    <t>200-3203</t>
  </si>
  <si>
    <t>DefiMed - AED PIOTR KUBISZEWSKI</t>
  </si>
  <si>
    <t>200-3205</t>
  </si>
  <si>
    <t>OLGIERD STOLARONEK ZAKŁAD PRODUKCYJNO-HA</t>
  </si>
  <si>
    <t>200-3206</t>
  </si>
  <si>
    <t>P.H.U. ELEKTRYK IWONA RZEPKA</t>
  </si>
  <si>
    <t>200-3207</t>
  </si>
  <si>
    <t>JÓZEF MISZTELA FPH MISZTELA</t>
  </si>
  <si>
    <t>200-3208</t>
  </si>
  <si>
    <t>PROMAG SPÓŁKA AKCYJNA</t>
  </si>
  <si>
    <t>200-3209</t>
  </si>
  <si>
    <t>TECHSUL KRZYSZTOF KOSOWSKI</t>
  </si>
  <si>
    <t>200-3210</t>
  </si>
  <si>
    <t>FIRMA USŁUGOWO - HANDLOWA EUROKOP SZYGUŁ</t>
  </si>
  <si>
    <t>200-3212</t>
  </si>
  <si>
    <t>CORMAK JERZY ZALEWSKI</t>
  </si>
  <si>
    <t>200-3213</t>
  </si>
  <si>
    <t>"TAKONI" SPÓŁKA Z OGRANICZONĄ ODPOWIEDZI</t>
  </si>
  <si>
    <t>200-3214</t>
  </si>
  <si>
    <t>GRZYB MICHAŁ BIURO PROJEKTÓW GRAFICZNYCH</t>
  </si>
  <si>
    <t>200-3215</t>
  </si>
  <si>
    <t>MERCEDES MARTRUCK POJAZDY SPECJALNE SPÓŁ</t>
  </si>
  <si>
    <t>200-3216</t>
  </si>
  <si>
    <t>Bogusława Gromek "MIKOBA"</t>
  </si>
  <si>
    <t>200-3217</t>
  </si>
  <si>
    <t>PRONAR NARZĘDZIA I ZABUDOWY SPÓŁKA Z OGR</t>
  </si>
  <si>
    <t>200-3218</t>
  </si>
  <si>
    <t>"EKO-MET" PAWEŁ RUDZIŃSKI</t>
  </si>
  <si>
    <t>200-3219</t>
  </si>
  <si>
    <t>APRIVA SPÓŁKA Z OGRANICZONĄ ODPOWIEDZIAL</t>
  </si>
  <si>
    <t>200-3220</t>
  </si>
  <si>
    <t>"SKAT TRANSPORT SPÓŁKA Z OGRANICZONĄ ODP</t>
  </si>
  <si>
    <t>200-3221</t>
  </si>
  <si>
    <t>ECOPELL SPÓŁKA Z OGRANICZONĄ ODPOWIEDZIA</t>
  </si>
  <si>
    <t>200-3222</t>
  </si>
  <si>
    <t>TERBERG MATEC POLSKA SPÓŁKA Z OGRANICZON</t>
  </si>
  <si>
    <t>200-3225</t>
  </si>
  <si>
    <t>MAŃKA RYSZARD FIRMA USŁUGOWO-HANDLOWA "C</t>
  </si>
  <si>
    <t>200-3226</t>
  </si>
  <si>
    <t>AB-MED HURTOWNIA FARMACEUTYCZNA BEATA BO</t>
  </si>
  <si>
    <t>200-3227</t>
  </si>
  <si>
    <t>IRMA SPÓŁKA Z OGRANICZONĄ ODPOWIEDZIALNO</t>
  </si>
  <si>
    <t>200-3228</t>
  </si>
  <si>
    <t>KB Serwis Krzysztof Bienek</t>
  </si>
  <si>
    <t>200-3229</t>
  </si>
  <si>
    <t>MUNDURY HISTORYCZNE IRENA DOMINIEC</t>
  </si>
  <si>
    <t>200-3231</t>
  </si>
  <si>
    <t>AUDAX ENERGIA SPÓŁKA Z OGRANICZONĄ ODPOW</t>
  </si>
  <si>
    <t>200-3232</t>
  </si>
  <si>
    <t>HANDLOG SPÓŁKA Z OGRANICZONĄ ODPOWIEDZIA</t>
  </si>
  <si>
    <t>200-3233</t>
  </si>
  <si>
    <t>LAGUZ SPÓŁKA Z OGRANICZONĄ ODPOWIEDZIALN</t>
  </si>
  <si>
    <t>200-3236</t>
  </si>
  <si>
    <t>TUBES INTERNATIONAL SPÓŁKA Z OGRANICZONĄ</t>
  </si>
  <si>
    <t>200-3237</t>
  </si>
  <si>
    <t>Łukasz Dygas "LUKAN"</t>
  </si>
  <si>
    <t>200-3239</t>
  </si>
  <si>
    <t>SPÓŁDZIELNIA INWALIDÓW ZGODA</t>
  </si>
  <si>
    <t>200-3240</t>
  </si>
  <si>
    <t>"LAB-SERWIS" LABORATORIUM BADAŃ ŚRODOWIS</t>
  </si>
  <si>
    <t>200-3241</t>
  </si>
  <si>
    <t>ELEMENTY MASZYN SPÓŁKA Z OGRANICZONĄ ODP</t>
  </si>
  <si>
    <t>200-3242</t>
  </si>
  <si>
    <t>MARIAN FELUS PRZEDSIĘBIORSTWO HANDLOWO-P</t>
  </si>
  <si>
    <t>200-3243</t>
  </si>
  <si>
    <t>CHEMOLAB SPÓŁKA CYWILNA, KRZYSZTOF GARCA</t>
  </si>
  <si>
    <t>200-3244</t>
  </si>
  <si>
    <t>KACA MAREK "STALLUX" Firma Handlowa</t>
  </si>
  <si>
    <t>200-3245</t>
  </si>
  <si>
    <t>WPT POLSKA SPÓŁKA Z OGRANICZONĄ ODPOWIED</t>
  </si>
  <si>
    <t>200-3246</t>
  </si>
  <si>
    <t>DK-ALPIN DAMIAN KUCHARCZYK</t>
  </si>
  <si>
    <t>200-3247</t>
  </si>
  <si>
    <t>PRZEDSIĘBIORSTWO REALIZACJI INWESTYCJI "</t>
  </si>
  <si>
    <t>200-3249</t>
  </si>
  <si>
    <t>STATOR Krzysztof Tarnowski</t>
  </si>
  <si>
    <t>200-3250</t>
  </si>
  <si>
    <t>ANPAW PAWEŁ GWÓŹDŹ,ANETA GWÓŹDŹ S.C.</t>
  </si>
  <si>
    <t>200-3251</t>
  </si>
  <si>
    <t>TRAS POLSKA SPÓŁKA Z OGRANICZONĄ ODPOWIE</t>
  </si>
  <si>
    <t>200-3252</t>
  </si>
  <si>
    <t>ORKIESTRA DĘTA KWK "PIAST"</t>
  </si>
  <si>
    <t>200-3253</t>
  </si>
  <si>
    <t>R410 SPÓŁKA Z OGRANICZONĄ ODPOWIEDZIALNO</t>
  </si>
  <si>
    <t>200-3255</t>
  </si>
  <si>
    <t>ELPIS TRADE SPÓŁKA Z OGRANICZONĄ ODPOWIE</t>
  </si>
  <si>
    <t>200-3256</t>
  </si>
  <si>
    <t>AMBROZIAK SERWIS-TECH  ROBERT AMBROZIAK</t>
  </si>
  <si>
    <t>200-3257</t>
  </si>
  <si>
    <t>CECHO SPÓŁKA Z OGRANICZONĄ ODPOWIEDZIALN</t>
  </si>
  <si>
    <t>200-3258</t>
  </si>
  <si>
    <t>"F/X" KAMIŃSKA, CISOWSKI SPÓŁKA JAWNA</t>
  </si>
  <si>
    <t>200-3260</t>
  </si>
  <si>
    <t>DORABIANIE KLUCZY TOMASZ MAJCHROWSKI</t>
  </si>
  <si>
    <t>200-3261</t>
  </si>
  <si>
    <t>Maria Feliksiak "Fel"</t>
  </si>
  <si>
    <t>200-3262</t>
  </si>
  <si>
    <t>PRZEDSIĘBIORSTWO USŁUGOWO-HANDLOWE IMPEX</t>
  </si>
  <si>
    <t>200-3263</t>
  </si>
  <si>
    <t>SATOX SPÓŁKA Z OGRANICZONĄ ODPOWIEDZIALN</t>
  </si>
  <si>
    <t>200-3264</t>
  </si>
  <si>
    <t>RUMTEX SPÓŁKA Z OGRANICZONĄ ODPOWIEDZIAL</t>
  </si>
  <si>
    <t>200-3265</t>
  </si>
  <si>
    <t>PRZEDSIĘBIORSTWO PRODUKCYJNO-HANDLOWE EN</t>
  </si>
  <si>
    <t>200-3266</t>
  </si>
  <si>
    <t>PŁYTY WARSTWOWE SPÓŁKA CYWILNA   JACEK M</t>
  </si>
  <si>
    <t>200-3267</t>
  </si>
  <si>
    <t>MONDI ŚWIECIE SPÓŁKA AKCYJNA</t>
  </si>
  <si>
    <t>200-3268</t>
  </si>
  <si>
    <t>USŁUGI GEODEZYJNE I KARTOGRAFICZNE "GEO</t>
  </si>
  <si>
    <t>200-3269</t>
  </si>
  <si>
    <t>PPHU MEBLE ARTE JAROSŁAW BANAK</t>
  </si>
  <si>
    <t>200-3270</t>
  </si>
  <si>
    <t>SŁAWOMIR SZROMEK FHU THN</t>
  </si>
  <si>
    <t>200-3271</t>
  </si>
  <si>
    <t>CYCIURA JACEK P.W. GALERNIK</t>
  </si>
  <si>
    <t>200-3273</t>
  </si>
  <si>
    <t>MCM SYSTEM Monika Cichoń-Markiewicz</t>
  </si>
  <si>
    <t>200-3275</t>
  </si>
  <si>
    <t>KRZYSZTOF LOSKA POMOC DROGOWA</t>
  </si>
  <si>
    <t>200-3276</t>
  </si>
  <si>
    <t>1. Tech Spaw Daniel Gromyko; 2. GW Facto</t>
  </si>
  <si>
    <t>200-3279</t>
  </si>
  <si>
    <t>WENUS PAWEŁ CHLEBOŚ</t>
  </si>
  <si>
    <t>200-3280</t>
  </si>
  <si>
    <t>LOBO RECYKLING SPÓŁKA Z OGRANICZONĄ ODPO</t>
  </si>
  <si>
    <t>200-3281</t>
  </si>
  <si>
    <t>BETONBEST SPÓŁKA Z OGRANICZONĄ ODPOWIEDZ</t>
  </si>
  <si>
    <t>200-3282</t>
  </si>
  <si>
    <t>"METALOWY" JAKUB JAROTEK</t>
  </si>
  <si>
    <t>200-3283</t>
  </si>
  <si>
    <t>APEXNET SPÓŁKA Z OGRANICZONĄ ODPOWIEDZIA</t>
  </si>
  <si>
    <t>200-3287</t>
  </si>
  <si>
    <t>U PRZEWOŹNIKA SPÓŁKA Z OGRANICZONĄ ODPOW</t>
  </si>
  <si>
    <t>200-3290</t>
  </si>
  <si>
    <t>PRZEDSIĘBIORSTWO PRODUKCYJNE EMTECH SPÓŁ</t>
  </si>
  <si>
    <t>200-3292</t>
  </si>
  <si>
    <t>CHIORINO SPÓŁKA Z OGRANICZONĄ ODPOWIEDZI</t>
  </si>
  <si>
    <t>200-3294</t>
  </si>
  <si>
    <t>FARON  SC  PPH i UR  ZBIGNIEW FAROŃ, JAC</t>
  </si>
  <si>
    <t>200-3295</t>
  </si>
  <si>
    <t>WĘGLOSTAL SILESIA GROUP SPÓŁKA Z OGRANIC</t>
  </si>
  <si>
    <t>200-3296</t>
  </si>
  <si>
    <t>GRZEGORZ SOCHA</t>
  </si>
  <si>
    <t>200-3298</t>
  </si>
  <si>
    <t>ANDRZEJ SZCZĘCH</t>
  </si>
  <si>
    <t>200-3299</t>
  </si>
  <si>
    <t>BONBON SPÓŁKA Z OGRANICZONĄ ODPOWIEDZIAL</t>
  </si>
  <si>
    <t>200-3302</t>
  </si>
  <si>
    <t>EKOFOL BUGAJ SPÓŁKA JAWNA</t>
  </si>
  <si>
    <t>200-3303</t>
  </si>
  <si>
    <t>SIEĆ BADAWCZA ŁUKASIEWICZ-INSTYTUT INŻYN</t>
  </si>
  <si>
    <t>200-3304</t>
  </si>
  <si>
    <t>F.H.U. MAAR ŹRÓDEŁKO S.C., M.A.A. PLUTKA</t>
  </si>
  <si>
    <t>200-3305</t>
  </si>
  <si>
    <t>UNIMA PLUS SPÓŁKA Z OGRANICZONĄ ODPOWIED</t>
  </si>
  <si>
    <t>200-3306</t>
  </si>
  <si>
    <t>FLUKAR SPÓŁKA Z OGRANICZONĄ ODPOWIEDZIAL</t>
  </si>
  <si>
    <t>200-3311</t>
  </si>
  <si>
    <t>FEDEX EXPRESS POLAND SPÓŁKA Z OGRANICZON</t>
  </si>
  <si>
    <t>200-3312</t>
  </si>
  <si>
    <t>GEMMA SPÓŁKA Z OGRANICZONĄ ODPOWIEDZIALN</t>
  </si>
  <si>
    <t>200-3314</t>
  </si>
  <si>
    <t>SYLWIA MAJCHROWSKA</t>
  </si>
  <si>
    <t>200-3315</t>
  </si>
  <si>
    <t>ZAKŁAD ZAGOSPODAROWANIA ODPADÓW' - SPÓŁ</t>
  </si>
  <si>
    <t>200-3317</t>
  </si>
  <si>
    <t>ARTUR MISTERKIEWICZ</t>
  </si>
  <si>
    <t>200-3318</t>
  </si>
  <si>
    <t>RUDNIKAGRO SPÓŁKA Z OGRANICZONĄ ODPOWIED</t>
  </si>
  <si>
    <t>200-3319</t>
  </si>
  <si>
    <t>MIŁOSZ SŁABOŃ</t>
  </si>
  <si>
    <t>200-3320</t>
  </si>
  <si>
    <t>HYDROMONT S.C., RAFAŁ MIKICIUK, TERESA M</t>
  </si>
  <si>
    <t>200-3324</t>
  </si>
  <si>
    <t>ANGELIKA SUPROWICZ</t>
  </si>
  <si>
    <t>200-3325</t>
  </si>
  <si>
    <t>Ośrodek Szkoleniowy ESKADRA Krzysztof Du</t>
  </si>
  <si>
    <t>200-3326</t>
  </si>
  <si>
    <t>PRZEDSIĘBIORSTWO-PRODUKCYJNO-HANDLOWO-US</t>
  </si>
  <si>
    <t>200-3327</t>
  </si>
  <si>
    <t>TIG SERWIS Albert Figuła</t>
  </si>
  <si>
    <t>200-3331</t>
  </si>
  <si>
    <t>PASCAL SERVICES SPÓŁKA Z OGRANICZONĄ ODP</t>
  </si>
  <si>
    <t>200-3332</t>
  </si>
  <si>
    <t>STANISŁAW KORYCZAN</t>
  </si>
  <si>
    <t>200-3335</t>
  </si>
  <si>
    <t>TSL ECO SPÓŁKA Z OGRANICZONĄ ODPOWIEDZIA</t>
  </si>
  <si>
    <t>200-3337</t>
  </si>
  <si>
    <t>NOWATECH SPÓŁKA Z OGRANICZONĄ ODPOWIEDZI</t>
  </si>
  <si>
    <t>200-3338</t>
  </si>
  <si>
    <t>KAROL MIKULSKI</t>
  </si>
  <si>
    <t>200-3339</t>
  </si>
  <si>
    <t>JACEK RYT</t>
  </si>
  <si>
    <t>200-3341</t>
  </si>
  <si>
    <t>DANIEL HOŁOTA</t>
  </si>
  <si>
    <t>200-3342</t>
  </si>
  <si>
    <t>GAS POWER SPÓŁKA Z OGRANICZONĄ ODPOWIEDZ</t>
  </si>
  <si>
    <t>200-3343</t>
  </si>
  <si>
    <t>TOMASZ MALANOWICZ</t>
  </si>
  <si>
    <t>200-3345</t>
  </si>
  <si>
    <t>ARTUR OSIŃSKI</t>
  </si>
  <si>
    <t>200-3348</t>
  </si>
  <si>
    <t>ODCZYNNIKI SPÓŁKA Z OGRANICZONĄ ODPOWIED</t>
  </si>
  <si>
    <t>200-3349</t>
  </si>
  <si>
    <t>EUROPLASTICS SPÓŁKA Z OGRANICZONĄ ODPOWI</t>
  </si>
  <si>
    <t>200-3352</t>
  </si>
  <si>
    <t>ANDRZEJ ORDA</t>
  </si>
  <si>
    <t>200-3353</t>
  </si>
  <si>
    <t>ELMAX ŻYWICKI SPÓŁKA Z OGRANICZONĄ ODPOW</t>
  </si>
  <si>
    <t>200-3354</t>
  </si>
  <si>
    <t>CASP SYSTEM SPÓŁKA Z OGRANICZONĄ ODPOWIE</t>
  </si>
  <si>
    <t>200-3355</t>
  </si>
  <si>
    <t>ZBIGNIEW FAROŃ</t>
  </si>
  <si>
    <t>200-3356</t>
  </si>
  <si>
    <t>PIOTR WAWRZYNIAK</t>
  </si>
  <si>
    <t>200-3357</t>
  </si>
  <si>
    <t>ZDT TOP PORĘBA SPÓŁKA Z OGRANICZONĄ ODPO</t>
  </si>
  <si>
    <t>200-3358</t>
  </si>
  <si>
    <t>GOOD-FOL ADAM DEDIO SPÓŁKA KOMANDYTOWA</t>
  </si>
  <si>
    <t>200-3359</t>
  </si>
  <si>
    <t>TUSNOVICS INSTRUMENTS SPÓŁKA Z OGRANICZO</t>
  </si>
  <si>
    <t>200-3360</t>
  </si>
  <si>
    <t>JACEK LEWANDOWSKI</t>
  </si>
  <si>
    <t>200-3362</t>
  </si>
  <si>
    <t>JDJ SPÓŁKA Z OGRANICZONĄ ODPOWIEDZIALNOŚ</t>
  </si>
  <si>
    <t>200-3363</t>
  </si>
  <si>
    <t>Andrzej Dembecki F.H.U. "SOPEL"</t>
  </si>
  <si>
    <t>200-3364</t>
  </si>
  <si>
    <t>KAPEO POLSKA SPÓŁKA Z OGRANICZONĄ ODPOWI</t>
  </si>
  <si>
    <t>200-3365</t>
  </si>
  <si>
    <t>Szkółka Roślin Ozdobnych inż. Artur Kulk</t>
  </si>
  <si>
    <t>200-3370</t>
  </si>
  <si>
    <t>"TOOLMEX TRUCK" SPÓŁKA Z OGRANICZONĄ ODP</t>
  </si>
  <si>
    <t>200-3405</t>
  </si>
  <si>
    <t>SJ CONSTRUCTION SPÓŁKA Z OGRANICZONĄ ODP</t>
  </si>
  <si>
    <t>201</t>
  </si>
  <si>
    <t>Rozrachunki z odbiorcami</t>
  </si>
  <si>
    <t>201-215</t>
  </si>
  <si>
    <t>201-2395</t>
  </si>
  <si>
    <t>ZBIORCZY</t>
  </si>
  <si>
    <t>201-2472</t>
  </si>
  <si>
    <t>201-2827</t>
  </si>
  <si>
    <t>MATBEX SPÓŁKA Z OGRANICZONĄ ODPOWIEDZIAL</t>
  </si>
  <si>
    <t>201-3134</t>
  </si>
  <si>
    <t>201-3201</t>
  </si>
  <si>
    <t>201-3215</t>
  </si>
  <si>
    <t>202</t>
  </si>
  <si>
    <t>Rozrachunki z dostawcami - aktywa trwałe</t>
  </si>
  <si>
    <t>202-2-2089</t>
  </si>
  <si>
    <t>202-2-2565</t>
  </si>
  <si>
    <t>202-2-2881</t>
  </si>
  <si>
    <t>202-2-3046</t>
  </si>
  <si>
    <t>GRIN ADAM ROZCIECHA</t>
  </si>
  <si>
    <t>202-2-3090</t>
  </si>
  <si>
    <t>ERGOPLAN MICHAŁ KOŃCZYŁO</t>
  </si>
  <si>
    <t>202-2-3146</t>
  </si>
  <si>
    <t>WOJTYŁA INVESTMENT SPÓŁKA Z OGRANICZONĄ</t>
  </si>
  <si>
    <t>202-2-3191</t>
  </si>
  <si>
    <t>220</t>
  </si>
  <si>
    <t>Rozrachunki z tyt pod dochodo.</t>
  </si>
  <si>
    <t>220-2</t>
  </si>
  <si>
    <t>Podatek PIT</t>
  </si>
  <si>
    <t>221</t>
  </si>
  <si>
    <t>Rozrachunki VAT</t>
  </si>
  <si>
    <t>221-4-1</t>
  </si>
  <si>
    <t>Styczeń</t>
  </si>
  <si>
    <t>221-4-2</t>
  </si>
  <si>
    <t>Luty</t>
  </si>
  <si>
    <t>221-4-3</t>
  </si>
  <si>
    <t>Marzec</t>
  </si>
  <si>
    <t>221-4-4</t>
  </si>
  <si>
    <t>Kwiecień</t>
  </si>
  <si>
    <t>221-4-5</t>
  </si>
  <si>
    <t>Maj</t>
  </si>
  <si>
    <t>221-4-6</t>
  </si>
  <si>
    <t>Czerwiec</t>
  </si>
  <si>
    <t>221-4-7</t>
  </si>
  <si>
    <t>Lipiec</t>
  </si>
  <si>
    <t>221-4-8</t>
  </si>
  <si>
    <t>Sierpień</t>
  </si>
  <si>
    <t>221-4-9</t>
  </si>
  <si>
    <t>Wrzesień</t>
  </si>
  <si>
    <t>221-4-10</t>
  </si>
  <si>
    <t>Październik</t>
  </si>
  <si>
    <t>221-4-11</t>
  </si>
  <si>
    <t>Listopad</t>
  </si>
  <si>
    <t>221-4-12</t>
  </si>
  <si>
    <t>Grudzień</t>
  </si>
  <si>
    <t>221-5-1</t>
  </si>
  <si>
    <t>221-5-2</t>
  </si>
  <si>
    <t>221-5-3</t>
  </si>
  <si>
    <t>221-5-4</t>
  </si>
  <si>
    <t>221-5-5</t>
  </si>
  <si>
    <t>221-5-6</t>
  </si>
  <si>
    <t>221-5-7</t>
  </si>
  <si>
    <t>221-5-8</t>
  </si>
  <si>
    <t>221-5-9</t>
  </si>
  <si>
    <t>221-5-10</t>
  </si>
  <si>
    <t>222</t>
  </si>
  <si>
    <t>Podatek akcyzowy</t>
  </si>
  <si>
    <t>223</t>
  </si>
  <si>
    <t>Rozrachunki publiczno- prawne</t>
  </si>
  <si>
    <t>223-1-1</t>
  </si>
  <si>
    <t>Gmina Tychy</t>
  </si>
  <si>
    <t>223-1-2</t>
  </si>
  <si>
    <t>Gmina Wyry</t>
  </si>
  <si>
    <t>223-1-3</t>
  </si>
  <si>
    <t>223-2</t>
  </si>
  <si>
    <t>Podatek od środków trans</t>
  </si>
  <si>
    <t>223-4</t>
  </si>
  <si>
    <t>PFRON</t>
  </si>
  <si>
    <t>223-5</t>
  </si>
  <si>
    <t>Wieczyste użytkowanie gruntów</t>
  </si>
  <si>
    <t>223-6</t>
  </si>
  <si>
    <t>Opłata marszałkowska</t>
  </si>
  <si>
    <t>223-7</t>
  </si>
  <si>
    <t>Opłata za zagospodarowanie odp</t>
  </si>
  <si>
    <t>223-8</t>
  </si>
  <si>
    <t>Inne opłaty</t>
  </si>
  <si>
    <t>225</t>
  </si>
  <si>
    <t>Rozrachunki z ZUS</t>
  </si>
  <si>
    <t>225-1</t>
  </si>
  <si>
    <t>Ubezpieczenie spłeczne</t>
  </si>
  <si>
    <t>225-2</t>
  </si>
  <si>
    <t>Fundusze FP, FGŚP</t>
  </si>
  <si>
    <t>225-3</t>
  </si>
  <si>
    <t>Ubezpieczenie zdrowotne</t>
  </si>
  <si>
    <t>230</t>
  </si>
  <si>
    <t>Rozrachunki z tyt wynagrodzeń</t>
  </si>
  <si>
    <t>230-1-1-1</t>
  </si>
  <si>
    <t>Pracownicy peł. funkcje kier.</t>
  </si>
  <si>
    <t>230-1-1-2</t>
  </si>
  <si>
    <t>Pracownicy sortowni</t>
  </si>
  <si>
    <t>230-1-1-3</t>
  </si>
  <si>
    <t>Operatorzy</t>
  </si>
  <si>
    <t>230-1-1-4</t>
  </si>
  <si>
    <t>Inni pracownicy</t>
  </si>
  <si>
    <t>230-1-2-1</t>
  </si>
  <si>
    <t>230-1-2-2</t>
  </si>
  <si>
    <t>Utrzymanie ruchu</t>
  </si>
  <si>
    <t>230-1-2-3</t>
  </si>
  <si>
    <t>Pracownicy laboratorium</t>
  </si>
  <si>
    <t>230-2-1-1</t>
  </si>
  <si>
    <t>230-2-1-2</t>
  </si>
  <si>
    <t>Dział sprzedaży</t>
  </si>
  <si>
    <t>230-2-1-3</t>
  </si>
  <si>
    <t>Dział logistyki</t>
  </si>
  <si>
    <t>230-2-1-4</t>
  </si>
  <si>
    <t>PSZOK</t>
  </si>
  <si>
    <t>230-2-1-6</t>
  </si>
  <si>
    <t>Kierowcy</t>
  </si>
  <si>
    <t>230-2-1-7</t>
  </si>
  <si>
    <t>Ładowacze</t>
  </si>
  <si>
    <t>230-3-1-2</t>
  </si>
  <si>
    <t>Administracja składowiska</t>
  </si>
  <si>
    <t>230-3-1-3</t>
  </si>
  <si>
    <t>230-4-1</t>
  </si>
  <si>
    <t>Wynagrodzenie pracowników</t>
  </si>
  <si>
    <t>230-5-1</t>
  </si>
  <si>
    <t>230-5-2</t>
  </si>
  <si>
    <t>230-5-3</t>
  </si>
  <si>
    <t>Wynagrodzenie Zarządu</t>
  </si>
  <si>
    <t>230-5-4</t>
  </si>
  <si>
    <t>Rada Nadzorcza</t>
  </si>
  <si>
    <t>230-5-5</t>
  </si>
  <si>
    <t>Bezosobowy fundusz płac</t>
  </si>
  <si>
    <t>234</t>
  </si>
  <si>
    <t>Rozachunki z pracownikami</t>
  </si>
  <si>
    <t>234-1-44</t>
  </si>
  <si>
    <t>CYBULSKA,JAMROZY AGATA</t>
  </si>
  <si>
    <t>234-1-88</t>
  </si>
  <si>
    <t>Ryt Małgorzata</t>
  </si>
  <si>
    <t>234-1-100</t>
  </si>
  <si>
    <t>Przyżycki Mieczysław</t>
  </si>
  <si>
    <t>234-1-124</t>
  </si>
  <si>
    <t>Pajor Artur</t>
  </si>
  <si>
    <t>234-1-168</t>
  </si>
  <si>
    <t>Hajda Ryszard</t>
  </si>
  <si>
    <t>234-1-171</t>
  </si>
  <si>
    <t>Plichta Radosław</t>
  </si>
  <si>
    <t>234-1-174</t>
  </si>
  <si>
    <t>Musiał Sylwester</t>
  </si>
  <si>
    <t>234-1-199</t>
  </si>
  <si>
    <t>Pytel Marcin</t>
  </si>
  <si>
    <t>234-1-206</t>
  </si>
  <si>
    <t>Czardybon Anna</t>
  </si>
  <si>
    <t>234-1-221</t>
  </si>
  <si>
    <t>Królicki Jarosław</t>
  </si>
  <si>
    <t>234-1-231</t>
  </si>
  <si>
    <t>Wrzesień Anna</t>
  </si>
  <si>
    <t>234-1-238</t>
  </si>
  <si>
    <t>Barczyk Ewelina</t>
  </si>
  <si>
    <t>234-1-244</t>
  </si>
  <si>
    <t>Kieczka Stella</t>
  </si>
  <si>
    <t>234-1-245</t>
  </si>
  <si>
    <t>Orzeł Patryk</t>
  </si>
  <si>
    <t>234-1-247</t>
  </si>
  <si>
    <t>Pyznar Monika</t>
  </si>
  <si>
    <t>234-1-248</t>
  </si>
  <si>
    <t>Goc Mirosław</t>
  </si>
  <si>
    <t>234-1-251</t>
  </si>
  <si>
    <t>Pestka Krystian</t>
  </si>
  <si>
    <t>234-1-256</t>
  </si>
  <si>
    <t>Golek Barbara</t>
  </si>
  <si>
    <t>234-1-259</t>
  </si>
  <si>
    <t>Niziołek Anna</t>
  </si>
  <si>
    <t>234-1-260</t>
  </si>
  <si>
    <t>Grolik Mirosław</t>
  </si>
  <si>
    <t>234-2-44</t>
  </si>
  <si>
    <t>234-2-69</t>
  </si>
  <si>
    <t>Łakota Szymon</t>
  </si>
  <si>
    <t>234-2-88</t>
  </si>
  <si>
    <t>234-2-100</t>
  </si>
  <si>
    <t>234-2-111</t>
  </si>
  <si>
    <t>Wojewoda Radosław</t>
  </si>
  <si>
    <t>234-2-124</t>
  </si>
  <si>
    <t>234-2-159</t>
  </si>
  <si>
    <t>Garczyk Władysław</t>
  </si>
  <si>
    <t>234-2-171</t>
  </si>
  <si>
    <t>234-2-174</t>
  </si>
  <si>
    <t>234-2-194</t>
  </si>
  <si>
    <t>Gogol Bartosz</t>
  </si>
  <si>
    <t>234-2-197</t>
  </si>
  <si>
    <t>Kondratowicz Paweł</t>
  </si>
  <si>
    <t>234-2-199</t>
  </si>
  <si>
    <t>234-2-202</t>
  </si>
  <si>
    <t>Januszczak Dawid</t>
  </si>
  <si>
    <t>234-2-206</t>
  </si>
  <si>
    <t>234-2-221</t>
  </si>
  <si>
    <t>234-2-227</t>
  </si>
  <si>
    <t>Miksa Maciej</t>
  </si>
  <si>
    <t>234-2-232</t>
  </si>
  <si>
    <t>Stelmaszczyk Ryszard</t>
  </si>
  <si>
    <t>234-2-236</t>
  </si>
  <si>
    <t>Bodzioch Maciej</t>
  </si>
  <si>
    <t>234-2-239</t>
  </si>
  <si>
    <t>Pajor. Mirosław</t>
  </si>
  <si>
    <t>234-2-243</t>
  </si>
  <si>
    <t>Gul Danuta</t>
  </si>
  <si>
    <t>234-2-244</t>
  </si>
  <si>
    <t>234-2-245</t>
  </si>
  <si>
    <t>234-2-248</t>
  </si>
  <si>
    <t>234-2-249</t>
  </si>
  <si>
    <t>Moskwa Sławomir</t>
  </si>
  <si>
    <t>234-2-251</t>
  </si>
  <si>
    <t>234-2-253</t>
  </si>
  <si>
    <t>Grabalski Łukasz</t>
  </si>
  <si>
    <t>234-2-256</t>
  </si>
  <si>
    <t>234-2-258</t>
  </si>
  <si>
    <t>Witecka Kamila</t>
  </si>
  <si>
    <t>234-2-259</t>
  </si>
  <si>
    <t>234-2-261</t>
  </si>
  <si>
    <t>Stokłosa Michał</t>
  </si>
  <si>
    <t>234-2-262</t>
  </si>
  <si>
    <t>Mrozik Dariusz</t>
  </si>
  <si>
    <t>234-2-263</t>
  </si>
  <si>
    <t>Sosna Adam</t>
  </si>
  <si>
    <t>234-2-264</t>
  </si>
  <si>
    <t>Balura Marek</t>
  </si>
  <si>
    <t>234-2-265</t>
  </si>
  <si>
    <t>Balawarder Artur</t>
  </si>
  <si>
    <t>234-4-44</t>
  </si>
  <si>
    <t>234-4-47</t>
  </si>
  <si>
    <t>BARAN MACIEJ</t>
  </si>
  <si>
    <t>234-4-88</t>
  </si>
  <si>
    <t>234-4-100</t>
  </si>
  <si>
    <t>234-4-124</t>
  </si>
  <si>
    <t>234-4-161</t>
  </si>
  <si>
    <t>Kępka Justyna</t>
  </si>
  <si>
    <t>234-4-169</t>
  </si>
  <si>
    <t>Śmielak Przemysław</t>
  </si>
  <si>
    <t>234-4-171</t>
  </si>
  <si>
    <t>234-4-174</t>
  </si>
  <si>
    <t>234-4-181</t>
  </si>
  <si>
    <t>Zaborowski Marcin</t>
  </si>
  <si>
    <t>234-4-206</t>
  </si>
  <si>
    <t>234-4-221</t>
  </si>
  <si>
    <t>234-4-231</t>
  </si>
  <si>
    <t>234-4-236</t>
  </si>
  <si>
    <t>234-4-244</t>
  </si>
  <si>
    <t>234-4-245</t>
  </si>
  <si>
    <t>234-4-248</t>
  </si>
  <si>
    <t>234-4-259</t>
  </si>
  <si>
    <t>234-4-263</t>
  </si>
  <si>
    <t>234-4-266</t>
  </si>
  <si>
    <t>Ejdys Maciej</t>
  </si>
  <si>
    <t>235</t>
  </si>
  <si>
    <t>Pożyczki ZFŚS</t>
  </si>
  <si>
    <t>235-161</t>
  </si>
  <si>
    <t>235-194</t>
  </si>
  <si>
    <t>235-217</t>
  </si>
  <si>
    <t>Sopel Iwona</t>
  </si>
  <si>
    <t>235-237</t>
  </si>
  <si>
    <t>Król. Dawid</t>
  </si>
  <si>
    <t>244</t>
  </si>
  <si>
    <t>Roszczenia sporne</t>
  </si>
  <si>
    <t>244-1-1767</t>
  </si>
  <si>
    <t>STRABAG Sp. z o. o.</t>
  </si>
  <si>
    <t>244-1-1980</t>
  </si>
  <si>
    <t>PLUS MINUS Marek Kurek</t>
  </si>
  <si>
    <t>244-1-2395</t>
  </si>
  <si>
    <t>245</t>
  </si>
  <si>
    <t>Rozliczenie opł. leasingowych</t>
  </si>
  <si>
    <t>245-1</t>
  </si>
  <si>
    <t>przedmiot leasingu ST6802L</t>
  </si>
  <si>
    <t>245-2</t>
  </si>
  <si>
    <t>rozliczenie opłaty ST 6802L</t>
  </si>
  <si>
    <t>245-3-1</t>
  </si>
  <si>
    <t>przedmiot leasingu ST9437K</t>
  </si>
  <si>
    <t>245-3-2</t>
  </si>
  <si>
    <t>rozliczenie opłaty ST9437K</t>
  </si>
  <si>
    <t>245-3-3</t>
  </si>
  <si>
    <t>Przedmiot leasingu ST5157R</t>
  </si>
  <si>
    <t>245-3-4</t>
  </si>
  <si>
    <t>rozliczenie opłaty ST5157R</t>
  </si>
  <si>
    <t>245-3-5</t>
  </si>
  <si>
    <t>Przedmiot leasingu- ładowarka</t>
  </si>
  <si>
    <t>245-3-6</t>
  </si>
  <si>
    <t>Rozliczenie opłaty- ładowarka</t>
  </si>
  <si>
    <t>245-3-7</t>
  </si>
  <si>
    <t>245-4-1</t>
  </si>
  <si>
    <t>przedmiot leasingu - spycharka</t>
  </si>
  <si>
    <t>245-4-2</t>
  </si>
  <si>
    <t>rozliczenie opłaty - spycharka</t>
  </si>
  <si>
    <t>245-5-1</t>
  </si>
  <si>
    <t>przedmiot leasingu - zamiatarka</t>
  </si>
  <si>
    <t>245-5-2</t>
  </si>
  <si>
    <t>rozliczenie opłaty - zamiatarka</t>
  </si>
  <si>
    <t>245-6-1</t>
  </si>
  <si>
    <t>przedmiot leasingu - śmieciarka</t>
  </si>
  <si>
    <t>245-6-2</t>
  </si>
  <si>
    <t>rozliczenie opłaty - śmieciarka</t>
  </si>
  <si>
    <t>245-7-1</t>
  </si>
  <si>
    <t>245-7-2</t>
  </si>
  <si>
    <t>245-8-1</t>
  </si>
  <si>
    <t>przedmiot leasingu - system p.poż.</t>
  </si>
  <si>
    <t>245-8-2</t>
  </si>
  <si>
    <t>rozliczenie opłaty - system p.poż.</t>
  </si>
  <si>
    <t>246</t>
  </si>
  <si>
    <t>Zaliczki na środki trwałe</t>
  </si>
  <si>
    <t>249</t>
  </si>
  <si>
    <t>Pozostałe rozrachunki</t>
  </si>
  <si>
    <t>249-1</t>
  </si>
  <si>
    <t>Zapłaty faktur proforma</t>
  </si>
  <si>
    <t>249-2</t>
  </si>
  <si>
    <t>Św. na rzecz pracowników</t>
  </si>
  <si>
    <t>249-3</t>
  </si>
  <si>
    <t>Wadium, zabezpieczenia</t>
  </si>
  <si>
    <t>249-5</t>
  </si>
  <si>
    <t>Składki PZU</t>
  </si>
  <si>
    <t>249-8</t>
  </si>
  <si>
    <t>Inne rozrachunki</t>
  </si>
  <si>
    <t>249-9</t>
  </si>
  <si>
    <t>Składka AXA</t>
  </si>
  <si>
    <t>249-10</t>
  </si>
  <si>
    <t>Utarg ze sprzedaży uregulowany kartą płatniczą</t>
  </si>
  <si>
    <t>249-11</t>
  </si>
  <si>
    <t>Składka PPK</t>
  </si>
  <si>
    <t>260</t>
  </si>
  <si>
    <t>Otrzymane pożyczki</t>
  </si>
  <si>
    <t>260-1-1</t>
  </si>
  <si>
    <t>260-1-2</t>
  </si>
  <si>
    <t>260-2-1</t>
  </si>
  <si>
    <t>260-2-2</t>
  </si>
  <si>
    <t>261</t>
  </si>
  <si>
    <t>Udzielone pożyczki</t>
  </si>
  <si>
    <t>261-2</t>
  </si>
  <si>
    <t>Krótkoterminowe udzielone pożyczki</t>
  </si>
  <si>
    <t>265</t>
  </si>
  <si>
    <t>Odpisy aktualizujące</t>
  </si>
  <si>
    <t>265-2-1767</t>
  </si>
  <si>
    <t>265-2-1980</t>
  </si>
  <si>
    <t>265-2-2395</t>
  </si>
  <si>
    <t>310</t>
  </si>
  <si>
    <t>Magazyn materiałów</t>
  </si>
  <si>
    <t>310-1-1</t>
  </si>
  <si>
    <t>Części zamienne dla MZKZOK</t>
  </si>
  <si>
    <t>310-1-2</t>
  </si>
  <si>
    <t>Drut- karton</t>
  </si>
  <si>
    <t>310-2-1</t>
  </si>
  <si>
    <t>Sól</t>
  </si>
  <si>
    <t>310-2-2</t>
  </si>
  <si>
    <t>Worki</t>
  </si>
  <si>
    <t>310-2-3</t>
  </si>
  <si>
    <t>Części zamienne do samochodów</t>
  </si>
  <si>
    <t>310-5-1</t>
  </si>
  <si>
    <t>Paliwo</t>
  </si>
  <si>
    <t>330</t>
  </si>
  <si>
    <t>Towary</t>
  </si>
  <si>
    <t>330-1</t>
  </si>
  <si>
    <t>Prawa majątkowe</t>
  </si>
  <si>
    <t>350</t>
  </si>
  <si>
    <t>Usługi niefakturowane</t>
  </si>
  <si>
    <t>400</t>
  </si>
  <si>
    <t>400-1</t>
  </si>
  <si>
    <t>Amortyzacja ŚT</t>
  </si>
  <si>
    <t>401</t>
  </si>
  <si>
    <t>Zużycie materiałów</t>
  </si>
  <si>
    <t>401-1</t>
  </si>
  <si>
    <t>Materiały biurowe, druki, ksią</t>
  </si>
  <si>
    <t>401-2</t>
  </si>
  <si>
    <t>401-3</t>
  </si>
  <si>
    <t>Części zamienne do MZKZOK</t>
  </si>
  <si>
    <t>401-4</t>
  </si>
  <si>
    <t>Opony</t>
  </si>
  <si>
    <t>401-5</t>
  </si>
  <si>
    <t>Paliwa, oleje napędowe</t>
  </si>
  <si>
    <t>401-6</t>
  </si>
  <si>
    <t>Oleje, smary</t>
  </si>
  <si>
    <t>401-7</t>
  </si>
  <si>
    <t>Prenumeraty</t>
  </si>
  <si>
    <t>401-8</t>
  </si>
  <si>
    <t>Wyposażenie</t>
  </si>
  <si>
    <t>401-9</t>
  </si>
  <si>
    <t>Surowce do przerobu</t>
  </si>
  <si>
    <t>401-10</t>
  </si>
  <si>
    <t>Pozostałe materiały</t>
  </si>
  <si>
    <t>402</t>
  </si>
  <si>
    <t>402-1</t>
  </si>
  <si>
    <t>Energia elektryczna</t>
  </si>
  <si>
    <t>402-2</t>
  </si>
  <si>
    <t>Energia cieplna</t>
  </si>
  <si>
    <t>402-3</t>
  </si>
  <si>
    <t>Dostawy wody i odpr. ścieków</t>
  </si>
  <si>
    <t>403</t>
  </si>
  <si>
    <t>403-1</t>
  </si>
  <si>
    <t>Usługi bankowe</t>
  </si>
  <si>
    <t>403-2</t>
  </si>
  <si>
    <t>Utrzymanie czystości, konserwa</t>
  </si>
  <si>
    <t>403-3</t>
  </si>
  <si>
    <t>Usługi informatyczne</t>
  </si>
  <si>
    <t>403-4</t>
  </si>
  <si>
    <t>Usł. transportowe. pr z MZKZOK</t>
  </si>
  <si>
    <t>403-5</t>
  </si>
  <si>
    <t>Usługi transportowe inne</t>
  </si>
  <si>
    <t>403-6</t>
  </si>
  <si>
    <t>Usługi telekomunikacyjne</t>
  </si>
  <si>
    <t>403-7</t>
  </si>
  <si>
    <t>Usługi remontowe- samochody</t>
  </si>
  <si>
    <t>403-8</t>
  </si>
  <si>
    <t>Usługi remontowe- pozostałe</t>
  </si>
  <si>
    <t>403-9</t>
  </si>
  <si>
    <t>Usługi sprzętowe</t>
  </si>
  <si>
    <t>403-10</t>
  </si>
  <si>
    <t>Monitoring środowiskowy</t>
  </si>
  <si>
    <t>403-11</t>
  </si>
  <si>
    <t>Usługi doradcze</t>
  </si>
  <si>
    <t>403-13</t>
  </si>
  <si>
    <t>Usługi odśnieżania</t>
  </si>
  <si>
    <t>403-14</t>
  </si>
  <si>
    <t>Usługi najmu i dzierżawy</t>
  </si>
  <si>
    <t>403-15</t>
  </si>
  <si>
    <t>Pozostałe usługi</t>
  </si>
  <si>
    <t>404</t>
  </si>
  <si>
    <t>Usł. komunalne i wywozu odpadó</t>
  </si>
  <si>
    <t>404-1</t>
  </si>
  <si>
    <t>404-2</t>
  </si>
  <si>
    <t>Gmina Bieruń</t>
  </si>
  <si>
    <t>404-5</t>
  </si>
  <si>
    <t>Gmina Bojszowy</t>
  </si>
  <si>
    <t>404-6</t>
  </si>
  <si>
    <t>404-8</t>
  </si>
  <si>
    <t>Gmian Chełm Śląski</t>
  </si>
  <si>
    <t>406</t>
  </si>
  <si>
    <t>406-1-1-1</t>
  </si>
  <si>
    <t>406-1-1-2</t>
  </si>
  <si>
    <t>406-1-1-3</t>
  </si>
  <si>
    <t>406-1-1-4</t>
  </si>
  <si>
    <t>406-1-2-1</t>
  </si>
  <si>
    <t>406-1-2-2</t>
  </si>
  <si>
    <t>406-1-2-3</t>
  </si>
  <si>
    <t>406-1-3</t>
  </si>
  <si>
    <t>Labolatorium</t>
  </si>
  <si>
    <t>406-1-4</t>
  </si>
  <si>
    <t>Podczyszczalnia</t>
  </si>
  <si>
    <t>406-2-1-1</t>
  </si>
  <si>
    <t>406-2-1-2</t>
  </si>
  <si>
    <t>406-2-1-3</t>
  </si>
  <si>
    <t>406-2-1-4</t>
  </si>
  <si>
    <t>406-2-1-6</t>
  </si>
  <si>
    <t>406-2-1-7</t>
  </si>
  <si>
    <t>406-3-1-1</t>
  </si>
  <si>
    <t>406-3-1-2</t>
  </si>
  <si>
    <t>406-3-1-3</t>
  </si>
  <si>
    <t>406-4-1</t>
  </si>
  <si>
    <t>406-5-1</t>
  </si>
  <si>
    <t>406-5-2</t>
  </si>
  <si>
    <t>406-5-3</t>
  </si>
  <si>
    <t>406-5-4</t>
  </si>
  <si>
    <t>406-5-5</t>
  </si>
  <si>
    <t>406-5-6</t>
  </si>
  <si>
    <t>Wydział ds. sprzedaży</t>
  </si>
  <si>
    <t>407</t>
  </si>
  <si>
    <t>407-1</t>
  </si>
  <si>
    <t>Składki ZUS, FP, FGŚP</t>
  </si>
  <si>
    <t>407-2</t>
  </si>
  <si>
    <t>Szkolenia pracowników</t>
  </si>
  <si>
    <t>407-4</t>
  </si>
  <si>
    <t>Odzież, sprzęt ochr. osobistej</t>
  </si>
  <si>
    <t>407-5</t>
  </si>
  <si>
    <t>Usługi medyczne</t>
  </si>
  <si>
    <t>407-6</t>
  </si>
  <si>
    <t>407-7</t>
  </si>
  <si>
    <t>BHP</t>
  </si>
  <si>
    <t>407-8</t>
  </si>
  <si>
    <t>Pozostałe św. pracownicze</t>
  </si>
  <si>
    <t>408</t>
  </si>
  <si>
    <t>408-1</t>
  </si>
  <si>
    <t>Podatek od nieruchomości</t>
  </si>
  <si>
    <t>408-2</t>
  </si>
  <si>
    <t>Podatek od śr. transportowych</t>
  </si>
  <si>
    <t>408-4</t>
  </si>
  <si>
    <t>408-5</t>
  </si>
  <si>
    <t>Wieczyste użytkowanie</t>
  </si>
  <si>
    <t>408-6</t>
  </si>
  <si>
    <t>408-7</t>
  </si>
  <si>
    <t>Opł. za zagospodar. odpadów</t>
  </si>
  <si>
    <t>408-8</t>
  </si>
  <si>
    <t>VAT niepodlegający odliczeniu</t>
  </si>
  <si>
    <t>408-10</t>
  </si>
  <si>
    <t>408-11</t>
  </si>
  <si>
    <t>Opłata za wyłączenie gruntów</t>
  </si>
  <si>
    <t>408-12</t>
  </si>
  <si>
    <t>409</t>
  </si>
  <si>
    <t>Pozostałe koszty</t>
  </si>
  <si>
    <t>409-1</t>
  </si>
  <si>
    <t>Ubezpieczenia majątkowe</t>
  </si>
  <si>
    <t>409-2</t>
  </si>
  <si>
    <t>Reprezentacja</t>
  </si>
  <si>
    <t>409-3</t>
  </si>
  <si>
    <t>Reklama</t>
  </si>
  <si>
    <t>409-4</t>
  </si>
  <si>
    <t>Podróże służbowe</t>
  </si>
  <si>
    <t>409-5</t>
  </si>
  <si>
    <t>Ryczałty samochodowe</t>
  </si>
  <si>
    <t>409-6</t>
  </si>
  <si>
    <t>409-7</t>
  </si>
  <si>
    <t>Koszty NKUP</t>
  </si>
  <si>
    <t>409-9</t>
  </si>
  <si>
    <t>Reklama RPO</t>
  </si>
  <si>
    <t>490</t>
  </si>
  <si>
    <t>Rozliczenie kosztów</t>
  </si>
  <si>
    <t>501</t>
  </si>
  <si>
    <t>Zakład MZKZOK</t>
  </si>
  <si>
    <t>501-1-400-1</t>
  </si>
  <si>
    <t>501-1-400-2</t>
  </si>
  <si>
    <t>Amortyzacja WNiP</t>
  </si>
  <si>
    <t>501-1-400-4</t>
  </si>
  <si>
    <t>Amortyzacja ŚT z dotacji PIOS</t>
  </si>
  <si>
    <t>501-1-400-5</t>
  </si>
  <si>
    <t>Amortyzacja ŚT z poz. dotacji</t>
  </si>
  <si>
    <t>501-1-401-1</t>
  </si>
  <si>
    <t>501-1-401-2</t>
  </si>
  <si>
    <t>501-1-401-3</t>
  </si>
  <si>
    <t>501-1-401-4</t>
  </si>
  <si>
    <t>501-1-401-5</t>
  </si>
  <si>
    <t>501-1-401-6</t>
  </si>
  <si>
    <t>501-1-401-8</t>
  </si>
  <si>
    <t>501-1-401-10</t>
  </si>
  <si>
    <t>501-1-402-1</t>
  </si>
  <si>
    <t>501-1-402-2</t>
  </si>
  <si>
    <t>501-1-402-3</t>
  </si>
  <si>
    <t>501-1-403-2</t>
  </si>
  <si>
    <t>501-1-403-3</t>
  </si>
  <si>
    <t>501-1-403-4</t>
  </si>
  <si>
    <t>Usł. transportowe pr. z MZKZOK</t>
  </si>
  <si>
    <t>501-1-403-5</t>
  </si>
  <si>
    <t>501-1-403-6</t>
  </si>
  <si>
    <t>501-1-403-7</t>
  </si>
  <si>
    <t>501-1-403-8</t>
  </si>
  <si>
    <t>501-1-403-14</t>
  </si>
  <si>
    <t>501-1-403-15</t>
  </si>
  <si>
    <t>501-1-406-1</t>
  </si>
  <si>
    <t>501-1-406-2</t>
  </si>
  <si>
    <t>501-1-406-3</t>
  </si>
  <si>
    <t>501-1-406-4</t>
  </si>
  <si>
    <t>501-1-407-1</t>
  </si>
  <si>
    <t>501-1-407-2</t>
  </si>
  <si>
    <t>501-1-407-4</t>
  </si>
  <si>
    <t>Odziez,sprzęt ochr. osobistej</t>
  </si>
  <si>
    <t>501-1-407-5</t>
  </si>
  <si>
    <t>501-1-407-7</t>
  </si>
  <si>
    <t>501-1-407-8</t>
  </si>
  <si>
    <t>501-1-408-1</t>
  </si>
  <si>
    <t>501-1-408-2</t>
  </si>
  <si>
    <t>501-1-408-5</t>
  </si>
  <si>
    <t>501-1-408-11</t>
  </si>
  <si>
    <t>501-1-408-12</t>
  </si>
  <si>
    <t>501-1-409-1</t>
  </si>
  <si>
    <t>501-1-409-4</t>
  </si>
  <si>
    <t>501-1-409-6</t>
  </si>
  <si>
    <t>501-2-400-1</t>
  </si>
  <si>
    <t>501-2-401-1</t>
  </si>
  <si>
    <t>501-2-401-3</t>
  </si>
  <si>
    <t>501-2-401-6</t>
  </si>
  <si>
    <t>501-2-401-8</t>
  </si>
  <si>
    <t>501-2-401-10</t>
  </si>
  <si>
    <t>501-2-402-1</t>
  </si>
  <si>
    <t>501-2-402-3</t>
  </si>
  <si>
    <t>501-2-403-5</t>
  </si>
  <si>
    <t>501-2-403-6</t>
  </si>
  <si>
    <t>501-2-403-7</t>
  </si>
  <si>
    <t>501-2-403-8</t>
  </si>
  <si>
    <t>501-2-403-9</t>
  </si>
  <si>
    <t>501-2-403-14</t>
  </si>
  <si>
    <t>501-2-403-15</t>
  </si>
  <si>
    <t>501-2-406-1</t>
  </si>
  <si>
    <t>501-2-406-2</t>
  </si>
  <si>
    <t>501-2-406-3</t>
  </si>
  <si>
    <t>Pracownicy labolatorium</t>
  </si>
  <si>
    <t>501-2-407-1</t>
  </si>
  <si>
    <t>501-2-407-2</t>
  </si>
  <si>
    <t>501-2-407-4</t>
  </si>
  <si>
    <t>501-2-407-5</t>
  </si>
  <si>
    <t>501-2-407-7</t>
  </si>
  <si>
    <t>501-2-407-8</t>
  </si>
  <si>
    <t>501-2-408-8</t>
  </si>
  <si>
    <t>501-2-409-1</t>
  </si>
  <si>
    <t>501-2-409-4</t>
  </si>
  <si>
    <t>501-2-409-5</t>
  </si>
  <si>
    <t>501-2-409-7</t>
  </si>
  <si>
    <t>501-3-401-3</t>
  </si>
  <si>
    <t>Części zamienne CHP</t>
  </si>
  <si>
    <t>501-3-403-8</t>
  </si>
  <si>
    <t>501-3-403-15</t>
  </si>
  <si>
    <t>501-4-401-1</t>
  </si>
  <si>
    <t>501-4-401-10</t>
  </si>
  <si>
    <t>501-4-403-5</t>
  </si>
  <si>
    <t>501-4-403-6</t>
  </si>
  <si>
    <t>501-4-403-8</t>
  </si>
  <si>
    <t>501-4-403-10</t>
  </si>
  <si>
    <t>501-4-403-14</t>
  </si>
  <si>
    <t>501-4-403-15</t>
  </si>
  <si>
    <t>501-4-406-1</t>
  </si>
  <si>
    <t>501-4-406-4</t>
  </si>
  <si>
    <t>501-4-407-2</t>
  </si>
  <si>
    <t>501-4-407-4</t>
  </si>
  <si>
    <t>501-4-407-5</t>
  </si>
  <si>
    <t>501-4-407-7</t>
  </si>
  <si>
    <t>501-4-407-8</t>
  </si>
  <si>
    <t>501-4-408-12</t>
  </si>
  <si>
    <t>501-4-409-4</t>
  </si>
  <si>
    <t>501-5-400-1</t>
  </si>
  <si>
    <t>501-5-401-1</t>
  </si>
  <si>
    <t>501-5-401-3</t>
  </si>
  <si>
    <t>501-5-401-6</t>
  </si>
  <si>
    <t>501-5-401-10</t>
  </si>
  <si>
    <t>501-5-402-1</t>
  </si>
  <si>
    <t>501-5-402-3</t>
  </si>
  <si>
    <t>501-5-403-6</t>
  </si>
  <si>
    <t>501-5-403-8</t>
  </si>
  <si>
    <t>501-5-403-15</t>
  </si>
  <si>
    <t>501-5-406-4</t>
  </si>
  <si>
    <t>501-5-407-2</t>
  </si>
  <si>
    <t>501-5-407-4</t>
  </si>
  <si>
    <t>501-5-407-5</t>
  </si>
  <si>
    <t>501-5-407-7</t>
  </si>
  <si>
    <t>501-5-407-8</t>
  </si>
  <si>
    <t>501-5-408-1</t>
  </si>
  <si>
    <t>501-5-409-4</t>
  </si>
  <si>
    <t>501-6-400-1</t>
  </si>
  <si>
    <t>501-6-400-4</t>
  </si>
  <si>
    <t>Amortyzacja ŚT z dotacji RPO</t>
  </si>
  <si>
    <t>501-6-409-9</t>
  </si>
  <si>
    <t>502</t>
  </si>
  <si>
    <t>Wywóz</t>
  </si>
  <si>
    <t>502-1-401-2</t>
  </si>
  <si>
    <t>502-1-401-4</t>
  </si>
  <si>
    <t>502-1-401-5</t>
  </si>
  <si>
    <t>502-1-401-6</t>
  </si>
  <si>
    <t>502-1-401-10</t>
  </si>
  <si>
    <t>502-1-403-2</t>
  </si>
  <si>
    <t>502-1-403-6</t>
  </si>
  <si>
    <t>502-1-403-7</t>
  </si>
  <si>
    <t>502-1-403-14</t>
  </si>
  <si>
    <t>502-1-403-15</t>
  </si>
  <si>
    <t>502-1-404</t>
  </si>
  <si>
    <t>Usługi komunalne i wywozu odpa</t>
  </si>
  <si>
    <t>502-1-406</t>
  </si>
  <si>
    <t>502-1-407-1</t>
  </si>
  <si>
    <t>502-1-408-1</t>
  </si>
  <si>
    <t>502-1-408-2</t>
  </si>
  <si>
    <t>502-1-409-1</t>
  </si>
  <si>
    <t>502-1-409-6</t>
  </si>
  <si>
    <t>502-2-403-15</t>
  </si>
  <si>
    <t>502-2-404</t>
  </si>
  <si>
    <t>502-2-409-6</t>
  </si>
  <si>
    <t>502-3-403-5</t>
  </si>
  <si>
    <t>502-3-403-15</t>
  </si>
  <si>
    <t>502-4-401-2</t>
  </si>
  <si>
    <t>502-4-401-4</t>
  </si>
  <si>
    <t>502-4-401-5</t>
  </si>
  <si>
    <t>502-4-401-6</t>
  </si>
  <si>
    <t>502-4-401-10</t>
  </si>
  <si>
    <t>502-4-402-1</t>
  </si>
  <si>
    <t>502-4-403-2</t>
  </si>
  <si>
    <t>502-4-403-3</t>
  </si>
  <si>
    <t>502-4-403-6</t>
  </si>
  <si>
    <t>502-4-403-7</t>
  </si>
  <si>
    <t>502-4-403-8</t>
  </si>
  <si>
    <t>502-4-403-14</t>
  </si>
  <si>
    <t>502-4-403-15</t>
  </si>
  <si>
    <t>502-4-406</t>
  </si>
  <si>
    <t>502-4-407-1</t>
  </si>
  <si>
    <t>502-4-407-7</t>
  </si>
  <si>
    <t>502-4-408-1</t>
  </si>
  <si>
    <t>502-4-408-2</t>
  </si>
  <si>
    <t>502-4-408-12</t>
  </si>
  <si>
    <t>502-4-409-1</t>
  </si>
  <si>
    <t>502-4-409-6</t>
  </si>
  <si>
    <t>502-5-402-1</t>
  </si>
  <si>
    <t>502-5-403-15</t>
  </si>
  <si>
    <t>502-5-404</t>
  </si>
  <si>
    <t>502-5-409-6</t>
  </si>
  <si>
    <t>502-6-401-2</t>
  </si>
  <si>
    <t>502-6-401-4</t>
  </si>
  <si>
    <t>502-6-401-5</t>
  </si>
  <si>
    <t>502-6-401-6</t>
  </si>
  <si>
    <t>502-6-401-10</t>
  </si>
  <si>
    <t>502-6-402-1</t>
  </si>
  <si>
    <t>502-6-402-3</t>
  </si>
  <si>
    <t>502-6-403-2</t>
  </si>
  <si>
    <t>502-6-403-3</t>
  </si>
  <si>
    <t>502-6-403-6</t>
  </si>
  <si>
    <t>502-6-403-7</t>
  </si>
  <si>
    <t>502-6-403-8</t>
  </si>
  <si>
    <t>502-6-403-14</t>
  </si>
  <si>
    <t>502-6-403-15</t>
  </si>
  <si>
    <t>502-6-404</t>
  </si>
  <si>
    <t>502-6-406</t>
  </si>
  <si>
    <t>502-6-407-1</t>
  </si>
  <si>
    <t>502-6-407-7</t>
  </si>
  <si>
    <t>502-6-408-1</t>
  </si>
  <si>
    <t>502-6-408-2</t>
  </si>
  <si>
    <t>502-6-409-1</t>
  </si>
  <si>
    <t>502-6-409-6</t>
  </si>
  <si>
    <t>502-7-401-2</t>
  </si>
  <si>
    <t>502-7-401-4</t>
  </si>
  <si>
    <t>502-7-401-5</t>
  </si>
  <si>
    <t>502-7-401-6</t>
  </si>
  <si>
    <t>502-7-401-10</t>
  </si>
  <si>
    <t>502-7-403-2</t>
  </si>
  <si>
    <t>502-7-403-6</t>
  </si>
  <si>
    <t>502-7-403-7</t>
  </si>
  <si>
    <t>502-7-403-15</t>
  </si>
  <si>
    <t>502-7-406</t>
  </si>
  <si>
    <t>502-7-407-1</t>
  </si>
  <si>
    <t>502-7-408-2</t>
  </si>
  <si>
    <t>502-7-409-1</t>
  </si>
  <si>
    <t>502-7-409-6</t>
  </si>
  <si>
    <t>502-8-401-2</t>
  </si>
  <si>
    <t>502-8-401-4</t>
  </si>
  <si>
    <t>502-8-401-5</t>
  </si>
  <si>
    <t>502-8-401-6</t>
  </si>
  <si>
    <t>502-8-401-10</t>
  </si>
  <si>
    <t>502-8-402-1</t>
  </si>
  <si>
    <t>502-8-403-2</t>
  </si>
  <si>
    <t>502-8-403-6</t>
  </si>
  <si>
    <t>502-8-403-7</t>
  </si>
  <si>
    <t>502-8-403-8</t>
  </si>
  <si>
    <t>502-8-403-14</t>
  </si>
  <si>
    <t>502-8-403-15</t>
  </si>
  <si>
    <t>502-8-404</t>
  </si>
  <si>
    <t>502-8-406</t>
  </si>
  <si>
    <t>502-8-407-1</t>
  </si>
  <si>
    <t>502-8-407-7</t>
  </si>
  <si>
    <t>502-8-408-2</t>
  </si>
  <si>
    <t>502-8-408-12</t>
  </si>
  <si>
    <t>502-8-409-1</t>
  </si>
  <si>
    <t>502-8-409-3</t>
  </si>
  <si>
    <t>502-8-409-6</t>
  </si>
  <si>
    <t>502-9-401-2</t>
  </si>
  <si>
    <t>502-9-401-4</t>
  </si>
  <si>
    <t>502-9-401-5</t>
  </si>
  <si>
    <t>502-9-401-6</t>
  </si>
  <si>
    <t>502-9-401-10</t>
  </si>
  <si>
    <t>502-9-403-2</t>
  </si>
  <si>
    <t>502-9-403-6</t>
  </si>
  <si>
    <t>502-9-403-7</t>
  </si>
  <si>
    <t>502-9-403-8</t>
  </si>
  <si>
    <t>502-9-403-13</t>
  </si>
  <si>
    <t>502-9-403-15</t>
  </si>
  <si>
    <t>502-9-406</t>
  </si>
  <si>
    <t>502-9-407-1</t>
  </si>
  <si>
    <t>502-9-408-2</t>
  </si>
  <si>
    <t>502-9-409-1</t>
  </si>
  <si>
    <t>502-10-401-2</t>
  </si>
  <si>
    <t>502-10-401-4</t>
  </si>
  <si>
    <t>502-10-401-5</t>
  </si>
  <si>
    <t>502-10-401-6</t>
  </si>
  <si>
    <t>502-10-401-10</t>
  </si>
  <si>
    <t>502-10-402-1</t>
  </si>
  <si>
    <t>502-10-403-2</t>
  </si>
  <si>
    <t>502-10-403-5</t>
  </si>
  <si>
    <t>502-10-403-6</t>
  </si>
  <si>
    <t>502-10-403-7</t>
  </si>
  <si>
    <t>502-10-403-8</t>
  </si>
  <si>
    <t>502-10-403-14</t>
  </si>
  <si>
    <t>502-10-403-15</t>
  </si>
  <si>
    <t>502-10-406</t>
  </si>
  <si>
    <t>502-10-407-1</t>
  </si>
  <si>
    <t>502-10-407-7</t>
  </si>
  <si>
    <t>502-10-408-2</t>
  </si>
  <si>
    <t>502-10-409-1</t>
  </si>
  <si>
    <t>502-11-401-2</t>
  </si>
  <si>
    <t>502-11-401-4</t>
  </si>
  <si>
    <t>502-11-401-5</t>
  </si>
  <si>
    <t>502-11-401-6</t>
  </si>
  <si>
    <t>502-11-401-10</t>
  </si>
  <si>
    <t>502-11-403-2</t>
  </si>
  <si>
    <t>502-11-403-6</t>
  </si>
  <si>
    <t>502-11-403-7</t>
  </si>
  <si>
    <t>502-11-403-15</t>
  </si>
  <si>
    <t>502-11-406</t>
  </si>
  <si>
    <t>502-11-407-1</t>
  </si>
  <si>
    <t>502-11-408-2</t>
  </si>
  <si>
    <t>502-11-409-1</t>
  </si>
  <si>
    <t>502-12-400-1</t>
  </si>
  <si>
    <t>502-12-400-5</t>
  </si>
  <si>
    <t>502-12-401-1</t>
  </si>
  <si>
    <t>502-12-401-2</t>
  </si>
  <si>
    <t>502-12-401-5</t>
  </si>
  <si>
    <t>502-12-401-6</t>
  </si>
  <si>
    <t>502-12-401-7</t>
  </si>
  <si>
    <t>502-12-401-8</t>
  </si>
  <si>
    <t>502-12-401-9</t>
  </si>
  <si>
    <t>502-12-401-10</t>
  </si>
  <si>
    <t>502-12-403-2</t>
  </si>
  <si>
    <t>502-12-403-3</t>
  </si>
  <si>
    <t>502-12-403-5</t>
  </si>
  <si>
    <t>502-12-403-6</t>
  </si>
  <si>
    <t>502-12-403-7</t>
  </si>
  <si>
    <t>502-12-403-14</t>
  </si>
  <si>
    <t>502-12-403-15</t>
  </si>
  <si>
    <t>502-12-406</t>
  </si>
  <si>
    <t>502-12-407-1</t>
  </si>
  <si>
    <t>502-12-407-2</t>
  </si>
  <si>
    <t>502-12-407-4</t>
  </si>
  <si>
    <t>502-12-407-5</t>
  </si>
  <si>
    <t>502-12-407-7</t>
  </si>
  <si>
    <t>502-12-407-8</t>
  </si>
  <si>
    <t>502-12-408-2</t>
  </si>
  <si>
    <t>502-12-408-12</t>
  </si>
  <si>
    <t>502-12-409-1</t>
  </si>
  <si>
    <t>502-12-409-4</t>
  </si>
  <si>
    <t>502-12-409-5</t>
  </si>
  <si>
    <t>502-12-409-6</t>
  </si>
  <si>
    <t>503</t>
  </si>
  <si>
    <t>503-1-400-1</t>
  </si>
  <si>
    <t>503-1-401-1</t>
  </si>
  <si>
    <t>503-1-401-4</t>
  </si>
  <si>
    <t>503-1-401-5</t>
  </si>
  <si>
    <t>503-1-401-6</t>
  </si>
  <si>
    <t>503-1-401-7</t>
  </si>
  <si>
    <t>503-1-401-8</t>
  </si>
  <si>
    <t>503-1-401-10</t>
  </si>
  <si>
    <t>503-1-402-1</t>
  </si>
  <si>
    <t>503-1-402-3</t>
  </si>
  <si>
    <t>503-1-403-3</t>
  </si>
  <si>
    <t>503-1-403-6</t>
  </si>
  <si>
    <t>503-1-403-8</t>
  </si>
  <si>
    <t>503-1-403-10</t>
  </si>
  <si>
    <t>503-1-403-14</t>
  </si>
  <si>
    <t>503-1-403-15</t>
  </si>
  <si>
    <t>503-1-406</t>
  </si>
  <si>
    <t>503-1-407-1</t>
  </si>
  <si>
    <t>503-1-407-2</t>
  </si>
  <si>
    <t>503-1-407-4</t>
  </si>
  <si>
    <t>503-1-407-5</t>
  </si>
  <si>
    <t>503-1-407-7</t>
  </si>
  <si>
    <t>503-1-407-8</t>
  </si>
  <si>
    <t>503-1-408-1</t>
  </si>
  <si>
    <t>503-1-408-6</t>
  </si>
  <si>
    <t>503-1-408-12</t>
  </si>
  <si>
    <t>503-1-409-1</t>
  </si>
  <si>
    <t>503-1-409-4</t>
  </si>
  <si>
    <t>504</t>
  </si>
  <si>
    <t>Agregat na składowisku</t>
  </si>
  <si>
    <t>504-1-400-1</t>
  </si>
  <si>
    <t>504-1-400-5</t>
  </si>
  <si>
    <t>504-1-401-1</t>
  </si>
  <si>
    <t>504-1-401-6</t>
  </si>
  <si>
    <t>504-1-401-10</t>
  </si>
  <si>
    <t>504-1-402-1</t>
  </si>
  <si>
    <t>504-1-403-6</t>
  </si>
  <si>
    <t>504-1-403-8</t>
  </si>
  <si>
    <t>504-1-403-14</t>
  </si>
  <si>
    <t>504-1-403-15</t>
  </si>
  <si>
    <t>504-1-406</t>
  </si>
  <si>
    <t>504-1-407-1</t>
  </si>
  <si>
    <t>504-1-407-4</t>
  </si>
  <si>
    <t>504-1-407-5</t>
  </si>
  <si>
    <t>504-1-407-7</t>
  </si>
  <si>
    <t>504-1-407-8</t>
  </si>
  <si>
    <t>504-1-408-1</t>
  </si>
  <si>
    <t>504-1-408-10</t>
  </si>
  <si>
    <t>504-1-409-4</t>
  </si>
  <si>
    <t>504-1-409-5</t>
  </si>
  <si>
    <t>504-1-409-7</t>
  </si>
  <si>
    <t>550</t>
  </si>
  <si>
    <t>Koszty ogólne zarządu</t>
  </si>
  <si>
    <t>550-1-400-1</t>
  </si>
  <si>
    <t>550-1-400-2</t>
  </si>
  <si>
    <t>550-1-401-1</t>
  </si>
  <si>
    <t>550-1-401-2</t>
  </si>
  <si>
    <t>550-1-401-4</t>
  </si>
  <si>
    <t>550-1-401-5</t>
  </si>
  <si>
    <t>550-1-401-6</t>
  </si>
  <si>
    <t>550-1-401-7</t>
  </si>
  <si>
    <t>550-1-401-8</t>
  </si>
  <si>
    <t>550-1-401-10</t>
  </si>
  <si>
    <t>550-1-403-1</t>
  </si>
  <si>
    <t>550-1-403-2</t>
  </si>
  <si>
    <t>550-1-403-3</t>
  </si>
  <si>
    <t>550-1-403-5</t>
  </si>
  <si>
    <t>550-1-403-6</t>
  </si>
  <si>
    <t>550-1-403-7</t>
  </si>
  <si>
    <t>550-1-403-8</t>
  </si>
  <si>
    <t>550-1-403-11</t>
  </si>
  <si>
    <t>550-1-403-14</t>
  </si>
  <si>
    <t>550-1-403-15</t>
  </si>
  <si>
    <t>550-1-406</t>
  </si>
  <si>
    <t>550-1-407-1</t>
  </si>
  <si>
    <t>550-1-407-2</t>
  </si>
  <si>
    <t>550-1-407-4</t>
  </si>
  <si>
    <t>550-1-407-5</t>
  </si>
  <si>
    <t>550-1-407-6</t>
  </si>
  <si>
    <t>550-1-407-7</t>
  </si>
  <si>
    <t>550-1-407-8</t>
  </si>
  <si>
    <t>550-1-408-2</t>
  </si>
  <si>
    <t>550-1-408-4</t>
  </si>
  <si>
    <t>550-1-408-5</t>
  </si>
  <si>
    <t>550-1-408-7</t>
  </si>
  <si>
    <t>550-1-408-8</t>
  </si>
  <si>
    <t>550-1-408-12</t>
  </si>
  <si>
    <t>550-1-409-1</t>
  </si>
  <si>
    <t>550-1-409-2</t>
  </si>
  <si>
    <t>550-1-409-3</t>
  </si>
  <si>
    <t>550-1-409-4</t>
  </si>
  <si>
    <t>550-1-409-5</t>
  </si>
  <si>
    <t>550-1-409-6</t>
  </si>
  <si>
    <t>550-1-409-7</t>
  </si>
  <si>
    <t>550-2-406</t>
  </si>
  <si>
    <t>550-2-407</t>
  </si>
  <si>
    <t>Składki ZUS</t>
  </si>
  <si>
    <t>550-3-401-1</t>
  </si>
  <si>
    <t>550-3-401-2</t>
  </si>
  <si>
    <t>550-3-401-4</t>
  </si>
  <si>
    <t>550-3-401-5</t>
  </si>
  <si>
    <t>550-3-401-10</t>
  </si>
  <si>
    <t>550-3-403-6</t>
  </si>
  <si>
    <t>550-3-403-7</t>
  </si>
  <si>
    <t>550-3-403-15</t>
  </si>
  <si>
    <t>550-3-407-2</t>
  </si>
  <si>
    <t>550-3-407-4</t>
  </si>
  <si>
    <t>550-3-407-5</t>
  </si>
  <si>
    <t>550-3-407-7</t>
  </si>
  <si>
    <t>550-3-407-8</t>
  </si>
  <si>
    <t>550-3-408-8</t>
  </si>
  <si>
    <t>550-3-409-1</t>
  </si>
  <si>
    <t>550-3-409-4</t>
  </si>
  <si>
    <t>591</t>
  </si>
  <si>
    <t>Rozliczenia międzywydziałowe</t>
  </si>
  <si>
    <t>591-1-4012</t>
  </si>
  <si>
    <t>Części zamienne</t>
  </si>
  <si>
    <t>591-1-4014</t>
  </si>
  <si>
    <t>591-1-4015</t>
  </si>
  <si>
    <t>591-1-4016</t>
  </si>
  <si>
    <t>591-1-4032</t>
  </si>
  <si>
    <t>Utrzymanie czystości, konserwacje</t>
  </si>
  <si>
    <t>591-1-4036</t>
  </si>
  <si>
    <t>591-1-4037</t>
  </si>
  <si>
    <t>Usługi remontowe</t>
  </si>
  <si>
    <t>591-1-4082</t>
  </si>
  <si>
    <t>Podatek od środków transportowych</t>
  </si>
  <si>
    <t>591-1-4091</t>
  </si>
  <si>
    <t>591-1-40110</t>
  </si>
  <si>
    <t>591-1-40315</t>
  </si>
  <si>
    <t>591-2-4012</t>
  </si>
  <si>
    <t>591-2-4014</t>
  </si>
  <si>
    <t>591-2-4015</t>
  </si>
  <si>
    <t>591-2-4016</t>
  </si>
  <si>
    <t>591-2-4032</t>
  </si>
  <si>
    <t>591-2-4036</t>
  </si>
  <si>
    <t>591-2-4037</t>
  </si>
  <si>
    <t>591-2-4082</t>
  </si>
  <si>
    <t>591-2-4091</t>
  </si>
  <si>
    <t>591-2-40315</t>
  </si>
  <si>
    <t>591-3-4012</t>
  </si>
  <si>
    <t>591-3-4014</t>
  </si>
  <si>
    <t>591-3-4015</t>
  </si>
  <si>
    <t>591-3-4016</t>
  </si>
  <si>
    <t>591-3-4032</t>
  </si>
  <si>
    <t>591-3-4036</t>
  </si>
  <si>
    <t>591-3-4037</t>
  </si>
  <si>
    <t>591-3-4082</t>
  </si>
  <si>
    <t>591-3-4091</t>
  </si>
  <si>
    <t>591-4-4012</t>
  </si>
  <si>
    <t>591-4-4015</t>
  </si>
  <si>
    <t>591-4-4016</t>
  </si>
  <si>
    <t>591-4-4036</t>
  </si>
  <si>
    <t>591-4-4037</t>
  </si>
  <si>
    <t>591-4-4091</t>
  </si>
  <si>
    <t>591-4-40315</t>
  </si>
  <si>
    <t>591-5-4012</t>
  </si>
  <si>
    <t>591-5-4014</t>
  </si>
  <si>
    <t>591-5-4015</t>
  </si>
  <si>
    <t>591-5-4016</t>
  </si>
  <si>
    <t>591-5-4032</t>
  </si>
  <si>
    <t>591-5-4036</t>
  </si>
  <si>
    <t>591-5-4037</t>
  </si>
  <si>
    <t>591-5-4082</t>
  </si>
  <si>
    <t>591-5-4091</t>
  </si>
  <si>
    <t>591-5-40110</t>
  </si>
  <si>
    <t>591-5-40315</t>
  </si>
  <si>
    <t>591-6-4012</t>
  </si>
  <si>
    <t>591-6-4015</t>
  </si>
  <si>
    <t>591-6-4016</t>
  </si>
  <si>
    <t>591-6-4032</t>
  </si>
  <si>
    <t>591-6-4036</t>
  </si>
  <si>
    <t>591-6-4037</t>
  </si>
  <si>
    <t>591-6-4082</t>
  </si>
  <si>
    <t>591-6-4091</t>
  </si>
  <si>
    <t>591-6-40315</t>
  </si>
  <si>
    <t>591-8-4012</t>
  </si>
  <si>
    <t>591-8-4014</t>
  </si>
  <si>
    <t>591-8-4015</t>
  </si>
  <si>
    <t>591-8-4016</t>
  </si>
  <si>
    <t>591-8-4032</t>
  </si>
  <si>
    <t>591-8-4036</t>
  </si>
  <si>
    <t>591-8-4037</t>
  </si>
  <si>
    <t>591-8-4082</t>
  </si>
  <si>
    <t>591-8-4091</t>
  </si>
  <si>
    <t>591-8-40315</t>
  </si>
  <si>
    <t>591-9-4012</t>
  </si>
  <si>
    <t>591-9-4014</t>
  </si>
  <si>
    <t>591-9-4015</t>
  </si>
  <si>
    <t>591-9-4016</t>
  </si>
  <si>
    <t>591-9-4032</t>
  </si>
  <si>
    <t>591-9-4036</t>
  </si>
  <si>
    <t>591-9-4037</t>
  </si>
  <si>
    <t>591-9-4082</t>
  </si>
  <si>
    <t>591-9-4091</t>
  </si>
  <si>
    <t>591-9-40315</t>
  </si>
  <si>
    <t>591-10-4012</t>
  </si>
  <si>
    <t>591-10-4014</t>
  </si>
  <si>
    <t>591-10-4015</t>
  </si>
  <si>
    <t>591-10-4016</t>
  </si>
  <si>
    <t>591-10-4032</t>
  </si>
  <si>
    <t>591-10-4036</t>
  </si>
  <si>
    <t>591-10-4037</t>
  </si>
  <si>
    <t>591-10-4082</t>
  </si>
  <si>
    <t>591-10-4091</t>
  </si>
  <si>
    <t>591-10-40315</t>
  </si>
  <si>
    <t>591-11-4012</t>
  </si>
  <si>
    <t>591-11-4014</t>
  </si>
  <si>
    <t>591-11-4015</t>
  </si>
  <si>
    <t>591-11-4016</t>
  </si>
  <si>
    <t>591-11-4032</t>
  </si>
  <si>
    <t>591-11-4036</t>
  </si>
  <si>
    <t>591-11-4037</t>
  </si>
  <si>
    <t>591-11-4082</t>
  </si>
  <si>
    <t>591-11-4091</t>
  </si>
  <si>
    <t>591-11-40110</t>
  </si>
  <si>
    <t>591-11-40315</t>
  </si>
  <si>
    <t>591-12-4012</t>
  </si>
  <si>
    <t>591-12-4015</t>
  </si>
  <si>
    <t>591-12-4016</t>
  </si>
  <si>
    <t>591-12-4032</t>
  </si>
  <si>
    <t>591-12-4036</t>
  </si>
  <si>
    <t>591-12-4037</t>
  </si>
  <si>
    <t>591-12-4082</t>
  </si>
  <si>
    <t>591-12-4091</t>
  </si>
  <si>
    <t>591-12-40315</t>
  </si>
  <si>
    <t>591-13-4012</t>
  </si>
  <si>
    <t>591-13-4014</t>
  </si>
  <si>
    <t>591-13-4015</t>
  </si>
  <si>
    <t>591-13-4016</t>
  </si>
  <si>
    <t>591-13-4032</t>
  </si>
  <si>
    <t>591-13-4036</t>
  </si>
  <si>
    <t>591-13-4037</t>
  </si>
  <si>
    <t>591-13-4082</t>
  </si>
  <si>
    <t>591-13-4091</t>
  </si>
  <si>
    <t>591-13-40110</t>
  </si>
  <si>
    <t>591-13-40315</t>
  </si>
  <si>
    <t>591-14-4012</t>
  </si>
  <si>
    <t>591-14-4015</t>
  </si>
  <si>
    <t>591-14-4016</t>
  </si>
  <si>
    <t>591-14-4032</t>
  </si>
  <si>
    <t>591-14-4036</t>
  </si>
  <si>
    <t>591-14-4037</t>
  </si>
  <si>
    <t>591-14-4082</t>
  </si>
  <si>
    <t>591-14-4091</t>
  </si>
  <si>
    <t>591-14-40110</t>
  </si>
  <si>
    <t>591-14-40315</t>
  </si>
  <si>
    <t>591-15-4012</t>
  </si>
  <si>
    <t>591-15-4014</t>
  </si>
  <si>
    <t>591-15-4015</t>
  </si>
  <si>
    <t>591-15-4016</t>
  </si>
  <si>
    <t>591-15-4032</t>
  </si>
  <si>
    <t>591-15-4036</t>
  </si>
  <si>
    <t>591-15-4037</t>
  </si>
  <si>
    <t>591-15-4082</t>
  </si>
  <si>
    <t>591-15-4091</t>
  </si>
  <si>
    <t>591-15-40315</t>
  </si>
  <si>
    <t>591-16-4012</t>
  </si>
  <si>
    <t>591-16-4014</t>
  </si>
  <si>
    <t>591-16-4015</t>
  </si>
  <si>
    <t>591-16-4016</t>
  </si>
  <si>
    <t>591-16-4032</t>
  </si>
  <si>
    <t>591-16-4036</t>
  </si>
  <si>
    <t>591-16-4037</t>
  </si>
  <si>
    <t>591-16-4082</t>
  </si>
  <si>
    <t>591-16-4091</t>
  </si>
  <si>
    <t>591-16-40110</t>
  </si>
  <si>
    <t>591-16-40315</t>
  </si>
  <si>
    <t>591-17-4012</t>
  </si>
  <si>
    <t>591-17-4014</t>
  </si>
  <si>
    <t>591-17-4015</t>
  </si>
  <si>
    <t>591-17-4016</t>
  </si>
  <si>
    <t>591-17-4036</t>
  </si>
  <si>
    <t>591-17-4037</t>
  </si>
  <si>
    <t>591-17-4082</t>
  </si>
  <si>
    <t>591-17-4091</t>
  </si>
  <si>
    <t>591-17-40315</t>
  </si>
  <si>
    <t>591-18-4012</t>
  </si>
  <si>
    <t>591-18-4014</t>
  </si>
  <si>
    <t>591-18-4015</t>
  </si>
  <si>
    <t>591-18-4016</t>
  </si>
  <si>
    <t>591-18-4032</t>
  </si>
  <si>
    <t>591-18-4036</t>
  </si>
  <si>
    <t>591-18-4037</t>
  </si>
  <si>
    <t>591-18-4082</t>
  </si>
  <si>
    <t>591-18-4091</t>
  </si>
  <si>
    <t>591-18-40110</t>
  </si>
  <si>
    <t>591-18-40315</t>
  </si>
  <si>
    <t>591-19-4012</t>
  </si>
  <si>
    <t>591-19-4014</t>
  </si>
  <si>
    <t>591-19-4015</t>
  </si>
  <si>
    <t>591-19-4016</t>
  </si>
  <si>
    <t>591-19-4032</t>
  </si>
  <si>
    <t>591-19-4036</t>
  </si>
  <si>
    <t>591-19-4037</t>
  </si>
  <si>
    <t>591-19-4082</t>
  </si>
  <si>
    <t>591-19-4091</t>
  </si>
  <si>
    <t>591-19-40315</t>
  </si>
  <si>
    <t>591-20-4012</t>
  </si>
  <si>
    <t>591-20-4014</t>
  </si>
  <si>
    <t>591-20-4015</t>
  </si>
  <si>
    <t>591-20-4016</t>
  </si>
  <si>
    <t>591-20-4032</t>
  </si>
  <si>
    <t>591-20-4036</t>
  </si>
  <si>
    <t>591-20-4037</t>
  </si>
  <si>
    <t>591-20-4082</t>
  </si>
  <si>
    <t>591-20-4091</t>
  </si>
  <si>
    <t>591-20-40110</t>
  </si>
  <si>
    <t>591-20-40315</t>
  </si>
  <si>
    <t>591-21-4012</t>
  </si>
  <si>
    <t>591-21-4014</t>
  </si>
  <si>
    <t>591-21-4015</t>
  </si>
  <si>
    <t>591-21-4016</t>
  </si>
  <si>
    <t>591-21-4032</t>
  </si>
  <si>
    <t>591-21-4036</t>
  </si>
  <si>
    <t>591-21-4037</t>
  </si>
  <si>
    <t>591-21-4082</t>
  </si>
  <si>
    <t>591-21-4091</t>
  </si>
  <si>
    <t>591-21-40315</t>
  </si>
  <si>
    <t>591-22-4012</t>
  </si>
  <si>
    <t>591-22-4015</t>
  </si>
  <si>
    <t>591-22-4016</t>
  </si>
  <si>
    <t>591-22-4032</t>
  </si>
  <si>
    <t>591-22-4036</t>
  </si>
  <si>
    <t>591-22-4037</t>
  </si>
  <si>
    <t>591-22-4082</t>
  </si>
  <si>
    <t>591-22-4091</t>
  </si>
  <si>
    <t>591-22-40110</t>
  </si>
  <si>
    <t>591-22-40315</t>
  </si>
  <si>
    <t>591-23-4012</t>
  </si>
  <si>
    <t>591-23-4014</t>
  </si>
  <si>
    <t>591-23-4015</t>
  </si>
  <si>
    <t>591-23-4016</t>
  </si>
  <si>
    <t>591-23-4032</t>
  </si>
  <si>
    <t>591-23-4036</t>
  </si>
  <si>
    <t>591-23-4037</t>
  </si>
  <si>
    <t>591-23-4082</t>
  </si>
  <si>
    <t>591-23-4091</t>
  </si>
  <si>
    <t>591-23-40110</t>
  </si>
  <si>
    <t>591-23-40315</t>
  </si>
  <si>
    <t>591-24-4012</t>
  </si>
  <si>
    <t>591-24-4014</t>
  </si>
  <si>
    <t>591-24-4015</t>
  </si>
  <si>
    <t>591-24-4016</t>
  </si>
  <si>
    <t>591-24-4032</t>
  </si>
  <si>
    <t>591-24-4036</t>
  </si>
  <si>
    <t>591-24-4037</t>
  </si>
  <si>
    <t>591-24-4091</t>
  </si>
  <si>
    <t>591-24-40315</t>
  </si>
  <si>
    <t>591-25-4012</t>
  </si>
  <si>
    <t>591-25-4014</t>
  </si>
  <si>
    <t>591-25-4015</t>
  </si>
  <si>
    <t>591-25-4016</t>
  </si>
  <si>
    <t>591-25-4032</t>
  </si>
  <si>
    <t>591-25-4036</t>
  </si>
  <si>
    <t>591-25-4037</t>
  </si>
  <si>
    <t>591-25-4082</t>
  </si>
  <si>
    <t>591-25-4091</t>
  </si>
  <si>
    <t>591-25-40110</t>
  </si>
  <si>
    <t>591-25-40315</t>
  </si>
  <si>
    <t>591-26-4012</t>
  </si>
  <si>
    <t>591-26-4014</t>
  </si>
  <si>
    <t>591-26-4015</t>
  </si>
  <si>
    <t>591-26-4016</t>
  </si>
  <si>
    <t>591-26-4032</t>
  </si>
  <si>
    <t>591-26-4036</t>
  </si>
  <si>
    <t>591-26-4037</t>
  </si>
  <si>
    <t>591-26-4082</t>
  </si>
  <si>
    <t>591-26-4091</t>
  </si>
  <si>
    <t>591-26-40315</t>
  </si>
  <si>
    <t>591-27-4012</t>
  </si>
  <si>
    <t>591-27-4014</t>
  </si>
  <si>
    <t>591-27-4015</t>
  </si>
  <si>
    <t>591-27-4016</t>
  </si>
  <si>
    <t>591-27-4032</t>
  </si>
  <si>
    <t>591-27-4036</t>
  </si>
  <si>
    <t>591-27-4037</t>
  </si>
  <si>
    <t>591-27-4082</t>
  </si>
  <si>
    <t>591-27-4091</t>
  </si>
  <si>
    <t>591-27-40110</t>
  </si>
  <si>
    <t>591-27-40315</t>
  </si>
  <si>
    <t>591-28-4012</t>
  </si>
  <si>
    <t>591-28-4014</t>
  </si>
  <si>
    <t>591-28-4015</t>
  </si>
  <si>
    <t>591-28-4016</t>
  </si>
  <si>
    <t>591-28-4032</t>
  </si>
  <si>
    <t>591-28-4036</t>
  </si>
  <si>
    <t>591-28-4037</t>
  </si>
  <si>
    <t>591-28-4082</t>
  </si>
  <si>
    <t>591-28-4091</t>
  </si>
  <si>
    <t>591-28-40110</t>
  </si>
  <si>
    <t>591-28-40315</t>
  </si>
  <si>
    <t>591-29-4012</t>
  </si>
  <si>
    <t>591-29-4032</t>
  </si>
  <si>
    <t>591-29-4037</t>
  </si>
  <si>
    <t>591-29-4082</t>
  </si>
  <si>
    <t>591-29-4091</t>
  </si>
  <si>
    <t>591-29-40110</t>
  </si>
  <si>
    <t>591-30-4012</t>
  </si>
  <si>
    <t>591-30-4014</t>
  </si>
  <si>
    <t>591-30-4015</t>
  </si>
  <si>
    <t>591-30-4016</t>
  </si>
  <si>
    <t>591-30-4032</t>
  </si>
  <si>
    <t>591-30-4036</t>
  </si>
  <si>
    <t>591-30-4037</t>
  </si>
  <si>
    <t>591-30-4091</t>
  </si>
  <si>
    <t>591-30-40315</t>
  </si>
  <si>
    <t>591-31-4012</t>
  </si>
  <si>
    <t>591-31-4014</t>
  </si>
  <si>
    <t>591-31-4015</t>
  </si>
  <si>
    <t>591-31-4016</t>
  </si>
  <si>
    <t>591-31-4032</t>
  </si>
  <si>
    <t>591-31-4036</t>
  </si>
  <si>
    <t>591-31-4037</t>
  </si>
  <si>
    <t>591-31-4091</t>
  </si>
  <si>
    <t>591-31-40315</t>
  </si>
  <si>
    <t>591-32-4091</t>
  </si>
  <si>
    <t>591-32-40315</t>
  </si>
  <si>
    <t>591-33-4012</t>
  </si>
  <si>
    <t>591-33-4014</t>
  </si>
  <si>
    <t>591-33-4015</t>
  </si>
  <si>
    <t>591-33-4016</t>
  </si>
  <si>
    <t>591-33-4032</t>
  </si>
  <si>
    <t>591-33-4036</t>
  </si>
  <si>
    <t>591-33-4037</t>
  </si>
  <si>
    <t>591-33-4082</t>
  </si>
  <si>
    <t>591-33-4091</t>
  </si>
  <si>
    <t>591-33-40315</t>
  </si>
  <si>
    <t>591-34-4091</t>
  </si>
  <si>
    <t>591-35-4012</t>
  </si>
  <si>
    <t>591-35-4016</t>
  </si>
  <si>
    <t>591-35-4037</t>
  </si>
  <si>
    <t>591-35-4091</t>
  </si>
  <si>
    <t>591-36-4012</t>
  </si>
  <si>
    <t>591-36-4014</t>
  </si>
  <si>
    <t>591-36-4015</t>
  </si>
  <si>
    <t>591-36-4016</t>
  </si>
  <si>
    <t>591-36-4032</t>
  </si>
  <si>
    <t>591-36-4036</t>
  </si>
  <si>
    <t>591-36-4037</t>
  </si>
  <si>
    <t>591-36-4082</t>
  </si>
  <si>
    <t>591-36-4091</t>
  </si>
  <si>
    <t>591-36-40110</t>
  </si>
  <si>
    <t>591-36-40315</t>
  </si>
  <si>
    <t>591-37-4012</t>
  </si>
  <si>
    <t>591-37-4014</t>
  </si>
  <si>
    <t>591-37-4015</t>
  </si>
  <si>
    <t>591-37-4016</t>
  </si>
  <si>
    <t>591-37-4032</t>
  </si>
  <si>
    <t>591-37-4036</t>
  </si>
  <si>
    <t>591-37-4037</t>
  </si>
  <si>
    <t>591-37-4082</t>
  </si>
  <si>
    <t>591-37-4091</t>
  </si>
  <si>
    <t>591-37-40315</t>
  </si>
  <si>
    <t>591-38-4012</t>
  </si>
  <si>
    <t>591-38-4015</t>
  </si>
  <si>
    <t>591-38-4016</t>
  </si>
  <si>
    <t>591-38-4032</t>
  </si>
  <si>
    <t>591-38-4036</t>
  </si>
  <si>
    <t>591-38-4037</t>
  </si>
  <si>
    <t>591-38-4091</t>
  </si>
  <si>
    <t>591-39-4012</t>
  </si>
  <si>
    <t>591-39-4015</t>
  </si>
  <si>
    <t>591-39-4016</t>
  </si>
  <si>
    <t>591-39-4032</t>
  </si>
  <si>
    <t>591-39-4036</t>
  </si>
  <si>
    <t>591-39-4037</t>
  </si>
  <si>
    <t>591-39-4082</t>
  </si>
  <si>
    <t>591-39-4091</t>
  </si>
  <si>
    <t>591-39-40110</t>
  </si>
  <si>
    <t>591-39-40315</t>
  </si>
  <si>
    <t>640</t>
  </si>
  <si>
    <t>RMK operacyjne</t>
  </si>
  <si>
    <t>640-1</t>
  </si>
  <si>
    <t>Ubezpieczenia</t>
  </si>
  <si>
    <t>640-2</t>
  </si>
  <si>
    <t>640-3</t>
  </si>
  <si>
    <t>Inne</t>
  </si>
  <si>
    <t>650</t>
  </si>
  <si>
    <t>RMB</t>
  </si>
  <si>
    <t>650-3</t>
  </si>
  <si>
    <t>Rezerwa z tyt rekultywacji</t>
  </si>
  <si>
    <t>650-4</t>
  </si>
  <si>
    <t>Rezerwa na koszty odpraw</t>
  </si>
  <si>
    <t>650-5</t>
  </si>
  <si>
    <t>Rezerwa na niewy. urlopy</t>
  </si>
  <si>
    <t>650-6</t>
  </si>
  <si>
    <t>Inne rezerwy</t>
  </si>
  <si>
    <t>660</t>
  </si>
  <si>
    <t>Podatek odroczony- aktywa</t>
  </si>
  <si>
    <t>701</t>
  </si>
  <si>
    <t>Przychody MZKZOK</t>
  </si>
  <si>
    <t>701-1</t>
  </si>
  <si>
    <t>Zagospodarowanie na zakładzie</t>
  </si>
  <si>
    <t>701-2-1</t>
  </si>
  <si>
    <t>Makulatura</t>
  </si>
  <si>
    <t>701-2-2</t>
  </si>
  <si>
    <t>Tworzywa sztuczne</t>
  </si>
  <si>
    <t>701-2-3</t>
  </si>
  <si>
    <t>Szkło</t>
  </si>
  <si>
    <t>701-2-5</t>
  </si>
  <si>
    <t>701-3</t>
  </si>
  <si>
    <t>701-5</t>
  </si>
  <si>
    <t>Inne przychody</t>
  </si>
  <si>
    <t>702</t>
  </si>
  <si>
    <t>Przychody wywozu</t>
  </si>
  <si>
    <t>702-1</t>
  </si>
  <si>
    <t>Wywóz odpadów</t>
  </si>
  <si>
    <t>702-2</t>
  </si>
  <si>
    <t>Utrzymanie dróg</t>
  </si>
  <si>
    <t>702-3</t>
  </si>
  <si>
    <t>Dzierżawa</t>
  </si>
  <si>
    <t>702-4</t>
  </si>
  <si>
    <t>Sprzątanie</t>
  </si>
  <si>
    <t>702-5</t>
  </si>
  <si>
    <t>703</t>
  </si>
  <si>
    <t>Przychody składowiska</t>
  </si>
  <si>
    <t>703-1</t>
  </si>
  <si>
    <t>Składowanie odpadów</t>
  </si>
  <si>
    <t>704</t>
  </si>
  <si>
    <t>Przychody agregat na składowis</t>
  </si>
  <si>
    <t>704-1</t>
  </si>
  <si>
    <t>704-2</t>
  </si>
  <si>
    <t>710</t>
  </si>
  <si>
    <t>Rozliczenie przychodów- wywóz</t>
  </si>
  <si>
    <t>710-1</t>
  </si>
  <si>
    <t>Kontrakt z Gminą Tychy</t>
  </si>
  <si>
    <t>710-2</t>
  </si>
  <si>
    <t>Kontrakt z Gminą Bieruń</t>
  </si>
  <si>
    <t>710-3</t>
  </si>
  <si>
    <t>Kontrakt z Gminą Lędziny</t>
  </si>
  <si>
    <t>710-4</t>
  </si>
  <si>
    <t>Kontrakt z Gminą Kobiór</t>
  </si>
  <si>
    <t>710-5</t>
  </si>
  <si>
    <t>Kontrakt z Gminą Bojszowy</t>
  </si>
  <si>
    <t>710-6</t>
  </si>
  <si>
    <t>Kontrakt z Gminą Wyry</t>
  </si>
  <si>
    <t>710-7</t>
  </si>
  <si>
    <t>Kontrakt z Gminą Imielin</t>
  </si>
  <si>
    <t>710-8</t>
  </si>
  <si>
    <t>Kontrakt z Gminą Chełm Śląski</t>
  </si>
  <si>
    <t>710-10</t>
  </si>
  <si>
    <t xml:space="preserve">Kontrakt z Gminą Pszczyna </t>
  </si>
  <si>
    <t>730</t>
  </si>
  <si>
    <t>Przychody ze sprzedaży towarów</t>
  </si>
  <si>
    <t>730-3</t>
  </si>
  <si>
    <t>Certyfikaty zielone MZKZOK</t>
  </si>
  <si>
    <t>730-4</t>
  </si>
  <si>
    <t>Certyfikaty zielone- składowis</t>
  </si>
  <si>
    <t>731</t>
  </si>
  <si>
    <t>Koszt zakupu towarów</t>
  </si>
  <si>
    <t>731-3</t>
  </si>
  <si>
    <t>731-4</t>
  </si>
  <si>
    <t>750</t>
  </si>
  <si>
    <t>750-1</t>
  </si>
  <si>
    <t>Odsetki bankowe</t>
  </si>
  <si>
    <t>750-2</t>
  </si>
  <si>
    <t>Odsetki od kontrahentów</t>
  </si>
  <si>
    <t>750-3</t>
  </si>
  <si>
    <t>Inne przychody finansowe</t>
  </si>
  <si>
    <t>751</t>
  </si>
  <si>
    <t>Koszty finansowe</t>
  </si>
  <si>
    <t>751-1</t>
  </si>
  <si>
    <t>Odsetki od pożyczek</t>
  </si>
  <si>
    <t>751-2</t>
  </si>
  <si>
    <t>751-3</t>
  </si>
  <si>
    <t>Odsetki budżetowe</t>
  </si>
  <si>
    <t>751-4</t>
  </si>
  <si>
    <t>Koszty leasingu</t>
  </si>
  <si>
    <t>751-5</t>
  </si>
  <si>
    <t>Inne koszty finansowe</t>
  </si>
  <si>
    <t>760</t>
  </si>
  <si>
    <t>Pozostałe przychody operacyjne</t>
  </si>
  <si>
    <t>760-1</t>
  </si>
  <si>
    <t>Rozwiązane rezerwy</t>
  </si>
  <si>
    <t>760-2</t>
  </si>
  <si>
    <t>Przychody ze zbycia ŚT</t>
  </si>
  <si>
    <t>760-3</t>
  </si>
  <si>
    <t>Przychody z tyt. odszkodowań</t>
  </si>
  <si>
    <t>760-5</t>
  </si>
  <si>
    <t>Przychody z tyt. dotacji POIS</t>
  </si>
  <si>
    <t>760-6</t>
  </si>
  <si>
    <t>Przychody z tyt. dotacji inne</t>
  </si>
  <si>
    <t>760-7</t>
  </si>
  <si>
    <t>761</t>
  </si>
  <si>
    <t>761-1</t>
  </si>
  <si>
    <t>Rezerwy</t>
  </si>
  <si>
    <t>761-3</t>
  </si>
  <si>
    <t>Koszty z tyt. odszkodowań</t>
  </si>
  <si>
    <t>761-4</t>
  </si>
  <si>
    <t>761-5</t>
  </si>
  <si>
    <t>Darowizny</t>
  </si>
  <si>
    <t>761-6</t>
  </si>
  <si>
    <t>761-7</t>
  </si>
  <si>
    <t>Pozostałe k-ty operacyjne NKUP</t>
  </si>
  <si>
    <t>800</t>
  </si>
  <si>
    <t>Kapitał założycielski</t>
  </si>
  <si>
    <t>800-1</t>
  </si>
  <si>
    <t>800-2</t>
  </si>
  <si>
    <t>800-3</t>
  </si>
  <si>
    <t>Gmina Lędziny</t>
  </si>
  <si>
    <t>800-4</t>
  </si>
  <si>
    <t>800-5</t>
  </si>
  <si>
    <t>800-6</t>
  </si>
  <si>
    <t>800-7</t>
  </si>
  <si>
    <t>Gmina Imielin</t>
  </si>
  <si>
    <t>800-8</t>
  </si>
  <si>
    <t>805</t>
  </si>
  <si>
    <t>Kapitał zapasowy</t>
  </si>
  <si>
    <t>821</t>
  </si>
  <si>
    <t>Rozliczenie wyniku finansowego</t>
  </si>
  <si>
    <t>840</t>
  </si>
  <si>
    <t>RMP</t>
  </si>
  <si>
    <t>840-1</t>
  </si>
  <si>
    <t>RMP z tyt. dotacji POIS</t>
  </si>
  <si>
    <t>840-3</t>
  </si>
  <si>
    <t>RMP umorzenie pożyczki 325/04</t>
  </si>
  <si>
    <t>840-4</t>
  </si>
  <si>
    <t>RMP z tyt dotacji RZO Wyry</t>
  </si>
  <si>
    <t>840-5</t>
  </si>
  <si>
    <t>RMP z tyt dotacji Ekofundusz</t>
  </si>
  <si>
    <t>840-6</t>
  </si>
  <si>
    <t>RMP z tyt dotacji BIOGAZ</t>
  </si>
  <si>
    <t>840-7</t>
  </si>
  <si>
    <t>RMP umorzenie pożyczki 177/2012/82/OZ/si/P</t>
  </si>
  <si>
    <t>840-8-1</t>
  </si>
  <si>
    <t>Dotacja RPO - zaliczka</t>
  </si>
  <si>
    <t>840-8-2</t>
  </si>
  <si>
    <t>Dotacja RPO - refundacja</t>
  </si>
  <si>
    <t>840-8-3</t>
  </si>
  <si>
    <t>Odsetki narosłe od zaliczki RPO</t>
  </si>
  <si>
    <t>842</t>
  </si>
  <si>
    <t>Rezerwa na odroczony podatek</t>
  </si>
  <si>
    <t>851</t>
  </si>
  <si>
    <t>861</t>
  </si>
  <si>
    <t>Zysk (strata) z lat ubiegłych)</t>
  </si>
  <si>
    <t>870</t>
  </si>
  <si>
    <t>Obowiązkowe odpisy wyniku fin.</t>
  </si>
  <si>
    <t>870-2</t>
  </si>
  <si>
    <t>Część odroczona</t>
  </si>
  <si>
    <t>UWAGA: Niepoprawnie wprowadzone dokumenty w buforze mogą spowodować błędy w zestawieniu obrotów kont.</t>
  </si>
  <si>
    <t>Suma razem</t>
  </si>
  <si>
    <t>BILANS na dzień 31.12.2020</t>
  </si>
  <si>
    <t>Nota</t>
  </si>
  <si>
    <t>31.12.2020</t>
  </si>
  <si>
    <t>31.12.2019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</si>
  <si>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</si>
  <si>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</si>
  <si>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</si>
  <si>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</si>
  <si>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</si>
  <si>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</si>
  <si>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</si>
  <si>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</si>
  <si>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wieczystego użytkowania gruntu)</t>
  </si>
  <si>
    <t>b) budynki, lokale i obiekty inżynierii lądowej i wodnej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</si>
  <si>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</si>
  <si>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</si>
  <si>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</si>
  <si>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</si>
  <si>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</si>
  <si>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</si>
  <si>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</si>
  <si>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2. Od pozostałych jednostek, w których jednostka posiada zaangażowanie w kapitale</t>
  </si>
  <si>
    <t>3. Od pozostałych jednostek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</si>
  <si>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</si>
  <si>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</si>
  <si>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</si>
  <si>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</si>
  <si>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</si>
  <si>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>– udziały lub akcje</t>
  </si>
  <si>
    <t>– inne papiery wartościowe</t>
  </si>
  <si>
    <t>– udzielone pożyczki</t>
  </si>
  <si>
    <t>– inne długoterminowe aktywa finansowe</t>
  </si>
  <si>
    <t>b) w pozostałych jednostkach, w których jednostka posiada zaangażowanie w kapitale</t>
  </si>
  <si>
    <t>c)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</si>
  <si>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</si>
  <si>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</si>
  <si>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</si>
  <si>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</si>
  <si>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</si>
  <si>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</si>
  <si>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</si>
  <si>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</si>
  <si>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– w tym obiekty w zabudowie</t>
  </si>
  <si>
    <t>3. Produkty gotowe</t>
  </si>
  <si>
    <t>4. Towary</t>
  </si>
  <si>
    <t>5. Zaliczki na dostawy i usługi</t>
  </si>
  <si>
    <t>II. Należności krótkoterminowe</t>
  </si>
  <si>
    <t>1. Należności od jednostek powiązanych</t>
  </si>
  <si>
    <t>a) z tytułu dostaw i usług, o okresie spłaty:</t>
  </si>
  <si>
    <t>– do 12 miesięcy</t>
  </si>
  <si>
    <t>– powyżej 12 miesięcy</t>
  </si>
  <si>
    <t>b) inne</t>
  </si>
  <si>
    <t>2. Należności od pozostałych jednostek, w których jednostka posiada zaangażowanie w kapitale</t>
  </si>
  <si>
    <t>a) z tytułu dostaw i usług, w okresie spłaty:</t>
  </si>
  <si>
    <t>3. Należności od pozostałych jednostek</t>
  </si>
  <si>
    <t>b) z tytułu podatków, dotacji, ceł, ubezpieczeń społecznych i zdrowotnych oraz innych tytułów publicznoprawnych</t>
  </si>
  <si>
    <t>c) inne</t>
  </si>
  <si>
    <t>d) dochodzone na drodze sądowej</t>
  </si>
  <si>
    <t>III. Inwestycje krótkoterminowe</t>
  </si>
  <si>
    <t>1. Krótkoterminowe aktywa finansowe</t>
  </si>
  <si>
    <t>– inne krótkoterminowe aktywa finansowe</t>
  </si>
  <si>
    <t>b) w pozostałych jednostkach</t>
  </si>
  <si>
    <t>c) środki pieniężne i inne aktywa pieniężne</t>
  </si>
  <si>
    <t>– środki pieniężne w kasie i na rachunkach</t>
  </si>
  <si>
    <t>– inne środki pieniężne</t>
  </si>
  <si>
    <t>– inne aktywa pieniężne</t>
  </si>
  <si>
    <t>2. Inne inwestycje krótkoterminowe</t>
  </si>
  <si>
    <t>IV. Krótkoterminowe rozliczenia międzyokresowe</t>
  </si>
  <si>
    <t>– w tym: aktywa z tytułu niezakończonych umów budowlanych</t>
  </si>
  <si>
    <t>C. Należne wpłaty na kapitał (fundusz) podstawowy</t>
  </si>
  <si>
    <t>D. Udziały (akcje) własne</t>
  </si>
  <si>
    <t>AKTYWA RAZEM</t>
  </si>
  <si>
    <t>A. KAPITAŁ (FUNDUSZ) WŁASNY</t>
  </si>
  <si>
    <t>I. Kapitał (fundusz) podstawowy</t>
  </si>
  <si>
    <t>II. Kapitał (fundusz) zapasowy, w tym:</t>
  </si>
  <si>
    <t>– nadwyżka wartości sprzedaży (wartości emisyjnej) nad wartością nominalną udziałów (akcji)</t>
  </si>
  <si>
    <t>III. Kapitał (fundusz) z aktualizacji wyceny, w tym:</t>
  </si>
  <si>
    <t>– z tytułu aktualizacji wartości godziwej</t>
  </si>
  <si>
    <t>IV. Pozostałe kapitały (fundusze) rezerwowe, w tym:</t>
  </si>
  <si>
    <t>– tworzone zgodnie z umową (statutem) spółki</t>
  </si>
  <si>
    <t>– na udziały (akcje) własne</t>
  </si>
  <si>
    <t>V. Zysk (strata) z lat ubiegłych</t>
  </si>
  <si>
    <t>VI. Zysk (strata) netto</t>
  </si>
  <si>
    <t>VII. Odpisy z zysku netto w ciągu roku obrotowego (wielkość ujemna)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</si>
  <si>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</si>
  <si>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</si>
  <si>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</si>
  <si>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</si>
  <si>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>– długoterminowa</t>
  </si>
  <si>
    <t>– krótkoterminowa</t>
  </si>
  <si>
    <t>3. Pozostałe rezerwy</t>
  </si>
  <si>
    <t>– długoterminowe</t>
  </si>
  <si>
    <t>– krótkoterminowe</t>
  </si>
  <si>
    <t>II. Zobowiązania długoterminowe</t>
  </si>
  <si>
    <t>1. Wobec jednostek powiązanych</t>
  </si>
  <si>
    <t>2. Wobec pozostałych jednostek, w których jednostka posiada zaangażowanie w kapitale</t>
  </si>
  <si>
    <t>3. Wobec pozostałych jednostek</t>
  </si>
  <si>
    <t>a) kredyty i pożyczki</t>
  </si>
  <si>
    <t>b) z tytułu emisji dłużnych papierów wartościowych</t>
  </si>
  <si>
    <t>c) inne zobowiązania finansowe</t>
  </si>
  <si>
    <t>d) zobowiązania wekslowe</t>
  </si>
  <si>
    <t>d) inne</t>
  </si>
  <si>
    <t>III. Zobowiązania krótkoterminowe</t>
  </si>
  <si>
    <t>1. Zobowiązania wobec jednostek powiązanych</t>
  </si>
  <si>
    <t>a) z tytułu dostaw i usług, o okresie wymagalności:</t>
  </si>
  <si>
    <t>2. Zobowiązania wobec pozostałych jednostek, w których jednostka posiada zaangażowanie w kapitale</t>
  </si>
  <si>
    <t>3. Zobowiązania wobec pozostałych jednostek</t>
  </si>
  <si>
    <t>d) z tytułu dostaw i usług, o okresie wymagalności:</t>
  </si>
  <si>
    <t>e) zaliczki otrzymane na dostawy i usługi</t>
  </si>
  <si>
    <t>f) zobowiązania wekslowe</t>
  </si>
  <si>
    <t>g) z tytułu podatków, ceł, ubezpieczeń społecznych i zdrowotnych oraz innych tytułów publicznoprawnych</t>
  </si>
  <si>
    <t>h) z tytułu wynagrodzeń</t>
  </si>
  <si>
    <t>i) inne</t>
  </si>
  <si>
    <t>4. Fundusze specjalne</t>
  </si>
  <si>
    <t>IV. Rozliczenia międzyokresowe</t>
  </si>
  <si>
    <t>1. Ujemna wartość firmy</t>
  </si>
  <si>
    <t>2. Rozliczenia międzyokresowe umów budowlanych</t>
  </si>
  <si>
    <t>3. Inne rozliczenia międzyokresowe</t>
  </si>
  <si>
    <t>PASYWA RAZEM</t>
  </si>
  <si>
    <t>Wartość księgowa</t>
  </si>
  <si>
    <t>Liczba akcji</t>
  </si>
  <si>
    <t>Wartość księgowa na jedną akcję (w zł)</t>
  </si>
  <si>
    <t>Rozwodniona liczba akcji</t>
  </si>
  <si>
    <t>Rozwodniona wartość księgowa na jedną akcję (w zł)*</t>
  </si>
  <si>
    <t>RACHUNEK ZYSKÓW I STRAT [wariant porównawczy] za 2020</t>
  </si>
  <si>
    <t>A. Przychody netto ze sprzedaży i zrównane z nimi, w tym:</t>
  </si>
  <si>
    <t>– od jednostek powiązanych</t>
  </si>
  <si>
    <t>I. Przychody netto ze sprzedaży produktów</t>
  </si>
  <si>
    <t>II. Zmiana stanu produktów (zwiększenie – wartość dodatnia, zmniejszenie – wartość ujemna)</t>
  </si>
  <si>
    <t>III. Koszt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</si>
  <si>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</si>
  <si>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</si>
  <si>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</si>
  <si>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</si>
  <si>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</si>
  <si>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</si>
  <si>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– podatek akcyzowy</t>
  </si>
  <si>
    <t>V. Wynagrodzenia</t>
  </si>
  <si>
    <t>VI. Ubezpieczenia społeczne i inne świadczenia w tym:</t>
  </si>
  <si>
    <t>– emerytalne</t>
  </si>
  <si>
    <t>VII. Pozostałe koszty rodzajowe</t>
  </si>
  <si>
    <t>VIII. Wartość sprzedanych towarów i materiałów</t>
  </si>
  <si>
    <t>C. Zysk (strata) ze sprzedaży (A–B)</t>
  </si>
  <si>
    <t>D. Pozostałe przychody operacyjne</t>
  </si>
  <si>
    <t>I. Zysk z tytułu rozchodu niefinansowych aktywów trwałych</t>
  </si>
  <si>
    <t>32, 33</t>
  </si>
  <si>
    <t>II. Dotacje</t>
  </si>
  <si>
    <t>III. Aktualizacja wartości aktywów niefinansowych</t>
  </si>
  <si>
    <t>IV. Inne przychody operacyjne</t>
  </si>
  <si>
    <t>E. Pozostałe koszty operacyjne</t>
  </si>
  <si>
    <t>I. Strata z tytułu rozchodu niefinansowych aktywów trwałych</t>
  </si>
  <si>
    <t>33, 32</t>
  </si>
  <si>
    <t>II. Aktualizacja wartości aktywów niefinansowych</t>
  </si>
  <si>
    <t>III. Inne koszty operacyjne</t>
  </si>
  <si>
    <t>F. Zysk (strata) z działalności operacyjnej (C+D–E)</t>
  </si>
  <si>
    <t>G. Przychody finansowe</t>
  </si>
  <si>
    <t>I. Dywidendy i udziały w zyskach, w tym:</t>
  </si>
  <si>
    <t>a) od jednostek powiązanych, w tym:</t>
  </si>
  <si>
    <t>– w których jednostka posiada zaangażowanie w kapitale</t>
  </si>
  <si>
    <t>b) od jednostek pozostałych, w tym:</t>
  </si>
  <si>
    <t>II. Odsetki, w tym:</t>
  </si>
  <si>
    <t>III. Zysk z tytułu rozchodu aktywów finansowych, w tym:</t>
  </si>
  <si>
    <t>– w jednostkach powiązanych</t>
  </si>
  <si>
    <t>IV. Aktualizacja wartości aktywów finansowych</t>
  </si>
  <si>
    <t>V. Inne</t>
  </si>
  <si>
    <t>34, 35</t>
  </si>
  <si>
    <t>H. Koszty finansowe</t>
  </si>
  <si>
    <t>I. Odsetki, w tym:</t>
  </si>
  <si>
    <t>– dla jednostek powiązanych</t>
  </si>
  <si>
    <t>II. Strata z tytułu rozchodu aktywów finansowych, w tym:</t>
  </si>
  <si>
    <t>III. Aktualizacja wartości aktywów finansowych</t>
  </si>
  <si>
    <t>IV. Inne</t>
  </si>
  <si>
    <t>35, 34</t>
  </si>
  <si>
    <t>I. Zysk (strata) brutto (F+G–H)</t>
  </si>
  <si>
    <t>J. Podatek dochodowy</t>
  </si>
  <si>
    <t>K. Pozostałe obowiązkowe zmniejszenia zysku (zwiększenia straty)</t>
  </si>
  <si>
    <t>L. Zysk (strata) netto (I–J–K)</t>
  </si>
  <si>
    <t>KREDYTY - krótkoterminowe</t>
  </si>
  <si>
    <t>wartość początkowa ŚT</t>
  </si>
  <si>
    <t>wartość ogółem</t>
  </si>
  <si>
    <t>wydatki kwalifikowane</t>
  </si>
  <si>
    <t>nk</t>
  </si>
  <si>
    <t>kwota dotacji</t>
  </si>
  <si>
    <t>% udział w sumie</t>
  </si>
  <si>
    <t>Kwota dotacji ogółem</t>
  </si>
  <si>
    <t>% amostyzacji</t>
  </si>
  <si>
    <t xml:space="preserve">data przyjęcia </t>
  </si>
  <si>
    <t>ilość m-c amortyzacji</t>
  </si>
  <si>
    <t>Odpisy 2015</t>
  </si>
  <si>
    <t>Odpisy 2016</t>
  </si>
  <si>
    <t>Odpisy 2017</t>
  </si>
  <si>
    <t>Odpisy 2018</t>
  </si>
  <si>
    <t>Suma odpisów 2015-2018</t>
  </si>
  <si>
    <t>Pozosta dotacja</t>
  </si>
  <si>
    <t>Ilość mesięcy już odpisanych</t>
  </si>
  <si>
    <t>Pozostało</t>
  </si>
  <si>
    <t>korekta amortyzacji</t>
  </si>
  <si>
    <t>Odpis 2019</t>
  </si>
  <si>
    <t>Saldo 2019</t>
  </si>
  <si>
    <t>Odpis 2020</t>
  </si>
  <si>
    <t>Saldo 2020</t>
  </si>
  <si>
    <t>Odpis 2021</t>
  </si>
  <si>
    <t>Podczyszczalnia ścieków</t>
  </si>
  <si>
    <t>nr ŚT 511/2014</t>
  </si>
  <si>
    <t>Wagi</t>
  </si>
  <si>
    <t>nr ŚT 512/2014</t>
  </si>
  <si>
    <t>Myjka do kół</t>
  </si>
  <si>
    <t>nr ŚT 513/2014</t>
  </si>
  <si>
    <t>Wyposażenie budynku</t>
  </si>
  <si>
    <t>nr ŚT 517/2014</t>
  </si>
  <si>
    <t>Urządzenia stacji kogrneracji</t>
  </si>
  <si>
    <t>nr ŚT 510/2014</t>
  </si>
  <si>
    <t>Urządzenia tr. i oczyszczania biogazu</t>
  </si>
  <si>
    <t>nr ŚT 509/2014</t>
  </si>
  <si>
    <t>nr ŚT 508/2014</t>
  </si>
  <si>
    <t>Linia stabilizacji</t>
  </si>
  <si>
    <t>nr ŚT 507/2014</t>
  </si>
  <si>
    <t>Fermentacja</t>
  </si>
  <si>
    <t>nr ŚT 506/2014</t>
  </si>
  <si>
    <t>nr ŚT 505/2014</t>
  </si>
  <si>
    <t>Węzeł przeróbki</t>
  </si>
  <si>
    <t>nr ŚT 504/2014</t>
  </si>
  <si>
    <t>Boksy</t>
  </si>
  <si>
    <t>nr ŚT 503/2014</t>
  </si>
  <si>
    <t>Sieć przesyłowa</t>
  </si>
  <si>
    <t>nr ŚT 502/2014</t>
  </si>
  <si>
    <t>Sieć zasilająca</t>
  </si>
  <si>
    <t>nr ŚT 501/2014</t>
  </si>
  <si>
    <t>Sieć c-o z wymiennikami</t>
  </si>
  <si>
    <t>nr ŚT 500/2014</t>
  </si>
  <si>
    <t>nr ŚT 499/2014</t>
  </si>
  <si>
    <t>nr ŚT 498/2014</t>
  </si>
  <si>
    <t>nr ŚT 497/2014</t>
  </si>
  <si>
    <t>Sieć kanalizacji</t>
  </si>
  <si>
    <t>nr ŚT 496/2014</t>
  </si>
  <si>
    <t>Sieć wodociągowa</t>
  </si>
  <si>
    <t>nr ŚT 495/2014</t>
  </si>
  <si>
    <t>Ogrodzenie i bramy</t>
  </si>
  <si>
    <t>nr ŚT 494/2014</t>
  </si>
  <si>
    <t>Parking</t>
  </si>
  <si>
    <t>nr ŚT 493/2014</t>
  </si>
  <si>
    <t>nr ŚT 492/2014</t>
  </si>
  <si>
    <t>nr ŚT 491/2014</t>
  </si>
  <si>
    <t>Wiaty magazynowe</t>
  </si>
  <si>
    <t>nr ŚT 490/2014</t>
  </si>
  <si>
    <t>Budynek wagi</t>
  </si>
  <si>
    <t>nr ŚT 489/2014</t>
  </si>
  <si>
    <t>nr ŚT 488/2014</t>
  </si>
  <si>
    <t>Hala stabilizacji tlenowej</t>
  </si>
  <si>
    <t>nr ŚT 487/2014</t>
  </si>
  <si>
    <t>Hala fermentacji</t>
  </si>
  <si>
    <t>nr ŚT 486/2014</t>
  </si>
  <si>
    <t>Hala sortowni</t>
  </si>
  <si>
    <t>nr ŚT 485/2014</t>
  </si>
  <si>
    <t>Dokumentacja projektowa</t>
  </si>
  <si>
    <t>Przygotowanie terenu pod budowę</t>
  </si>
  <si>
    <t>Rozruch do osiągnięcia paramertów gw.</t>
  </si>
  <si>
    <t>Po podpisaniu św przekazania</t>
  </si>
  <si>
    <t>Morfologia</t>
  </si>
  <si>
    <t>Zarządzanie projektem</t>
  </si>
  <si>
    <t>Promocja</t>
  </si>
  <si>
    <t>Obsługa prawna</t>
  </si>
  <si>
    <t>Wylesienie</t>
  </si>
  <si>
    <t>kw dotacji</t>
  </si>
  <si>
    <t>data przyjęcia</t>
  </si>
  <si>
    <t>ilość m-c dotacji</t>
  </si>
  <si>
    <t>odpis m-c</t>
  </si>
  <si>
    <t>odpis 2014</t>
  </si>
  <si>
    <t>odpis 2015</t>
  </si>
  <si>
    <t>odpis 2016</t>
  </si>
  <si>
    <t>odpis 2017</t>
  </si>
  <si>
    <t>odpis 2018</t>
  </si>
  <si>
    <t>Suma odpisów 2014-2018</t>
  </si>
  <si>
    <t>Odpis rok 2019</t>
  </si>
  <si>
    <t>saldo</t>
  </si>
  <si>
    <t>Saldo 2021</t>
  </si>
  <si>
    <t>Pojemniki KP</t>
  </si>
  <si>
    <t>nr ŚT 393/2013</t>
  </si>
  <si>
    <t>Kontener KP33</t>
  </si>
  <si>
    <t>ŚT 484/2014</t>
  </si>
  <si>
    <t>Podnośnik teleskopowo- przegłubowy</t>
  </si>
  <si>
    <t>nr ŚT 534/2015</t>
  </si>
  <si>
    <t>nr ŚT 535/2015</t>
  </si>
  <si>
    <t>Wózek widłowy</t>
  </si>
  <si>
    <t>nr ŚT 538/2014</t>
  </si>
  <si>
    <t>nr ŚT 539/2014</t>
  </si>
  <si>
    <t>nr ŚT 540/2014</t>
  </si>
  <si>
    <t>Wyposażenie warsztatu wraz z kontenerem</t>
  </si>
  <si>
    <t>nr ŚT 543/2014</t>
  </si>
  <si>
    <t>Grunt</t>
  </si>
  <si>
    <t>2014-2018</t>
  </si>
  <si>
    <t>Grunty SALDO 2019</t>
  </si>
  <si>
    <t>Grunty SALDO 2020</t>
  </si>
  <si>
    <t>Grunty SALDO 2021</t>
  </si>
  <si>
    <t>odpis 2019</t>
  </si>
  <si>
    <t>po korekcie</t>
  </si>
  <si>
    <t>SALDO</t>
  </si>
  <si>
    <t>Odpis miesięczny dla roku 2020</t>
  </si>
  <si>
    <t>roczny odpis</t>
  </si>
  <si>
    <t>Odpis miesięczny dla roku 2021</t>
  </si>
  <si>
    <t xml:space="preserve">odsetki </t>
  </si>
  <si>
    <t>długoterminowy - rata</t>
  </si>
  <si>
    <t>krótkoterminowy - rata</t>
  </si>
  <si>
    <t>długoterminowy - odsetki</t>
  </si>
  <si>
    <t>krótkoterminowy - odsetki</t>
  </si>
  <si>
    <t>krótkoterminowe</t>
  </si>
  <si>
    <t>długoterminowe</t>
  </si>
  <si>
    <t>30% dotacji</t>
  </si>
  <si>
    <t>netto</t>
  </si>
  <si>
    <t>brutto brutto</t>
  </si>
  <si>
    <t xml:space="preserve">premia </t>
  </si>
  <si>
    <t>Łącznie</t>
  </si>
  <si>
    <t xml:space="preserve">Operator ładowarki kołowej </t>
  </si>
  <si>
    <t>Dwóch operatorów maszyn i urządzeń</t>
  </si>
  <si>
    <t>Prognoza NBP - inflacja (r/r)</t>
  </si>
  <si>
    <t xml:space="preserve">         Dotacja</t>
  </si>
  <si>
    <t>Wskźniki finansowe</t>
  </si>
  <si>
    <t>Rentowność działalności operacyjnej (EBIT) = zysk z działalności operacyjnej/przychody ze sprzedaży</t>
  </si>
  <si>
    <t>Rentowność działalności operacyjnej (EBITDA) = (zysk z działalności operacyjnej + amortyzacja)/przychody ze sprzedaży</t>
  </si>
  <si>
    <t>Rentowność netto = zysk netto/przychody ze sprzedaży</t>
  </si>
  <si>
    <t>Rentowność kapitałów własnych (ROE) = zysk netto/kapitały własne</t>
  </si>
  <si>
    <t>Rentowność aktywów (ROA) = zysk netto/stan aktywów</t>
  </si>
  <si>
    <t>Wskaźnik bieżącej płynności = aktywa obrotowe/zobowiązania krótkoterminowe</t>
  </si>
  <si>
    <t xml:space="preserve">Wskaźnik ogólnego zadłużenia = zobowiązania ogółem/aktywa ogółem </t>
  </si>
  <si>
    <t xml:space="preserve">Wskaźnik zadłużenia długoterminowego = zobowiązania długoterminowe/kapitały własne </t>
  </si>
  <si>
    <t xml:space="preserve">Wskaźnik zadłużenia krótkoterminowego = zobowiązania krótkoterminowe/kapitały własne 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</si>
  <si>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</si>
  <si>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</si>
  <si>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</si>
  <si>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</si>
  <si>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</si>
  <si>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IRR - wewnętrzna stopa zwrotu</t>
  </si>
  <si>
    <t xml:space="preserve">NPV - wartość bieżąca netto </t>
  </si>
  <si>
    <t xml:space="preserve">2 Operatorów ładowarki kołowej </t>
  </si>
  <si>
    <t>3 Operatorów maszyn i urządzeń</t>
  </si>
  <si>
    <t>złom</t>
  </si>
  <si>
    <t>szkło</t>
  </si>
  <si>
    <t xml:space="preserve">metal </t>
  </si>
  <si>
    <t>gruz</t>
  </si>
  <si>
    <t xml:space="preserve">Przychody ze sprzedaży </t>
  </si>
  <si>
    <t>Zakres projektu</t>
  </si>
  <si>
    <t>Okres
 realizacji</t>
  </si>
  <si>
    <t>Całkowity
 koszt
 zadania (netto) mln PLN</t>
  </si>
  <si>
    <t xml:space="preserve">Wysokość nakładów
poniesionych w rozbicu na lata:
</t>
  </si>
  <si>
    <t>I kw</t>
  </si>
  <si>
    <t xml:space="preserve">II kw </t>
  </si>
  <si>
    <t>III kw</t>
  </si>
  <si>
    <t>IV kw</t>
  </si>
  <si>
    <t>Linia przetwarzania odpadów biodegradowalnych</t>
  </si>
  <si>
    <t>2020-2022</t>
  </si>
  <si>
    <t>-</t>
  </si>
  <si>
    <t xml:space="preserve">dokumentacja </t>
  </si>
  <si>
    <t>Efekt inwestycyjny</t>
  </si>
  <si>
    <t>Linia doczyszczania gruzu</t>
  </si>
  <si>
    <t>2021-2023</t>
  </si>
  <si>
    <t>dokumentacja</t>
  </si>
  <si>
    <t>kruszarka</t>
  </si>
  <si>
    <t>sorter AI</t>
  </si>
  <si>
    <t>Linia doczyszczania frakcji podsitowej</t>
  </si>
  <si>
    <t>separatory optyczny gruzu, separator optyczny  tw. szt.</t>
  </si>
  <si>
    <t>Linia doczyszczania odpadów wielkogabarytowych</t>
  </si>
  <si>
    <t xml:space="preserve">Rotacja należności handlowych w dniach = (stan należności z tyt. dostał i usług * 360 dni)/przychody ze sprzedaży </t>
  </si>
  <si>
    <t>IRR, NPV</t>
  </si>
  <si>
    <t>Zmniejszenie masy balastu do składowania</t>
  </si>
  <si>
    <t>Tworzywo sztuczne – dodatek do RDF</t>
  </si>
  <si>
    <t>Odpad – drewno, płyty</t>
  </si>
  <si>
    <t>Produkt / surowiec (odpad)</t>
  </si>
  <si>
    <t>Szacowana masa, Mg</t>
  </si>
  <si>
    <t>Linia przetwarzania odpadów</t>
  </si>
  <si>
    <t>Cena jednostkowa (obecnie), zł/Mg</t>
  </si>
  <si>
    <t>Iloczyn: szacowana masa x cena jednostkowa</t>
  </si>
  <si>
    <t>Wielogabarytowe</t>
  </si>
  <si>
    <t>Remonty i bud.</t>
  </si>
  <si>
    <t>Doczyszczenia frakcji</t>
  </si>
  <si>
    <t>RAZEM</t>
  </si>
  <si>
    <t>Kruszywo budowlane, remontowe o różnym uziarnieniu</t>
  </si>
  <si>
    <t>Zmniejszenie masy stabilizatu do składowania</t>
  </si>
  <si>
    <t>Doczyszczenia frakcji. - tony</t>
  </si>
  <si>
    <t>Remonty i bud. - tony</t>
  </si>
  <si>
    <t>Remonty i bud. - cena</t>
  </si>
  <si>
    <t>Doczyszczenia frakcji. - cena</t>
  </si>
  <si>
    <t>Wielogabarytowe - cena</t>
  </si>
  <si>
    <t>Wielogabarytowe - tony</t>
  </si>
  <si>
    <t>sito bębnowe</t>
  </si>
  <si>
    <t>NETTO (w mln pln)</t>
  </si>
  <si>
    <t>Mg</t>
  </si>
  <si>
    <t>Złom</t>
  </si>
  <si>
    <t>Projekt 1</t>
  </si>
  <si>
    <t>Projekt 2</t>
  </si>
  <si>
    <t xml:space="preserve">sito wibracyjne - kaskadowe </t>
  </si>
  <si>
    <t>separator powietrzny</t>
  </si>
  <si>
    <t xml:space="preserve">separator przeciwprądowy, </t>
  </si>
  <si>
    <t>separator optyczny szkła</t>
  </si>
  <si>
    <t>rozdrabniacz młotkowy</t>
  </si>
  <si>
    <t xml:space="preserve">separator powietrzny </t>
  </si>
  <si>
    <t>Koszty transportu i logistyki RDF (cena)</t>
  </si>
  <si>
    <t>Koszty transportu i logistyki RDF (suma)</t>
  </si>
  <si>
    <t>Kompomaster - pełnowartościowy produkt</t>
  </si>
  <si>
    <t>Roczne koszty eksploatacyjne</t>
  </si>
  <si>
    <t>dni</t>
  </si>
  <si>
    <t>a</t>
  </si>
  <si>
    <t>Biodegradowalne zielone - tony</t>
  </si>
  <si>
    <t>Biodegradowalne zielone - cena</t>
  </si>
  <si>
    <t>Biodegradowalne zielone - wartość</t>
  </si>
  <si>
    <t>Dotacja</t>
  </si>
  <si>
    <t>zakup rozdrabniacza młotkowego</t>
  </si>
  <si>
    <t>Dotacja NFOŚiGW</t>
  </si>
  <si>
    <t>Dotacja NFOŚiGW (%)</t>
  </si>
  <si>
    <t>Koszty poniesione
do dnia obecnego</t>
  </si>
  <si>
    <t>PODSUMOWANIE</t>
  </si>
  <si>
    <t>Przychody</t>
  </si>
  <si>
    <r>
      <t>przesiewacz gwieździsty -</t>
    </r>
    <r>
      <rPr>
        <b/>
        <i/>
        <u/>
        <sz val="10"/>
        <rFont val="Arial"/>
        <family val="2"/>
      </rPr>
      <t xml:space="preserve"> nie objęty dofinansowaniem</t>
    </r>
  </si>
  <si>
    <t>Rozdrabniacz młotkowy</t>
  </si>
  <si>
    <t>wynagrodzenia</t>
  </si>
  <si>
    <t>energia elektryczna i paliwo</t>
  </si>
  <si>
    <t>ZMIENNA</t>
  </si>
  <si>
    <t>+25%</t>
  </si>
  <si>
    <t>+50%</t>
  </si>
  <si>
    <t>Zysk/Strata netto skumulowany za lata 2025-2036</t>
  </si>
  <si>
    <t>przychód</t>
  </si>
  <si>
    <t>preRDF</t>
  </si>
  <si>
    <t>odbierane odpłatnie z zakładu</t>
  </si>
  <si>
    <t>koszt odpłatnego odbioru odpadów z zakładu</t>
  </si>
  <si>
    <t>zmniejszenie opłaty marszałkowskiej</t>
  </si>
  <si>
    <t>zmniejsza płacone podatki i opłaty</t>
  </si>
  <si>
    <t xml:space="preserve">wskażnik wzrostu wynagrodzeń </t>
  </si>
  <si>
    <t>wskażnik wzrostu przychodów</t>
  </si>
  <si>
    <t>wskażnik wzrostu kosztów (poza wynagrodzeniami):</t>
  </si>
  <si>
    <t>Cena jednostkowa, zł/Mg</t>
  </si>
  <si>
    <t>dokumentacja (0,042 m. pln), separator optyczny</t>
  </si>
  <si>
    <t>wskażni wzrotu dotychczasowych przychodów</t>
  </si>
  <si>
    <t>wskażnik wzrostu dotychczasowych kosztów (poza wynagrodzeniami i przychodami):</t>
  </si>
  <si>
    <t>NPV Projekt 1</t>
  </si>
  <si>
    <t>NPV Projekt 2 - 4</t>
  </si>
  <si>
    <t>Linia nr 2: Linia doczyszczania gruzu</t>
  </si>
  <si>
    <t>Linia nr 3: Linia doczyszczania odpadów wielkogabarytowych</t>
  </si>
  <si>
    <t>L:inia nr 4: Linia doczyszczania frakcji podsitowej</t>
  </si>
  <si>
    <t>Projekt 2-4</t>
  </si>
  <si>
    <t>Wyliczenia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</si>
</sst>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164" formatCode="#,##0.00;\(#,##0.00\)"/>
    <numFmt numFmtId="165" formatCode="#,##0;\(#,##0\)"/>
    <numFmt numFmtId="166" formatCode="#,##0.00;\-#,##0.00;&quot;-&quot;??"/>
    <numFmt numFmtId="167" formatCode="[$-415]d/mm/yy;@"/>
    <numFmt numFmtId="168" formatCode="[$-415]d/mmm/yyyy;@"/>
    <numFmt numFmtId="169" formatCode="#,##0.0"/>
    <numFmt numFmtId="170" formatCode="#,##0.0000;\(#,##0.0000\)"/>
    <numFmt numFmtId="171" formatCode="yyyy/mm/dd;@"/>
    <numFmt numFmtId="172" formatCode="0.0%"/>
    <numFmt numFmtId="173" formatCode="_-* #,##0.00\ [$zł-415]_-;\-* #,##0.00\ [$zł-415]_-;_-* &quot;-&quot;??\ [$zł-415]_-;_-@_-"/>
    <numFmt numFmtId="174" formatCode="#,##0.00\ &quot;zł&quot;"/>
    <numFmt numFmtId="175" formatCode="0.000"/>
    <numFmt numFmtId="176" formatCode="0.0000"/>
  </numFmts>
  <fonts count="53">
    <font>
      <sz val="10"/>
      <color rgb="FF000000"/>
      <name val="Arial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i/>
      <sz val="8"/>
      <color rgb="FF000000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0"/>
      <color rgb="FF000000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6" tint="-0.249977111117893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9C57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theme="0"/>
      <name val="Times New Roman"/>
      <family val="1"/>
      <charset val="238"/>
    </font>
    <font>
      <b/>
      <i/>
      <sz val="10"/>
      <color rgb="FF000000"/>
      <name val="Arial"/>
      <family val="2"/>
      <charset val="238"/>
    </font>
    <font>
      <b/>
      <sz val="10"/>
      <color rgb="FF000000"/>
      <name val="Helvetica"/>
      <family val="2"/>
      <charset val="238"/>
    </font>
    <font>
      <sz val="14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Helvetica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</patternFill>
    </fill>
    <fill>
      <patternFill patternType="solid">
        <fgColor rgb="FFD3D3D3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0" fontId="2" fillId="0" borderId="6"/>
    <xf numFmtId="0" fontId="5" fillId="0" borderId="6"/>
    <xf numFmtId="0" fontId="7" fillId="0" borderId="6" applyNumberFormat="0" applyFill="0" applyBorder="0" applyAlignment="0" applyProtection="0"/>
    <xf numFmtId="0" fontId="8" fillId="0" borderId="6"/>
    <xf numFmtId="0" fontId="10" fillId="0" borderId="6" applyNumberFormat="0" applyFill="0" applyBorder="0" applyAlignment="0" applyProtection="0"/>
    <xf numFmtId="9" fontId="11" fillId="0" borderId="0" applyFont="0" applyFill="0" applyBorder="0" applyAlignment="0" applyProtection="0"/>
    <xf numFmtId="167" fontId="12" fillId="0" borderId="6"/>
    <xf numFmtId="0" fontId="13" fillId="0" borderId="6"/>
    <xf numFmtId="0" fontId="13" fillId="0" borderId="6"/>
    <xf numFmtId="0" fontId="14" fillId="9" borderId="6" applyNumberFormat="0" applyBorder="0" applyAlignment="0" applyProtection="0"/>
    <xf numFmtId="9" fontId="12" fillId="0" borderId="6" applyFont="0" applyFill="0" applyBorder="0" applyAlignment="0" applyProtection="0"/>
    <xf numFmtId="0" fontId="15" fillId="0" borderId="6"/>
    <xf numFmtId="0" fontId="11" fillId="0" borderId="6"/>
    <xf numFmtId="0" fontId="18" fillId="0" borderId="6"/>
    <xf numFmtId="9" fontId="8" fillId="0" borderId="6" applyFont="0" applyFill="0" applyBorder="0" applyAlignment="0" applyProtection="0"/>
    <xf numFmtId="9" fontId="13" fillId="0" borderId="6" applyFont="0" applyFill="0" applyBorder="0" applyAlignment="0" applyProtection="0"/>
    <xf numFmtId="0" fontId="12" fillId="0" borderId="6"/>
    <xf numFmtId="0" fontId="28" fillId="16" borderId="6" applyNumberFormat="0" applyBorder="0" applyAlignment="0" applyProtection="0"/>
    <xf numFmtId="0" fontId="29" fillId="15" borderId="6" applyNumberFormat="0" applyBorder="0" applyAlignment="0" applyProtection="0"/>
  </cellStyleXfs>
  <cellXfs count="603">
    <xf numFmtId="0" fontId="0" fillId="2" borderId="0" xfId="0" applyFill="1" applyAlignment="1">
      <alignment horizontal="left" vertical="top" wrapText="1"/>
    </xf>
    <xf numFmtId="0" fontId="8" fillId="0" borderId="6" xfId="4"/>
    <xf numFmtId="4" fontId="8" fillId="0" borderId="6" xfId="4" applyNumberFormat="1"/>
    <xf numFmtId="0" fontId="8" fillId="0" borderId="6" xfId="4" applyFill="1"/>
    <xf numFmtId="0" fontId="1" fillId="5" borderId="5" xfId="13" applyFont="1" applyFill="1" applyBorder="1" applyAlignment="1">
      <alignment horizontal="center" vertical="center" wrapText="1"/>
    </xf>
    <xf numFmtId="0" fontId="11" fillId="5" borderId="6" xfId="13" applyFill="1" applyAlignment="1">
      <alignment horizontal="left" vertical="top" wrapText="1"/>
    </xf>
    <xf numFmtId="0" fontId="16" fillId="5" borderId="6" xfId="13" applyFont="1" applyFill="1" applyAlignment="1">
      <alignment horizontal="left" vertical="top" wrapText="1"/>
    </xf>
    <xf numFmtId="0" fontId="1" fillId="10" borderId="5" xfId="13" applyFont="1" applyFill="1" applyBorder="1" applyAlignment="1">
      <alignment horizontal="center" vertical="center" wrapText="1"/>
    </xf>
    <xf numFmtId="165" fontId="1" fillId="5" borderId="5" xfId="13" applyNumberFormat="1" applyFont="1" applyFill="1" applyBorder="1" applyAlignment="1">
      <alignment horizontal="right" vertical="top" wrapText="1"/>
    </xf>
    <xf numFmtId="164" fontId="1" fillId="5" borderId="7" xfId="13" applyNumberFormat="1" applyFont="1" applyFill="1" applyBorder="1" applyAlignment="1">
      <alignment horizontal="right" vertical="top" wrapText="1"/>
    </xf>
    <xf numFmtId="0" fontId="1" fillId="10" borderId="9" xfId="13" applyFont="1" applyFill="1" applyBorder="1" applyAlignment="1">
      <alignment horizontal="right" vertical="top" wrapText="1"/>
    </xf>
    <xf numFmtId="0" fontId="1" fillId="5" borderId="7" xfId="13" applyFont="1" applyFill="1" applyBorder="1" applyAlignment="1">
      <alignment horizontal="left" vertical="top" wrapText="1"/>
    </xf>
    <xf numFmtId="0" fontId="3" fillId="5" borderId="9" xfId="13" applyFont="1" applyFill="1" applyBorder="1" applyAlignment="1">
      <alignment horizontal="left" vertical="top" wrapText="1"/>
    </xf>
    <xf numFmtId="4" fontId="21" fillId="0" borderId="6" xfId="4" applyNumberFormat="1" applyFont="1" applyAlignment="1">
      <alignment horizontal="right"/>
    </xf>
    <xf numFmtId="0" fontId="8" fillId="0" borderId="6" xfId="4" applyAlignment="1">
      <alignment vertical="top" wrapText="1"/>
    </xf>
    <xf numFmtId="0" fontId="6" fillId="0" borderId="38" xfId="4" applyFont="1" applyBorder="1" applyAlignment="1">
      <alignment vertical="top" wrapText="1"/>
    </xf>
    <xf numFmtId="0" fontId="8" fillId="0" borderId="41" xfId="4" applyBorder="1" applyAlignment="1">
      <alignment vertical="top" wrapText="1"/>
    </xf>
    <xf numFmtId="0" fontId="6" fillId="0" borderId="12" xfId="4" applyFont="1" applyBorder="1" applyAlignment="1">
      <alignment horizontal="center" vertical="top" wrapText="1"/>
    </xf>
    <xf numFmtId="0" fontId="8" fillId="0" borderId="42" xfId="4" applyBorder="1" applyAlignment="1">
      <alignment vertical="top" wrapText="1"/>
    </xf>
    <xf numFmtId="0" fontId="6" fillId="0" borderId="41" xfId="4" applyFont="1" applyBorder="1" applyAlignment="1">
      <alignment vertical="top" wrapText="1"/>
    </xf>
    <xf numFmtId="0" fontId="6" fillId="0" borderId="12" xfId="4" applyFont="1" applyBorder="1" applyAlignment="1">
      <alignment horizontal="left" vertical="top" wrapText="1" indent="2"/>
    </xf>
    <xf numFmtId="0" fontId="8" fillId="0" borderId="12" xfId="4" applyBorder="1" applyAlignment="1">
      <alignment horizontal="center" vertical="top" wrapText="1"/>
    </xf>
    <xf numFmtId="4" fontId="6" fillId="0" borderId="12" xfId="4" applyNumberFormat="1" applyFont="1" applyBorder="1" applyAlignment="1">
      <alignment horizontal="right"/>
    </xf>
    <xf numFmtId="0" fontId="6" fillId="0" borderId="12" xfId="4" applyFont="1" applyBorder="1" applyAlignment="1">
      <alignment horizontal="left" vertical="top" wrapText="1" indent="3"/>
    </xf>
    <xf numFmtId="0" fontId="8" fillId="0" borderId="12" xfId="4" applyBorder="1" applyAlignment="1">
      <alignment horizontal="left" vertical="top" wrapText="1" indent="4"/>
    </xf>
    <xf numFmtId="4" fontId="8" fillId="0" borderId="12" xfId="4" applyNumberFormat="1" applyBorder="1" applyAlignment="1">
      <alignment horizontal="right"/>
    </xf>
    <xf numFmtId="0" fontId="8" fillId="0" borderId="12" xfId="4" applyBorder="1" applyAlignment="1">
      <alignment horizontal="left" vertical="top" wrapText="1" indent="5"/>
    </xf>
    <xf numFmtId="0" fontId="8" fillId="0" borderId="12" xfId="4" applyBorder="1" applyAlignment="1">
      <alignment horizontal="left" vertical="top" wrapText="1" indent="6"/>
    </xf>
    <xf numFmtId="0" fontId="6" fillId="0" borderId="12" xfId="4" applyFont="1" applyBorder="1" applyAlignment="1">
      <alignment horizontal="left" vertical="top" wrapText="1" indent="1"/>
    </xf>
    <xf numFmtId="0" fontId="8" fillId="0" borderId="43" xfId="4" applyBorder="1" applyAlignment="1">
      <alignment vertical="top" wrapText="1"/>
    </xf>
    <xf numFmtId="0" fontId="6" fillId="0" borderId="6" xfId="4" applyFont="1" applyAlignment="1">
      <alignment vertical="top" wrapText="1"/>
    </xf>
    <xf numFmtId="0" fontId="8" fillId="0" borderId="12" xfId="4" applyBorder="1" applyAlignment="1">
      <alignment vertical="top" wrapText="1"/>
    </xf>
    <xf numFmtId="0" fontId="8" fillId="0" borderId="38" xfId="4" applyBorder="1" applyAlignment="1">
      <alignment vertical="top" wrapText="1"/>
    </xf>
    <xf numFmtId="0" fontId="8" fillId="0" borderId="12" xfId="4" applyBorder="1" applyAlignment="1">
      <alignment horizontal="left" vertical="top" wrapText="1" indent="2"/>
    </xf>
    <xf numFmtId="0" fontId="8" fillId="0" borderId="12" xfId="4" applyBorder="1" applyAlignment="1">
      <alignment horizontal="left" vertical="top" wrapText="1" indent="3"/>
    </xf>
    <xf numFmtId="0" fontId="22" fillId="0" borderId="6" xfId="9" applyFont="1" applyAlignment="1">
      <alignment horizontal="center" vertical="center" wrapText="1"/>
    </xf>
    <xf numFmtId="0" fontId="22" fillId="6" borderId="6" xfId="9" applyFont="1" applyFill="1" applyAlignment="1">
      <alignment horizontal="center" vertical="center" wrapText="1"/>
    </xf>
    <xf numFmtId="0" fontId="23" fillId="0" borderId="6" xfId="9" applyFont="1"/>
    <xf numFmtId="4" fontId="23" fillId="0" borderId="6" xfId="9" applyNumberFormat="1" applyFont="1"/>
    <xf numFmtId="4" fontId="22" fillId="0" borderId="6" xfId="9" applyNumberFormat="1" applyFont="1"/>
    <xf numFmtId="10" fontId="22" fillId="0" borderId="6" xfId="9" applyNumberFormat="1" applyFont="1"/>
    <xf numFmtId="9" fontId="22" fillId="0" borderId="6" xfId="16" applyFont="1" applyFill="1"/>
    <xf numFmtId="14" fontId="22" fillId="0" borderId="6" xfId="9" applyNumberFormat="1" applyFont="1"/>
    <xf numFmtId="0" fontId="22" fillId="0" borderId="6" xfId="9" applyFont="1"/>
    <xf numFmtId="0" fontId="24" fillId="0" borderId="6" xfId="9" applyFont="1"/>
    <xf numFmtId="4" fontId="24" fillId="0" borderId="6" xfId="9" applyNumberFormat="1" applyFont="1"/>
    <xf numFmtId="172" fontId="22" fillId="0" borderId="6" xfId="16" applyNumberFormat="1" applyFont="1"/>
    <xf numFmtId="9" fontId="22" fillId="0" borderId="6" xfId="16" applyFont="1"/>
    <xf numFmtId="4" fontId="24" fillId="11" borderId="6" xfId="9" applyNumberFormat="1" applyFont="1" applyFill="1"/>
    <xf numFmtId="4" fontId="22" fillId="11" borderId="6" xfId="9" applyNumberFormat="1" applyFont="1" applyFill="1"/>
    <xf numFmtId="4" fontId="25" fillId="0" borderId="6" xfId="9" applyNumberFormat="1" applyFont="1"/>
    <xf numFmtId="4" fontId="23" fillId="12" borderId="6" xfId="9" applyNumberFormat="1" applyFont="1" applyFill="1"/>
    <xf numFmtId="0" fontId="22" fillId="8" borderId="6" xfId="9" applyFont="1" applyFill="1" applyAlignment="1">
      <alignment horizontal="center" vertical="center" wrapText="1"/>
    </xf>
    <xf numFmtId="0" fontId="22" fillId="0" borderId="6" xfId="9" applyFont="1" applyAlignment="1">
      <alignment horizontal="center" vertical="center"/>
    </xf>
    <xf numFmtId="9" fontId="22" fillId="0" borderId="6" xfId="9" applyNumberFormat="1" applyFont="1"/>
    <xf numFmtId="4" fontId="22" fillId="8" borderId="6" xfId="9" applyNumberFormat="1" applyFont="1" applyFill="1"/>
    <xf numFmtId="4" fontId="22" fillId="13" borderId="6" xfId="9" applyNumberFormat="1" applyFont="1" applyFill="1"/>
    <xf numFmtId="49" fontId="22" fillId="0" borderId="6" xfId="9" applyNumberFormat="1" applyFont="1"/>
    <xf numFmtId="4" fontId="22" fillId="12" borderId="6" xfId="9" applyNumberFormat="1" applyFont="1" applyFill="1"/>
    <xf numFmtId="4" fontId="22" fillId="0" borderId="6" xfId="9" applyNumberFormat="1" applyFont="1" applyAlignment="1">
      <alignment vertical="center" wrapText="1"/>
    </xf>
    <xf numFmtId="4" fontId="22" fillId="0" borderId="6" xfId="9" applyNumberFormat="1" applyFont="1" applyAlignment="1">
      <alignment vertical="center"/>
    </xf>
    <xf numFmtId="0" fontId="22" fillId="12" borderId="6" xfId="9" applyFont="1" applyFill="1"/>
    <xf numFmtId="0" fontId="22" fillId="11" borderId="6" xfId="9" applyFont="1" applyFill="1"/>
    <xf numFmtId="0" fontId="26" fillId="0" borderId="6" xfId="9" applyFont="1"/>
    <xf numFmtId="4" fontId="26" fillId="0" borderId="6" xfId="9" applyNumberFormat="1" applyFont="1" applyAlignment="1">
      <alignment vertical="center"/>
    </xf>
    <xf numFmtId="4" fontId="8" fillId="0" borderId="6" xfId="4" applyNumberFormat="1" applyFill="1"/>
    <xf numFmtId="49" fontId="8" fillId="0" borderId="6" xfId="4" applyNumberFormat="1" applyFill="1" applyAlignment="1">
      <alignment horizontal="left"/>
    </xf>
    <xf numFmtId="4" fontId="8" fillId="0" borderId="6" xfId="4" applyNumberFormat="1" applyFill="1" applyAlignment="1">
      <alignment horizontal="left"/>
    </xf>
    <xf numFmtId="4" fontId="8" fillId="0" borderId="6" xfId="4" applyNumberFormat="1" applyFill="1" applyAlignment="1">
      <alignment horizontal="right"/>
    </xf>
    <xf numFmtId="49" fontId="21" fillId="0" borderId="6" xfId="4" applyNumberFormat="1" applyFont="1" applyFill="1" applyAlignment="1">
      <alignment horizontal="left"/>
    </xf>
    <xf numFmtId="4" fontId="21" fillId="0" borderId="6" xfId="4" applyNumberFormat="1" applyFont="1" applyFill="1" applyAlignment="1">
      <alignment horizontal="right"/>
    </xf>
    <xf numFmtId="49" fontId="8" fillId="0" borderId="6" xfId="4" quotePrefix="1" applyNumberFormat="1" applyFill="1" applyAlignment="1">
      <alignment horizontal="left"/>
    </xf>
    <xf numFmtId="49" fontId="9" fillId="0" borderId="6" xfId="4" applyNumberFormat="1" applyFont="1" applyFill="1" applyAlignment="1">
      <alignment horizontal="left"/>
    </xf>
    <xf numFmtId="4" fontId="9" fillId="0" borderId="6" xfId="4" applyNumberFormat="1" applyFont="1" applyFill="1" applyAlignment="1">
      <alignment horizontal="right"/>
    </xf>
    <xf numFmtId="49" fontId="8" fillId="0" borderId="6" xfId="4" applyNumberFormat="1" applyFont="1" applyFill="1" applyAlignment="1">
      <alignment horizontal="left"/>
    </xf>
    <xf numFmtId="4" fontId="8" fillId="0" borderId="6" xfId="4" applyNumberFormat="1" applyFont="1" applyFill="1" applyAlignment="1">
      <alignment horizontal="right"/>
    </xf>
    <xf numFmtId="0" fontId="27" fillId="5" borderId="6" xfId="1" applyFont="1" applyFill="1" applyAlignment="1">
      <alignment horizontal="left" vertical="top" wrapText="1"/>
    </xf>
    <xf numFmtId="3" fontId="27" fillId="5" borderId="6" xfId="1" applyNumberFormat="1" applyFont="1" applyFill="1" applyAlignment="1">
      <alignment horizontal="left" vertical="top" wrapText="1"/>
    </xf>
    <xf numFmtId="0" fontId="17" fillId="5" borderId="6" xfId="1" applyFont="1" applyFill="1" applyAlignment="1">
      <alignment horizontal="left"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16" fillId="5" borderId="5" xfId="1" applyFont="1" applyFill="1" applyBorder="1" applyAlignment="1">
      <alignment horizontal="center" vertical="center" wrapText="1"/>
    </xf>
    <xf numFmtId="0" fontId="11" fillId="5" borderId="5" xfId="1" applyFont="1" applyFill="1" applyBorder="1" applyAlignment="1">
      <alignment horizontal="center" vertical="center" wrapText="1"/>
    </xf>
    <xf numFmtId="0" fontId="11" fillId="5" borderId="6" xfId="1" applyFont="1" applyFill="1" applyAlignment="1">
      <alignment horizontal="left" vertical="top" wrapText="1"/>
    </xf>
    <xf numFmtId="0" fontId="11" fillId="5" borderId="7" xfId="1" applyFont="1" applyFill="1" applyBorder="1" applyAlignment="1">
      <alignment horizontal="center" vertical="center" wrapText="1"/>
    </xf>
    <xf numFmtId="0" fontId="11" fillId="5" borderId="8" xfId="1" applyFont="1" applyFill="1" applyBorder="1" applyAlignment="1">
      <alignment horizontal="left" vertical="top" wrapText="1"/>
    </xf>
    <xf numFmtId="0" fontId="11" fillId="5" borderId="9" xfId="1" applyFont="1" applyFill="1" applyBorder="1" applyAlignment="1">
      <alignment horizontal="left" vertical="top" wrapText="1"/>
    </xf>
    <xf numFmtId="4" fontId="27" fillId="0" borderId="5" xfId="1" applyNumberFormat="1" applyFont="1" applyFill="1" applyBorder="1" applyAlignment="1">
      <alignment horizontal="right" vertical="top" wrapText="1"/>
    </xf>
    <xf numFmtId="4" fontId="11" fillId="0" borderId="5" xfId="1" applyNumberFormat="1" applyFont="1" applyFill="1" applyBorder="1" applyAlignment="1">
      <alignment horizontal="right" vertical="top" wrapText="1"/>
    </xf>
    <xf numFmtId="0" fontId="11" fillId="5" borderId="8" xfId="1" applyFont="1" applyFill="1" applyBorder="1" applyAlignment="1">
      <alignment horizontal="center" vertical="center" wrapText="1"/>
    </xf>
    <xf numFmtId="4" fontId="11" fillId="0" borderId="9" xfId="1" applyNumberFormat="1" applyFont="1" applyFill="1" applyBorder="1" applyAlignment="1">
      <alignment horizontal="left" vertical="top" wrapText="1"/>
    </xf>
    <xf numFmtId="4" fontId="11" fillId="0" borderId="6" xfId="1" applyNumberFormat="1" applyFont="1" applyFill="1" applyAlignment="1">
      <alignment horizontal="left" vertical="top" wrapText="1"/>
    </xf>
    <xf numFmtId="4" fontId="11" fillId="5" borderId="6" xfId="1" applyNumberFormat="1" applyFont="1" applyFill="1" applyAlignment="1">
      <alignment horizontal="center" vertical="top" wrapText="1"/>
    </xf>
    <xf numFmtId="4" fontId="11" fillId="5" borderId="6" xfId="1" applyNumberFormat="1" applyFont="1" applyFill="1" applyAlignment="1">
      <alignment horizontal="left" vertical="top" wrapText="1"/>
    </xf>
    <xf numFmtId="172" fontId="32" fillId="0" borderId="12" xfId="6" applyNumberFormat="1" applyFont="1" applyBorder="1"/>
    <xf numFmtId="169" fontId="32" fillId="0" borderId="12" xfId="6" applyNumberFormat="1" applyFont="1" applyBorder="1"/>
    <xf numFmtId="0" fontId="11" fillId="5" borderId="12" xfId="1" applyFont="1" applyFill="1" applyBorder="1" applyAlignment="1">
      <alignment horizontal="left" vertical="top" wrapText="1"/>
    </xf>
    <xf numFmtId="3" fontId="11" fillId="5" borderId="12" xfId="1" applyNumberFormat="1" applyFont="1" applyFill="1" applyBorder="1" applyAlignment="1">
      <alignment horizontal="right" vertical="center" wrapText="1"/>
    </xf>
    <xf numFmtId="0" fontId="11" fillId="17" borderId="5" xfId="1" applyFont="1" applyFill="1" applyBorder="1" applyAlignment="1">
      <alignment horizontal="center" vertical="center" wrapText="1"/>
    </xf>
    <xf numFmtId="0" fontId="11" fillId="17" borderId="9" xfId="1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/>
    </xf>
    <xf numFmtId="0" fontId="11" fillId="5" borderId="12" xfId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9" fontId="33" fillId="2" borderId="0" xfId="6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left" vertical="top" wrapText="1"/>
    </xf>
    <xf numFmtId="0" fontId="2" fillId="17" borderId="1" xfId="0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6" xfId="1" applyFont="1" applyFill="1" applyAlignment="1">
      <alignment horizontal="left" vertical="top" wrapText="1"/>
    </xf>
    <xf numFmtId="0" fontId="2" fillId="0" borderId="5" xfId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right" vertical="top" wrapText="1"/>
    </xf>
    <xf numFmtId="4" fontId="2" fillId="0" borderId="5" xfId="1" applyNumberFormat="1" applyFont="1" applyFill="1" applyBorder="1" applyAlignment="1">
      <alignment horizontal="right" vertical="top" wrapText="1"/>
    </xf>
    <xf numFmtId="0" fontId="16" fillId="5" borderId="7" xfId="1" applyFont="1" applyFill="1" applyBorder="1" applyAlignment="1">
      <alignment horizontal="center" vertical="center" wrapText="1"/>
    </xf>
    <xf numFmtId="0" fontId="16" fillId="0" borderId="6" xfId="1" applyFont="1" applyFill="1" applyAlignment="1">
      <alignment horizontal="left" vertical="top" wrapText="1"/>
    </xf>
    <xf numFmtId="0" fontId="16" fillId="5" borderId="6" xfId="1" applyFont="1" applyFill="1" applyAlignment="1">
      <alignment horizontal="left" vertical="top" wrapText="1"/>
    </xf>
    <xf numFmtId="0" fontId="2" fillId="17" borderId="5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4" fontId="16" fillId="0" borderId="5" xfId="1" applyNumberFormat="1" applyFont="1" applyFill="1" applyBorder="1" applyAlignment="1">
      <alignment horizontal="right" vertical="top" wrapText="1"/>
    </xf>
    <xf numFmtId="0" fontId="35" fillId="0" borderId="6" xfId="4" applyFont="1"/>
    <xf numFmtId="3" fontId="35" fillId="0" borderId="12" xfId="9" applyNumberFormat="1" applyFont="1" applyBorder="1" applyProtection="1">
      <protection hidden="1"/>
    </xf>
    <xf numFmtId="167" fontId="35" fillId="0" borderId="6" xfId="9" applyNumberFormat="1" applyFont="1" applyAlignment="1" applyProtection="1">
      <alignment horizontal="center"/>
      <protection hidden="1"/>
    </xf>
    <xf numFmtId="3" fontId="34" fillId="0" borderId="12" xfId="10" applyNumberFormat="1" applyFont="1" applyFill="1" applyBorder="1" applyAlignment="1" applyProtection="1">
      <alignment horizontal="center" vertical="center"/>
      <protection hidden="1"/>
    </xf>
    <xf numFmtId="9" fontId="34" fillId="0" borderId="12" xfId="11" applyFont="1" applyFill="1" applyBorder="1" applyAlignment="1" applyProtection="1">
      <alignment horizontal="center" vertical="center"/>
      <protection hidden="1"/>
    </xf>
    <xf numFmtId="167" fontId="36" fillId="0" borderId="6" xfId="7" applyFont="1" applyProtection="1">
      <protection hidden="1"/>
    </xf>
    <xf numFmtId="4" fontId="30" fillId="0" borderId="39" xfId="12" applyNumberFormat="1" applyFont="1" applyBorder="1" applyProtection="1">
      <protection hidden="1"/>
    </xf>
    <xf numFmtId="4" fontId="30" fillId="0" borderId="12" xfId="12" applyNumberFormat="1" applyFont="1" applyBorder="1" applyProtection="1">
      <protection hidden="1"/>
    </xf>
    <xf numFmtId="4" fontId="30" fillId="0" borderId="12" xfId="9" applyNumberFormat="1" applyFont="1" applyBorder="1" applyAlignment="1" applyProtection="1">
      <alignment horizontal="right" vertical="center"/>
      <protection hidden="1"/>
    </xf>
    <xf numFmtId="0" fontId="37" fillId="0" borderId="6" xfId="12" applyFont="1" applyProtection="1">
      <protection hidden="1"/>
    </xf>
    <xf numFmtId="169" fontId="37" fillId="0" borderId="6" xfId="9" applyNumberFormat="1" applyFont="1" applyAlignment="1" applyProtection="1">
      <alignment horizontal="right" vertical="center"/>
      <protection hidden="1"/>
    </xf>
    <xf numFmtId="0" fontId="34" fillId="0" borderId="39" xfId="12" applyFont="1" applyBorder="1" applyProtection="1">
      <protection hidden="1"/>
    </xf>
    <xf numFmtId="4" fontId="34" fillId="0" borderId="39" xfId="12" applyNumberFormat="1" applyFont="1" applyBorder="1" applyProtection="1">
      <protection hidden="1"/>
    </xf>
    <xf numFmtId="169" fontId="34" fillId="0" borderId="12" xfId="9" applyNumberFormat="1" applyFont="1" applyBorder="1" applyAlignment="1" applyProtection="1">
      <alignment horizontal="right" vertical="center"/>
      <protection hidden="1"/>
    </xf>
    <xf numFmtId="3" fontId="30" fillId="0" borderId="12" xfId="8" applyNumberFormat="1" applyFont="1" applyBorder="1" applyAlignment="1" applyProtection="1">
      <alignment horizontal="center" vertical="center" wrapText="1"/>
      <protection hidden="1"/>
    </xf>
    <xf numFmtId="167" fontId="35" fillId="17" borderId="12" xfId="9" applyNumberFormat="1" applyFont="1" applyFill="1" applyBorder="1" applyProtection="1">
      <protection hidden="1"/>
    </xf>
    <xf numFmtId="168" fontId="35" fillId="17" borderId="12" xfId="9" applyNumberFormat="1" applyFont="1" applyFill="1" applyBorder="1" applyProtection="1">
      <protection hidden="1"/>
    </xf>
    <xf numFmtId="3" fontId="30" fillId="17" borderId="39" xfId="12" applyNumberFormat="1" applyFont="1" applyFill="1" applyBorder="1" applyProtection="1">
      <protection hidden="1"/>
    </xf>
    <xf numFmtId="0" fontId="35" fillId="17" borderId="12" xfId="4" applyFont="1" applyFill="1" applyBorder="1" applyProtection="1">
      <protection hidden="1"/>
    </xf>
    <xf numFmtId="0" fontId="30" fillId="17" borderId="12" xfId="8" applyFont="1" applyFill="1" applyBorder="1" applyAlignment="1" applyProtection="1">
      <alignment horizontal="center" vertical="center" wrapText="1"/>
      <protection hidden="1"/>
    </xf>
    <xf numFmtId="0" fontId="30" fillId="17" borderId="16" xfId="8" applyFont="1" applyFill="1" applyBorder="1" applyAlignment="1" applyProtection="1">
      <alignment horizontal="center" vertical="center" wrapText="1"/>
      <protection hidden="1"/>
    </xf>
    <xf numFmtId="0" fontId="34" fillId="17" borderId="12" xfId="12" applyFont="1" applyFill="1" applyBorder="1" applyProtection="1">
      <protection hidden="1"/>
    </xf>
    <xf numFmtId="4" fontId="2" fillId="2" borderId="6" xfId="0" applyNumberFormat="1" applyFont="1" applyFill="1" applyBorder="1" applyAlignment="1">
      <alignment horizontal="left" vertical="top" wrapText="1"/>
    </xf>
    <xf numFmtId="0" fontId="11" fillId="5" borderId="5" xfId="1" applyFont="1" applyFill="1" applyBorder="1" applyAlignment="1">
      <alignment horizontal="center" vertical="top" wrapText="1"/>
    </xf>
    <xf numFmtId="0" fontId="19" fillId="0" borderId="23" xfId="17" applyFont="1" applyBorder="1" applyAlignment="1" applyProtection="1">
      <alignment horizontal="center" vertical="center"/>
      <protection hidden="1"/>
    </xf>
    <xf numFmtId="0" fontId="19" fillId="0" borderId="6" xfId="17" applyFont="1" applyAlignment="1" applyProtection="1">
      <alignment horizontal="center" vertical="center"/>
      <protection hidden="1"/>
    </xf>
    <xf numFmtId="0" fontId="19" fillId="0" borderId="46" xfId="17" applyFont="1" applyBorder="1" applyAlignment="1" applyProtection="1">
      <alignment horizontal="center" vertical="center"/>
      <protection hidden="1"/>
    </xf>
    <xf numFmtId="165" fontId="11" fillId="5" borderId="5" xfId="1" applyNumberFormat="1" applyFont="1" applyFill="1" applyBorder="1" applyAlignment="1">
      <alignment horizontal="right" vertical="top" wrapText="1"/>
    </xf>
    <xf numFmtId="10" fontId="20" fillId="0" borderId="26" xfId="17" applyNumberFormat="1" applyFont="1" applyBorder="1" applyAlignment="1" applyProtection="1">
      <alignment horizontal="center" vertical="center"/>
      <protection hidden="1"/>
    </xf>
    <xf numFmtId="10" fontId="20" fillId="0" borderId="47" xfId="17" applyNumberFormat="1" applyFont="1" applyBorder="1" applyAlignment="1" applyProtection="1">
      <alignment horizontal="center" vertical="center"/>
      <protection hidden="1"/>
    </xf>
    <xf numFmtId="10" fontId="20" fillId="0" borderId="48" xfId="17" applyNumberFormat="1" applyFont="1" applyBorder="1" applyAlignment="1" applyProtection="1">
      <alignment horizontal="center" vertical="center"/>
      <protection hidden="1"/>
    </xf>
    <xf numFmtId="165" fontId="11" fillId="0" borderId="5" xfId="1" applyNumberFormat="1" applyFont="1" applyFill="1" applyBorder="1" applyAlignment="1">
      <alignment horizontal="right" vertical="top" wrapText="1"/>
    </xf>
    <xf numFmtId="165" fontId="11" fillId="5" borderId="6" xfId="1" applyNumberFormat="1" applyFont="1" applyFill="1" applyAlignment="1">
      <alignment horizontal="left" vertical="top" wrapText="1"/>
    </xf>
    <xf numFmtId="165" fontId="11" fillId="5" borderId="6" xfId="1" applyNumberFormat="1" applyFont="1" applyFill="1" applyBorder="1" applyAlignment="1">
      <alignment horizontal="right" vertical="top" wrapText="1"/>
    </xf>
    <xf numFmtId="165" fontId="11" fillId="5" borderId="12" xfId="1" applyNumberFormat="1" applyFont="1" applyFill="1" applyBorder="1" applyAlignment="1">
      <alignment horizontal="right" vertical="top" wrapText="1"/>
    </xf>
    <xf numFmtId="165" fontId="27" fillId="5" borderId="12" xfId="1" applyNumberFormat="1" applyFont="1" applyFill="1" applyBorder="1" applyAlignment="1">
      <alignment horizontal="right" vertical="top" wrapText="1"/>
    </xf>
    <xf numFmtId="165" fontId="11" fillId="0" borderId="6" xfId="1" applyNumberFormat="1" applyFont="1" applyFill="1" applyBorder="1" applyAlignment="1">
      <alignment horizontal="right" vertical="top" wrapText="1"/>
    </xf>
    <xf numFmtId="0" fontId="11" fillId="0" borderId="6" xfId="1" applyFont="1" applyFill="1" applyBorder="1" applyAlignment="1">
      <alignment horizontal="left" vertical="top" wrapText="1"/>
    </xf>
    <xf numFmtId="165" fontId="11" fillId="0" borderId="12" xfId="1" applyNumberFormat="1" applyFont="1" applyFill="1" applyBorder="1" applyAlignment="1">
      <alignment horizontal="right" vertical="top" wrapText="1"/>
    </xf>
    <xf numFmtId="0" fontId="40" fillId="2" borderId="12" xfId="0" applyFont="1" applyFill="1" applyBorder="1" applyAlignment="1">
      <alignment horizontal="center" vertical="top" wrapText="1"/>
    </xf>
    <xf numFmtId="0" fontId="11" fillId="5" borderId="39" xfId="1" applyFont="1" applyFill="1" applyBorder="1" applyAlignment="1">
      <alignment horizontal="center" vertical="top" wrapText="1"/>
    </xf>
    <xf numFmtId="0" fontId="11" fillId="5" borderId="49" xfId="1" applyFont="1" applyFill="1" applyBorder="1" applyAlignment="1">
      <alignment horizontal="center" vertical="top" wrapText="1"/>
    </xf>
    <xf numFmtId="0" fontId="11" fillId="0" borderId="16" xfId="1" applyFont="1" applyFill="1" applyBorder="1" applyAlignment="1">
      <alignment horizontal="center" vertical="top" wrapText="1"/>
    </xf>
    <xf numFmtId="0" fontId="11" fillId="5" borderId="6" xfId="1" applyFont="1" applyFill="1" applyBorder="1" applyAlignment="1">
      <alignment horizontal="left" vertical="top" wrapText="1"/>
    </xf>
    <xf numFmtId="3" fontId="11" fillId="0" borderId="12" xfId="1" applyNumberFormat="1" applyFont="1" applyFill="1" applyBorder="1" applyAlignment="1">
      <alignment horizontal="right" vertical="center" wrapText="1"/>
    </xf>
    <xf numFmtId="0" fontId="11" fillId="5" borderId="12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left" vertical="top" wrapText="1"/>
    </xf>
    <xf numFmtId="0" fontId="11" fillId="17" borderId="5" xfId="1" applyFont="1" applyFill="1" applyBorder="1" applyAlignment="1">
      <alignment horizontal="center" vertical="top" wrapText="1"/>
    </xf>
    <xf numFmtId="4" fontId="11" fillId="5" borderId="12" xfId="1" applyNumberFormat="1" applyFont="1" applyFill="1" applyBorder="1" applyAlignment="1">
      <alignment horizontal="left" vertical="top" wrapText="1"/>
    </xf>
    <xf numFmtId="0" fontId="16" fillId="17" borderId="5" xfId="1" applyFont="1" applyFill="1" applyBorder="1" applyAlignment="1">
      <alignment horizontal="left" vertical="top" wrapText="1"/>
    </xf>
    <xf numFmtId="0" fontId="11" fillId="17" borderId="7" xfId="1" applyFont="1" applyFill="1" applyBorder="1" applyAlignment="1">
      <alignment horizontal="left" vertical="top" wrapText="1"/>
    </xf>
    <xf numFmtId="0" fontId="27" fillId="17" borderId="7" xfId="1" applyFont="1" applyFill="1" applyBorder="1" applyAlignment="1">
      <alignment horizontal="left" vertical="top" wrapText="1"/>
    </xf>
    <xf numFmtId="0" fontId="11" fillId="17" borderId="12" xfId="1" applyFont="1" applyFill="1" applyBorder="1" applyAlignment="1">
      <alignment horizontal="left" vertical="top" wrapText="1"/>
    </xf>
    <xf numFmtId="4" fontId="33" fillId="2" borderId="12" xfId="0" applyNumberFormat="1" applyFont="1" applyFill="1" applyBorder="1" applyAlignment="1">
      <alignment horizontal="center" vertical="center" wrapText="1"/>
    </xf>
    <xf numFmtId="4" fontId="2" fillId="17" borderId="12" xfId="0" applyNumberFormat="1" applyFont="1" applyFill="1" applyBorder="1" applyAlignment="1">
      <alignment horizontal="right" vertical="center" wrapText="1"/>
    </xf>
    <xf numFmtId="4" fontId="2" fillId="2" borderId="12" xfId="0" applyNumberFormat="1" applyFont="1" applyFill="1" applyBorder="1" applyAlignment="1">
      <alignment horizontal="left" vertical="top" wrapText="1"/>
    </xf>
    <xf numFmtId="4" fontId="30" fillId="0" borderId="12" xfId="0" applyNumberFormat="1" applyFont="1" applyFill="1" applyBorder="1" applyAlignment="1">
      <alignment horizontal="left" vertical="center"/>
    </xf>
    <xf numFmtId="4" fontId="30" fillId="0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 vertical="top" wrapText="1"/>
    </xf>
    <xf numFmtId="9" fontId="30" fillId="17" borderId="12" xfId="6" applyFont="1" applyFill="1" applyBorder="1" applyAlignment="1">
      <alignment horizontal="center" vertical="center"/>
    </xf>
    <xf numFmtId="9" fontId="30" fillId="0" borderId="12" xfId="6" applyFont="1" applyFill="1" applyBorder="1" applyAlignment="1">
      <alignment horizontal="right"/>
    </xf>
    <xf numFmtId="4" fontId="34" fillId="0" borderId="12" xfId="0" applyNumberFormat="1" applyFont="1" applyFill="1" applyBorder="1" applyAlignment="1">
      <alignment horizontal="left" vertical="center"/>
    </xf>
    <xf numFmtId="0" fontId="2" fillId="5" borderId="6" xfId="13" applyFont="1" applyFill="1" applyAlignment="1">
      <alignment horizontal="left" vertical="top" wrapText="1"/>
    </xf>
    <xf numFmtId="0" fontId="2" fillId="5" borderId="5" xfId="13" applyFont="1" applyFill="1" applyBorder="1" applyAlignment="1">
      <alignment horizontal="left" vertical="center" wrapText="1"/>
    </xf>
    <xf numFmtId="165" fontId="2" fillId="5" borderId="5" xfId="13" applyNumberFormat="1" applyFont="1" applyFill="1" applyBorder="1" applyAlignment="1">
      <alignment horizontal="right" vertical="center" wrapText="1"/>
    </xf>
    <xf numFmtId="164" fontId="2" fillId="5" borderId="7" xfId="13" applyNumberFormat="1" applyFont="1" applyFill="1" applyBorder="1" applyAlignment="1">
      <alignment horizontal="right" vertical="center" wrapText="1"/>
    </xf>
    <xf numFmtId="0" fontId="2" fillId="5" borderId="8" xfId="13" applyFont="1" applyFill="1" applyBorder="1" applyAlignment="1">
      <alignment horizontal="center" vertical="top" wrapText="1"/>
    </xf>
    <xf numFmtId="0" fontId="2" fillId="0" borderId="6" xfId="13" applyFont="1" applyFill="1" applyAlignment="1">
      <alignment horizontal="left" vertical="top" wrapText="1"/>
    </xf>
    <xf numFmtId="165" fontId="34" fillId="5" borderId="12" xfId="13" applyNumberFormat="1" applyFont="1" applyFill="1" applyBorder="1" applyAlignment="1">
      <alignment horizontal="center" vertical="top" wrapText="1"/>
    </xf>
    <xf numFmtId="0" fontId="2" fillId="17" borderId="6" xfId="13" applyFont="1" applyFill="1" applyAlignment="1">
      <alignment horizontal="center" vertical="center" wrapText="1"/>
    </xf>
    <xf numFmtId="0" fontId="2" fillId="17" borderId="40" xfId="13" applyFont="1" applyFill="1" applyBorder="1" applyAlignment="1">
      <alignment horizontal="center" wrapText="1"/>
    </xf>
    <xf numFmtId="0" fontId="2" fillId="17" borderId="5" xfId="13" applyFont="1" applyFill="1" applyBorder="1" applyAlignment="1">
      <alignment horizontal="center" vertical="center" wrapText="1"/>
    </xf>
    <xf numFmtId="37" fontId="2" fillId="5" borderId="5" xfId="13" applyNumberFormat="1" applyFont="1" applyFill="1" applyBorder="1" applyAlignment="1">
      <alignment horizontal="right" vertical="center" wrapText="1"/>
    </xf>
    <xf numFmtId="37" fontId="2" fillId="17" borderId="5" xfId="13" applyNumberFormat="1" applyFont="1" applyFill="1" applyBorder="1" applyAlignment="1">
      <alignment horizontal="right" vertical="center" wrapText="1"/>
    </xf>
    <xf numFmtId="165" fontId="16" fillId="5" borderId="5" xfId="13" applyNumberFormat="1" applyFont="1" applyFill="1" applyBorder="1" applyAlignment="1">
      <alignment horizontal="left" vertical="top" wrapText="1"/>
    </xf>
    <xf numFmtId="165" fontId="16" fillId="5" borderId="5" xfId="13" applyNumberFormat="1" applyFont="1" applyFill="1" applyBorder="1" applyAlignment="1">
      <alignment horizontal="right" vertical="center" wrapText="1"/>
    </xf>
    <xf numFmtId="164" fontId="16" fillId="5" borderId="7" xfId="13" applyNumberFormat="1" applyFont="1" applyFill="1" applyBorder="1" applyAlignment="1">
      <alignment horizontal="right" vertical="center" wrapText="1"/>
    </xf>
    <xf numFmtId="0" fontId="16" fillId="5" borderId="8" xfId="13" applyFont="1" applyFill="1" applyBorder="1" applyAlignment="1">
      <alignment horizontal="center" vertical="top" wrapText="1"/>
    </xf>
    <xf numFmtId="37" fontId="16" fillId="5" borderId="5" xfId="13" applyNumberFormat="1" applyFont="1" applyFill="1" applyBorder="1" applyAlignment="1">
      <alignment horizontal="right" vertical="center" wrapText="1"/>
    </xf>
    <xf numFmtId="37" fontId="16" fillId="17" borderId="5" xfId="13" applyNumberFormat="1" applyFont="1" applyFill="1" applyBorder="1" applyAlignment="1">
      <alignment horizontal="right" vertical="center" wrapText="1"/>
    </xf>
    <xf numFmtId="0" fontId="16" fillId="5" borderId="5" xfId="13" applyFont="1" applyFill="1" applyBorder="1" applyAlignment="1">
      <alignment horizontal="left" vertical="top" wrapText="1"/>
    </xf>
    <xf numFmtId="165" fontId="16" fillId="5" borderId="7" xfId="13" applyNumberFormat="1" applyFont="1" applyFill="1" applyBorder="1" applyAlignment="1">
      <alignment horizontal="right" vertical="center" wrapText="1"/>
    </xf>
    <xf numFmtId="0" fontId="30" fillId="0" borderId="6" xfId="14" applyFont="1" applyProtection="1">
      <protection hidden="1"/>
    </xf>
    <xf numFmtId="0" fontId="30" fillId="0" borderId="6" xfId="14" applyFont="1" applyAlignment="1" applyProtection="1">
      <alignment horizontal="center"/>
      <protection hidden="1"/>
    </xf>
    <xf numFmtId="0" fontId="34" fillId="0" borderId="6" xfId="14" applyFont="1" applyAlignment="1" applyProtection="1">
      <alignment horizontal="left"/>
      <protection hidden="1"/>
    </xf>
    <xf numFmtId="10" fontId="30" fillId="0" borderId="6" xfId="14" applyNumberFormat="1" applyFont="1" applyProtection="1">
      <protection hidden="1"/>
    </xf>
    <xf numFmtId="172" fontId="30" fillId="0" borderId="6" xfId="15" applyNumberFormat="1" applyFont="1" applyProtection="1">
      <protection hidden="1"/>
    </xf>
    <xf numFmtId="0" fontId="34" fillId="0" borderId="6" xfId="14" applyFont="1" applyProtection="1">
      <protection hidden="1"/>
    </xf>
    <xf numFmtId="4" fontId="30" fillId="0" borderId="6" xfId="14" applyNumberFormat="1" applyFont="1" applyProtection="1">
      <protection hidden="1"/>
    </xf>
    <xf numFmtId="0" fontId="30" fillId="0" borderId="6" xfId="14" applyFont="1" applyFill="1" applyProtection="1">
      <protection hidden="1"/>
    </xf>
    <xf numFmtId="4" fontId="30" fillId="0" borderId="6" xfId="14" applyNumberFormat="1" applyFont="1" applyFill="1" applyProtection="1">
      <protection hidden="1"/>
    </xf>
    <xf numFmtId="4" fontId="34" fillId="0" borderId="38" xfId="14" applyNumberFormat="1" applyFont="1" applyBorder="1" applyProtection="1">
      <protection hidden="1"/>
    </xf>
    <xf numFmtId="4" fontId="34" fillId="0" borderId="6" xfId="14" applyNumberFormat="1" applyFont="1" applyProtection="1">
      <protection hidden="1"/>
    </xf>
    <xf numFmtId="0" fontId="41" fillId="0" borderId="6" xfId="14" applyFont="1" applyProtection="1">
      <protection hidden="1"/>
    </xf>
    <xf numFmtId="4" fontId="41" fillId="0" borderId="6" xfId="14" applyNumberFormat="1" applyFont="1" applyProtection="1">
      <protection hidden="1"/>
    </xf>
    <xf numFmtId="0" fontId="30" fillId="17" borderId="6" xfId="14" applyFont="1" applyFill="1" applyProtection="1">
      <protection hidden="1"/>
    </xf>
    <xf numFmtId="4" fontId="30" fillId="17" borderId="6" xfId="14" applyNumberFormat="1" applyFont="1" applyFill="1" applyProtection="1">
      <protection hidden="1"/>
    </xf>
    <xf numFmtId="0" fontId="34" fillId="0" borderId="12" xfId="14" applyFont="1" applyBorder="1" applyAlignment="1" applyProtection="1">
      <alignment horizontal="center"/>
      <protection hidden="1"/>
    </xf>
    <xf numFmtId="171" fontId="30" fillId="0" borderId="12" xfId="14" applyNumberFormat="1" applyFont="1" applyBorder="1" applyProtection="1">
      <protection hidden="1"/>
    </xf>
    <xf numFmtId="4" fontId="30" fillId="0" borderId="12" xfId="14" applyNumberFormat="1" applyFont="1" applyBorder="1" applyProtection="1">
      <protection hidden="1"/>
    </xf>
    <xf numFmtId="171" fontId="30" fillId="0" borderId="12" xfId="14" applyNumberFormat="1" applyFont="1" applyBorder="1" applyAlignment="1" applyProtection="1">
      <alignment horizontal="right"/>
      <protection hidden="1"/>
    </xf>
    <xf numFmtId="171" fontId="30" fillId="17" borderId="12" xfId="14" applyNumberFormat="1" applyFont="1" applyFill="1" applyBorder="1" applyAlignment="1" applyProtection="1">
      <alignment horizontal="right"/>
      <protection hidden="1"/>
    </xf>
    <xf numFmtId="4" fontId="30" fillId="17" borderId="12" xfId="14" applyNumberFormat="1" applyFont="1" applyFill="1" applyBorder="1" applyProtection="1">
      <protection hidden="1"/>
    </xf>
    <xf numFmtId="171" fontId="30" fillId="17" borderId="12" xfId="14" applyNumberFormat="1" applyFont="1" applyFill="1" applyBorder="1" applyProtection="1">
      <protection hidden="1"/>
    </xf>
    <xf numFmtId="0" fontId="30" fillId="0" borderId="12" xfId="14" applyFont="1" applyBorder="1" applyProtection="1">
      <protection hidden="1"/>
    </xf>
    <xf numFmtId="172" fontId="30" fillId="0" borderId="12" xfId="15" applyNumberFormat="1" applyFont="1" applyBorder="1" applyProtection="1">
      <protection hidden="1"/>
    </xf>
    <xf numFmtId="10" fontId="20" fillId="0" borderId="6" xfId="17" applyNumberFormat="1" applyFont="1" applyFill="1" applyBorder="1" applyAlignment="1" applyProtection="1">
      <alignment horizontal="center" vertical="center"/>
      <protection hidden="1"/>
    </xf>
    <xf numFmtId="165" fontId="27" fillId="0" borderId="12" xfId="1" applyNumberFormat="1" applyFont="1" applyFill="1" applyBorder="1" applyAlignment="1">
      <alignment horizontal="right" vertical="top" wrapText="1"/>
    </xf>
    <xf numFmtId="9" fontId="11" fillId="5" borderId="6" xfId="1" applyNumberFormat="1" applyFont="1" applyFill="1" applyAlignment="1">
      <alignment horizontal="center" vertical="center" wrapText="1"/>
    </xf>
    <xf numFmtId="0" fontId="11" fillId="0" borderId="6" xfId="1" applyFont="1" applyFill="1" applyAlignment="1">
      <alignment horizontal="left" vertical="top" wrapText="1"/>
    </xf>
    <xf numFmtId="0" fontId="16" fillId="17" borderId="5" xfId="1" applyFont="1" applyFill="1" applyBorder="1" applyAlignment="1">
      <alignment horizontal="center" vertical="center" wrapText="1"/>
    </xf>
    <xf numFmtId="165" fontId="16" fillId="5" borderId="5" xfId="1" applyNumberFormat="1" applyFont="1" applyFill="1" applyBorder="1" applyAlignment="1">
      <alignment horizontal="right" vertical="top" wrapText="1"/>
    </xf>
    <xf numFmtId="0" fontId="11" fillId="0" borderId="12" xfId="1" applyFont="1" applyFill="1" applyBorder="1" applyAlignment="1">
      <alignment horizontal="center" vertical="top" wrapText="1"/>
    </xf>
    <xf numFmtId="0" fontId="16" fillId="0" borderId="43" xfId="1" applyFont="1" applyFill="1" applyBorder="1" applyAlignment="1">
      <alignment horizontal="left" vertical="top" wrapText="1"/>
    </xf>
    <xf numFmtId="3" fontId="16" fillId="5" borderId="12" xfId="1" applyNumberFormat="1" applyFont="1" applyFill="1" applyBorder="1" applyAlignment="1">
      <alignment horizontal="right" vertical="center" wrapText="1"/>
    </xf>
    <xf numFmtId="0" fontId="40" fillId="17" borderId="12" xfId="0" applyFont="1" applyFill="1" applyBorder="1" applyAlignment="1">
      <alignment horizontal="center" vertical="top" wrapText="1"/>
    </xf>
    <xf numFmtId="0" fontId="11" fillId="17" borderId="12" xfId="1" applyFont="1" applyFill="1" applyBorder="1" applyAlignment="1">
      <alignment horizontal="center" vertical="center" wrapText="1"/>
    </xf>
    <xf numFmtId="0" fontId="42" fillId="0" borderId="6" xfId="4" applyFont="1" applyAlignment="1">
      <alignment horizontal="center"/>
    </xf>
    <xf numFmtId="0" fontId="42" fillId="17" borderId="12" xfId="4" applyFont="1" applyFill="1" applyBorder="1" applyAlignment="1">
      <alignment horizontal="center" vertical="center" wrapText="1"/>
    </xf>
    <xf numFmtId="173" fontId="42" fillId="17" borderId="12" xfId="4" applyNumberFormat="1" applyFont="1" applyFill="1" applyBorder="1" applyAlignment="1">
      <alignment horizontal="center" vertical="center"/>
    </xf>
    <xf numFmtId="2" fontId="34" fillId="0" borderId="12" xfId="4" applyNumberFormat="1" applyFont="1" applyFill="1" applyBorder="1" applyAlignment="1">
      <alignment horizontal="center" vertical="center"/>
    </xf>
    <xf numFmtId="0" fontId="34" fillId="0" borderId="12" xfId="4" applyFont="1" applyFill="1" applyBorder="1" applyAlignment="1">
      <alignment horizontal="center" vertical="center"/>
    </xf>
    <xf numFmtId="2" fontId="43" fillId="0" borderId="10" xfId="4" applyNumberFormat="1" applyFont="1" applyFill="1" applyBorder="1" applyAlignment="1">
      <alignment horizontal="center" vertical="center" wrapText="1"/>
    </xf>
    <xf numFmtId="2" fontId="30" fillId="0" borderId="10" xfId="4" applyNumberFormat="1" applyFont="1" applyFill="1" applyBorder="1" applyAlignment="1">
      <alignment horizontal="center" vertical="center" wrapText="1"/>
    </xf>
    <xf numFmtId="0" fontId="30" fillId="0" borderId="12" xfId="4" applyFont="1" applyFill="1" applyBorder="1" applyAlignment="1">
      <alignment horizontal="center" vertical="center" wrapText="1"/>
    </xf>
    <xf numFmtId="2" fontId="43" fillId="0" borderId="10" xfId="0" applyNumberFormat="1" applyFont="1" applyFill="1" applyBorder="1" applyAlignment="1">
      <alignment horizontal="center" vertical="center" wrapText="1"/>
    </xf>
    <xf numFmtId="2" fontId="43" fillId="0" borderId="12" xfId="4" applyNumberFormat="1" applyFont="1" applyFill="1" applyBorder="1" applyAlignment="1">
      <alignment horizontal="center" vertical="center" wrapText="1"/>
    </xf>
    <xf numFmtId="9" fontId="43" fillId="0" borderId="12" xfId="15" applyFont="1" applyFill="1" applyBorder="1" applyAlignment="1">
      <alignment horizontal="center" vertical="center" wrapText="1"/>
    </xf>
    <xf numFmtId="2" fontId="34" fillId="0" borderId="10" xfId="18" applyNumberFormat="1" applyFont="1" applyFill="1" applyBorder="1" applyAlignment="1">
      <alignment horizontal="center" vertical="center"/>
    </xf>
    <xf numFmtId="2" fontId="34" fillId="0" borderId="12" xfId="18" applyNumberFormat="1" applyFont="1" applyFill="1" applyBorder="1" applyAlignment="1">
      <alignment horizontal="center" vertical="center"/>
    </xf>
    <xf numFmtId="2" fontId="43" fillId="0" borderId="12" xfId="18" applyNumberFormat="1" applyFont="1" applyFill="1" applyBorder="1" applyAlignment="1">
      <alignment vertical="center"/>
    </xf>
    <xf numFmtId="2" fontId="30" fillId="0" borderId="10" xfId="18" applyNumberFormat="1" applyFont="1" applyFill="1" applyBorder="1" applyAlignment="1">
      <alignment horizontal="center" vertical="center"/>
    </xf>
    <xf numFmtId="2" fontId="30" fillId="0" borderId="12" xfId="18" applyNumberFormat="1" applyFont="1" applyFill="1" applyBorder="1" applyAlignment="1">
      <alignment horizontal="center" vertical="center"/>
    </xf>
    <xf numFmtId="2" fontId="43" fillId="0" borderId="12" xfId="18" applyNumberFormat="1" applyFont="1" applyFill="1" applyBorder="1" applyAlignment="1">
      <alignment horizontal="center" vertical="center" wrapText="1"/>
    </xf>
    <xf numFmtId="2" fontId="43" fillId="0" borderId="12" xfId="18" applyNumberFormat="1" applyFont="1" applyFill="1" applyBorder="1" applyAlignment="1">
      <alignment horizontal="center" vertical="center"/>
    </xf>
    <xf numFmtId="2" fontId="43" fillId="0" borderId="15" xfId="18" applyNumberFormat="1" applyFont="1" applyFill="1" applyBorder="1" applyAlignment="1">
      <alignment horizontal="center" vertical="center"/>
    </xf>
    <xf numFmtId="9" fontId="43" fillId="0" borderId="12" xfId="15" applyFont="1" applyFill="1" applyBorder="1" applyAlignment="1">
      <alignment horizontal="center" vertical="center"/>
    </xf>
    <xf numFmtId="2" fontId="34" fillId="0" borderId="12" xfId="19" applyNumberFormat="1" applyFont="1" applyFill="1" applyBorder="1" applyAlignment="1">
      <alignment horizontal="center" vertical="center"/>
    </xf>
    <xf numFmtId="2" fontId="43" fillId="0" borderId="12" xfId="19" applyNumberFormat="1" applyFont="1" applyFill="1" applyBorder="1" applyAlignment="1">
      <alignment horizontal="center" vertical="center"/>
    </xf>
    <xf numFmtId="2" fontId="30" fillId="0" borderId="12" xfId="19" applyNumberFormat="1" applyFont="1" applyFill="1" applyBorder="1" applyAlignment="1">
      <alignment horizontal="center" vertical="center"/>
    </xf>
    <xf numFmtId="2" fontId="43" fillId="0" borderId="12" xfId="19" applyNumberFormat="1" applyFont="1" applyFill="1" applyBorder="1" applyAlignment="1">
      <alignment horizontal="center" vertical="center" wrapText="1"/>
    </xf>
    <xf numFmtId="0" fontId="43" fillId="0" borderId="12" xfId="4" applyFont="1" applyFill="1" applyBorder="1" applyAlignment="1">
      <alignment horizontal="center" vertical="center" wrapText="1"/>
    </xf>
    <xf numFmtId="0" fontId="30" fillId="0" borderId="12" xfId="4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 wrapText="1"/>
    </xf>
    <xf numFmtId="0" fontId="30" fillId="0" borderId="10" xfId="4" applyFont="1" applyFill="1" applyBorder="1" applyAlignment="1">
      <alignment horizontal="center" vertical="center"/>
    </xf>
    <xf numFmtId="0" fontId="43" fillId="0" borderId="10" xfId="4" applyFont="1" applyFill="1" applyBorder="1" applyAlignment="1">
      <alignment horizontal="center" vertical="center"/>
    </xf>
    <xf numFmtId="0" fontId="43" fillId="0" borderId="10" xfId="4" applyFont="1" applyFill="1" applyBorder="1" applyAlignment="1">
      <alignment horizontal="center" vertical="center" wrapText="1"/>
    </xf>
    <xf numFmtId="9" fontId="43" fillId="0" borderId="10" xfId="15" applyFont="1" applyFill="1" applyBorder="1" applyAlignment="1">
      <alignment horizontal="center" vertical="center" wrapText="1"/>
    </xf>
    <xf numFmtId="0" fontId="35" fillId="0" borderId="43" xfId="4" applyFont="1" applyBorder="1"/>
    <xf numFmtId="0" fontId="35" fillId="0" borderId="6" xfId="4" applyFont="1" applyBorder="1"/>
    <xf numFmtId="2" fontId="35" fillId="0" borderId="6" xfId="4" applyNumberFormat="1" applyFont="1"/>
    <xf numFmtId="0" fontId="35" fillId="0" borderId="12" xfId="4" applyFont="1" applyBorder="1"/>
    <xf numFmtId="0" fontId="42" fillId="17" borderId="12" xfId="4" applyFont="1" applyFill="1" applyBorder="1" applyAlignment="1">
      <alignment horizontal="right"/>
    </xf>
    <xf numFmtId="0" fontId="16" fillId="17" borderId="12" xfId="13" applyFont="1" applyFill="1" applyBorder="1" applyAlignment="1">
      <alignment horizontal="center" wrapText="1"/>
    </xf>
    <xf numFmtId="0" fontId="34" fillId="17" borderId="12" xfId="14" applyFont="1" applyFill="1" applyBorder="1" applyAlignment="1" applyProtection="1">
      <alignment horizontal="center"/>
      <protection hidden="1"/>
    </xf>
    <xf numFmtId="4" fontId="2" fillId="0" borderId="0" xfId="0" applyNumberFormat="1" applyFont="1" applyFill="1"/>
    <xf numFmtId="0" fontId="35" fillId="0" borderId="10" xfId="4" applyFont="1" applyFill="1" applyBorder="1" applyAlignment="1">
      <alignment horizontal="center" vertical="center" wrapText="1"/>
    </xf>
    <xf numFmtId="17" fontId="35" fillId="0" borderId="10" xfId="4" applyNumberFormat="1" applyFont="1" applyFill="1" applyBorder="1" applyAlignment="1">
      <alignment horizontal="center" vertical="center" wrapText="1"/>
    </xf>
    <xf numFmtId="0" fontId="35" fillId="0" borderId="6" xfId="4" applyFont="1" applyFill="1" applyAlignment="1">
      <alignment horizontal="center" vertical="center" wrapText="1"/>
    </xf>
    <xf numFmtId="0" fontId="35" fillId="0" borderId="17" xfId="4" applyFont="1" applyFill="1" applyBorder="1"/>
    <xf numFmtId="0" fontId="35" fillId="0" borderId="18" xfId="4" applyFont="1" applyFill="1" applyBorder="1"/>
    <xf numFmtId="0" fontId="30" fillId="0" borderId="18" xfId="4" applyFont="1" applyFill="1" applyBorder="1" applyAlignment="1">
      <alignment horizontal="center"/>
    </xf>
    <xf numFmtId="0" fontId="45" fillId="0" borderId="18" xfId="5" applyFont="1" applyFill="1" applyBorder="1" applyAlignment="1">
      <alignment horizontal="center"/>
    </xf>
    <xf numFmtId="4" fontId="30" fillId="0" borderId="19" xfId="4" applyNumberFormat="1" applyFont="1" applyFill="1" applyBorder="1"/>
    <xf numFmtId="4" fontId="35" fillId="0" borderId="20" xfId="4" applyNumberFormat="1" applyFont="1" applyFill="1" applyBorder="1"/>
    <xf numFmtId="4" fontId="35" fillId="0" borderId="21" xfId="4" applyNumberFormat="1" applyFont="1" applyFill="1" applyBorder="1"/>
    <xf numFmtId="0" fontId="35" fillId="0" borderId="21" xfId="4" applyFont="1" applyFill="1" applyBorder="1"/>
    <xf numFmtId="0" fontId="35" fillId="0" borderId="22" xfId="4" applyFont="1" applyFill="1" applyBorder="1" applyAlignment="1">
      <alignment vertical="center"/>
    </xf>
    <xf numFmtId="0" fontId="35" fillId="0" borderId="6" xfId="4" applyFont="1" applyFill="1"/>
    <xf numFmtId="0" fontId="35" fillId="0" borderId="23" xfId="4" applyFont="1" applyFill="1" applyBorder="1"/>
    <xf numFmtId="0" fontId="35" fillId="0" borderId="13" xfId="4" applyFont="1" applyFill="1" applyBorder="1"/>
    <xf numFmtId="0" fontId="30" fillId="0" borderId="13" xfId="4" applyFont="1" applyFill="1" applyBorder="1" applyAlignment="1">
      <alignment horizontal="center"/>
    </xf>
    <xf numFmtId="0" fontId="30" fillId="0" borderId="24" xfId="4" applyFont="1" applyFill="1" applyBorder="1"/>
    <xf numFmtId="0" fontId="35" fillId="0" borderId="16" xfId="4" applyFont="1" applyFill="1" applyBorder="1"/>
    <xf numFmtId="4" fontId="35" fillId="0" borderId="12" xfId="4" applyNumberFormat="1" applyFont="1" applyFill="1" applyBorder="1"/>
    <xf numFmtId="0" fontId="35" fillId="0" borderId="12" xfId="4" applyFont="1" applyFill="1" applyBorder="1"/>
    <xf numFmtId="0" fontId="35" fillId="0" borderId="25" xfId="4" applyFont="1" applyFill="1" applyBorder="1"/>
    <xf numFmtId="0" fontId="35" fillId="0" borderId="26" xfId="4" applyFont="1" applyFill="1" applyBorder="1"/>
    <xf numFmtId="0" fontId="35" fillId="0" borderId="27" xfId="4" applyFont="1" applyFill="1" applyBorder="1"/>
    <xf numFmtId="0" fontId="30" fillId="0" borderId="27" xfId="4" applyFont="1" applyFill="1" applyBorder="1" applyAlignment="1">
      <alignment horizontal="center"/>
    </xf>
    <xf numFmtId="0" fontId="30" fillId="0" borderId="28" xfId="4" applyFont="1" applyFill="1" applyBorder="1"/>
    <xf numFmtId="0" fontId="35" fillId="0" borderId="29" xfId="4" applyFont="1" applyFill="1" applyBorder="1"/>
    <xf numFmtId="4" fontId="35" fillId="0" borderId="30" xfId="4" applyNumberFormat="1" applyFont="1" applyFill="1" applyBorder="1"/>
    <xf numFmtId="0" fontId="35" fillId="0" borderId="30" xfId="4" applyFont="1" applyFill="1" applyBorder="1"/>
    <xf numFmtId="0" fontId="35" fillId="0" borderId="31" xfId="4" applyFont="1" applyFill="1" applyBorder="1"/>
    <xf numFmtId="4" fontId="35" fillId="0" borderId="32" xfId="4" applyNumberFormat="1" applyFont="1" applyFill="1" applyBorder="1"/>
    <xf numFmtId="0" fontId="35" fillId="0" borderId="33" xfId="4" applyFont="1" applyFill="1" applyBorder="1"/>
    <xf numFmtId="0" fontId="35" fillId="0" borderId="34" xfId="4" applyFont="1" applyFill="1" applyBorder="1"/>
    <xf numFmtId="0" fontId="35" fillId="0" borderId="17" xfId="4" applyFont="1" applyFill="1" applyBorder="1" applyAlignment="1">
      <alignment vertical="center"/>
    </xf>
    <xf numFmtId="0" fontId="35" fillId="0" borderId="18" xfId="4" applyFont="1" applyFill="1" applyBorder="1" applyAlignment="1">
      <alignment vertical="center"/>
    </xf>
    <xf numFmtId="0" fontId="35" fillId="0" borderId="18" xfId="4" applyFont="1" applyFill="1" applyBorder="1" applyAlignment="1">
      <alignment horizontal="center" vertical="center"/>
    </xf>
    <xf numFmtId="0" fontId="45" fillId="0" borderId="18" xfId="5" applyFont="1" applyFill="1" applyBorder="1" applyAlignment="1">
      <alignment horizontal="center" vertical="center"/>
    </xf>
    <xf numFmtId="0" fontId="30" fillId="0" borderId="18" xfId="4" applyFont="1" applyFill="1" applyBorder="1" applyAlignment="1">
      <alignment horizontal="center" vertical="center" wrapText="1"/>
    </xf>
    <xf numFmtId="4" fontId="30" fillId="0" borderId="19" xfId="4" applyNumberFormat="1" applyFont="1" applyFill="1" applyBorder="1" applyAlignment="1">
      <alignment vertical="center"/>
    </xf>
    <xf numFmtId="4" fontId="35" fillId="0" borderId="32" xfId="4" applyNumberFormat="1" applyFont="1" applyFill="1" applyBorder="1" applyAlignment="1">
      <alignment vertical="center"/>
    </xf>
    <xf numFmtId="4" fontId="35" fillId="0" borderId="21" xfId="4" applyNumberFormat="1" applyFont="1" applyFill="1" applyBorder="1" applyAlignment="1">
      <alignment vertical="center"/>
    </xf>
    <xf numFmtId="0" fontId="35" fillId="0" borderId="6" xfId="4" applyFont="1" applyFill="1" applyAlignment="1">
      <alignment vertical="center"/>
    </xf>
    <xf numFmtId="0" fontId="35" fillId="0" borderId="13" xfId="4" applyFont="1" applyFill="1" applyBorder="1" applyAlignment="1">
      <alignment horizontal="center"/>
    </xf>
    <xf numFmtId="0" fontId="45" fillId="0" borderId="13" xfId="5" applyFont="1" applyFill="1" applyBorder="1" applyAlignment="1">
      <alignment horizontal="center"/>
    </xf>
    <xf numFmtId="0" fontId="35" fillId="0" borderId="24" xfId="4" applyFont="1" applyFill="1" applyBorder="1"/>
    <xf numFmtId="0" fontId="35" fillId="0" borderId="27" xfId="4" applyFont="1" applyFill="1" applyBorder="1" applyAlignment="1">
      <alignment horizontal="center"/>
    </xf>
    <xf numFmtId="0" fontId="35" fillId="0" borderId="28" xfId="4" applyFont="1" applyFill="1" applyBorder="1"/>
    <xf numFmtId="4" fontId="35" fillId="0" borderId="22" xfId="4" applyNumberFormat="1" applyFont="1" applyFill="1" applyBorder="1"/>
    <xf numFmtId="4" fontId="35" fillId="0" borderId="25" xfId="4" applyNumberFormat="1" applyFont="1" applyFill="1" applyBorder="1"/>
    <xf numFmtId="4" fontId="35" fillId="0" borderId="31" xfId="4" applyNumberFormat="1" applyFont="1" applyFill="1" applyBorder="1"/>
    <xf numFmtId="4" fontId="35" fillId="0" borderId="6" xfId="4" applyNumberFormat="1" applyFont="1" applyFill="1"/>
    <xf numFmtId="4" fontId="42" fillId="0" borderId="36" xfId="4" applyNumberFormat="1" applyFont="1" applyFill="1" applyBorder="1"/>
    <xf numFmtId="0" fontId="42" fillId="0" borderId="6" xfId="4" applyFont="1" applyFill="1"/>
    <xf numFmtId="49" fontId="30" fillId="7" borderId="37" xfId="4" applyNumberFormat="1" applyFont="1" applyFill="1" applyBorder="1" applyAlignment="1">
      <alignment horizontal="center" vertical="center"/>
    </xf>
    <xf numFmtId="49" fontId="30" fillId="7" borderId="37" xfId="4" applyNumberFormat="1" applyFont="1" applyFill="1" applyBorder="1" applyAlignment="1">
      <alignment horizontal="center" vertical="center" wrapText="1"/>
    </xf>
    <xf numFmtId="0" fontId="30" fillId="0" borderId="37" xfId="4" applyFont="1" applyFill="1" applyBorder="1" applyAlignment="1">
      <alignment vertical="center"/>
    </xf>
    <xf numFmtId="49" fontId="30" fillId="0" borderId="37" xfId="4" applyNumberFormat="1" applyFont="1" applyFill="1" applyBorder="1" applyAlignment="1">
      <alignment vertical="center"/>
    </xf>
    <xf numFmtId="49" fontId="30" fillId="0" borderId="37" xfId="4" applyNumberFormat="1" applyFont="1" applyFill="1" applyBorder="1" applyAlignment="1">
      <alignment horizontal="left" vertical="center"/>
    </xf>
    <xf numFmtId="166" fontId="30" fillId="0" borderId="37" xfId="4" applyNumberFormat="1" applyFont="1" applyFill="1" applyBorder="1" applyAlignment="1">
      <alignment vertical="center"/>
    </xf>
    <xf numFmtId="166" fontId="34" fillId="0" borderId="37" xfId="4" applyNumberFormat="1" applyFont="1" applyBorder="1" applyAlignment="1">
      <alignment vertical="center"/>
    </xf>
    <xf numFmtId="0" fontId="34" fillId="0" borderId="6" xfId="4" applyFont="1"/>
    <xf numFmtId="166" fontId="30" fillId="0" borderId="12" xfId="4" applyNumberFormat="1" applyFont="1" applyFill="1" applyBorder="1" applyAlignment="1">
      <alignment vertical="center"/>
    </xf>
    <xf numFmtId="0" fontId="30" fillId="17" borderId="6" xfId="4" applyFont="1" applyFill="1" applyBorder="1" applyAlignment="1">
      <alignment vertical="center"/>
    </xf>
    <xf numFmtId="49" fontId="30" fillId="17" borderId="6" xfId="4" applyNumberFormat="1" applyFont="1" applyFill="1" applyBorder="1" applyAlignment="1">
      <alignment horizontal="left" vertical="center"/>
    </xf>
    <xf numFmtId="49" fontId="30" fillId="17" borderId="6" xfId="4" applyNumberFormat="1" applyFont="1" applyFill="1" applyBorder="1" applyAlignment="1">
      <alignment vertical="center"/>
    </xf>
    <xf numFmtId="166" fontId="30" fillId="17" borderId="6" xfId="4" applyNumberFormat="1" applyFont="1" applyFill="1" applyBorder="1" applyAlignment="1">
      <alignment vertical="center"/>
    </xf>
    <xf numFmtId="166" fontId="30" fillId="17" borderId="37" xfId="4" applyNumberFormat="1" applyFont="1" applyFill="1" applyBorder="1" applyAlignment="1">
      <alignment vertical="center"/>
    </xf>
    <xf numFmtId="49" fontId="34" fillId="17" borderId="12" xfId="4" applyNumberFormat="1" applyFont="1" applyFill="1" applyBorder="1" applyAlignment="1">
      <alignment vertical="center"/>
    </xf>
    <xf numFmtId="0" fontId="42" fillId="17" borderId="12" xfId="4" applyFont="1" applyFill="1" applyBorder="1"/>
    <xf numFmtId="0" fontId="34" fillId="17" borderId="37" xfId="4" applyFont="1" applyFill="1" applyBorder="1" applyAlignment="1">
      <alignment vertical="center"/>
    </xf>
    <xf numFmtId="0" fontId="34" fillId="17" borderId="6" xfId="4" applyFont="1" applyFill="1" applyBorder="1" applyAlignment="1">
      <alignment vertical="center"/>
    </xf>
    <xf numFmtId="49" fontId="34" fillId="17" borderId="37" xfId="4" applyNumberFormat="1" applyFont="1" applyFill="1" applyBorder="1" applyAlignment="1">
      <alignment vertical="center"/>
    </xf>
    <xf numFmtId="0" fontId="45" fillId="0" borderId="11" xfId="3" applyFont="1" applyFill="1" applyBorder="1"/>
    <xf numFmtId="4" fontId="46" fillId="0" borderId="12" xfId="3" applyNumberFormat="1" applyFont="1" applyFill="1" applyBorder="1" applyAlignment="1">
      <alignment horizontal="center"/>
    </xf>
    <xf numFmtId="0" fontId="30" fillId="0" borderId="14" xfId="2" applyFont="1" applyFill="1" applyBorder="1"/>
    <xf numFmtId="0" fontId="45" fillId="0" borderId="10" xfId="3" applyFont="1" applyFill="1" applyBorder="1"/>
    <xf numFmtId="0" fontId="30" fillId="0" borderId="15" xfId="2" applyFont="1" applyFill="1" applyBorder="1"/>
    <xf numFmtId="0" fontId="46" fillId="0" borderId="15" xfId="3" applyFont="1" applyFill="1" applyBorder="1" applyAlignment="1">
      <alignment horizontal="right"/>
    </xf>
    <xf numFmtId="0" fontId="30" fillId="0" borderId="13" xfId="2" applyFont="1" applyFill="1" applyBorder="1"/>
    <xf numFmtId="9" fontId="43" fillId="0" borderId="14" xfId="2" applyNumberFormat="1" applyFont="1" applyFill="1" applyBorder="1" applyAlignment="1">
      <alignment vertical="center"/>
    </xf>
    <xf numFmtId="9" fontId="43" fillId="0" borderId="15" xfId="2" applyNumberFormat="1" applyFont="1" applyFill="1" applyBorder="1" applyAlignment="1">
      <alignment vertical="center"/>
    </xf>
    <xf numFmtId="0" fontId="30" fillId="0" borderId="6" xfId="2" applyFont="1" applyFill="1"/>
    <xf numFmtId="0" fontId="34" fillId="0" borderId="6" xfId="2" applyFont="1" applyFill="1"/>
    <xf numFmtId="17" fontId="30" fillId="0" borderId="6" xfId="2" applyNumberFormat="1" applyFont="1" applyFill="1" applyAlignment="1">
      <alignment horizontal="center" vertical="center" wrapText="1"/>
    </xf>
    <xf numFmtId="17" fontId="30" fillId="0" borderId="6" xfId="2" applyNumberFormat="1" applyFont="1" applyFill="1" applyAlignment="1">
      <alignment horizontal="center" vertical="center"/>
    </xf>
    <xf numFmtId="0" fontId="30" fillId="0" borderId="6" xfId="2" applyFont="1" applyFill="1" applyAlignment="1">
      <alignment horizontal="center" vertical="center"/>
    </xf>
    <xf numFmtId="0" fontId="30" fillId="0" borderId="10" xfId="2" applyFont="1" applyFill="1" applyBorder="1" applyAlignment="1">
      <alignment horizontal="right"/>
    </xf>
    <xf numFmtId="0" fontId="30" fillId="0" borderId="12" xfId="2" applyFont="1" applyFill="1" applyBorder="1"/>
    <xf numFmtId="4" fontId="30" fillId="0" borderId="12" xfId="2" applyNumberFormat="1" applyFont="1" applyFill="1" applyBorder="1"/>
    <xf numFmtId="4" fontId="34" fillId="0" borderId="12" xfId="2" applyNumberFormat="1" applyFont="1" applyFill="1" applyBorder="1"/>
    <xf numFmtId="0" fontId="30" fillId="0" borderId="12" xfId="2" applyFont="1" applyFill="1" applyBorder="1" applyAlignment="1">
      <alignment horizontal="right"/>
    </xf>
    <xf numFmtId="0" fontId="43" fillId="0" borderId="13" xfId="2" applyFont="1" applyFill="1" applyBorder="1"/>
    <xf numFmtId="4" fontId="34" fillId="0" borderId="12" xfId="2" applyNumberFormat="1" applyFont="1" applyFill="1" applyBorder="1" applyAlignment="1">
      <alignment horizontal="center"/>
    </xf>
    <xf numFmtId="0" fontId="30" fillId="0" borderId="13" xfId="2" applyFont="1" applyFill="1" applyBorder="1" applyAlignment="1">
      <alignment horizontal="right"/>
    </xf>
    <xf numFmtId="0" fontId="43" fillId="0" borderId="15" xfId="2" applyFont="1" applyFill="1" applyBorder="1" applyAlignment="1">
      <alignment vertical="center"/>
    </xf>
    <xf numFmtId="0" fontId="43" fillId="0" borderId="12" xfId="2" applyFont="1" applyFill="1" applyBorder="1" applyAlignment="1">
      <alignment horizontal="right" vertical="center"/>
    </xf>
    <xf numFmtId="0" fontId="43" fillId="0" borderId="12" xfId="2" applyFont="1" applyFill="1" applyBorder="1" applyAlignment="1">
      <alignment vertical="center"/>
    </xf>
    <xf numFmtId="4" fontId="43" fillId="0" borderId="12" xfId="2" applyNumberFormat="1" applyFont="1" applyFill="1" applyBorder="1" applyAlignment="1">
      <alignment vertical="center"/>
    </xf>
    <xf numFmtId="0" fontId="43" fillId="0" borderId="6" xfId="2" applyFont="1" applyFill="1" applyAlignment="1">
      <alignment vertical="center"/>
    </xf>
    <xf numFmtId="0" fontId="30" fillId="0" borderId="6" xfId="2" applyFont="1" applyFill="1" applyAlignment="1">
      <alignment horizontal="right"/>
    </xf>
    <xf numFmtId="4" fontId="30" fillId="0" borderId="6" xfId="2" applyNumberFormat="1" applyFont="1" applyFill="1"/>
    <xf numFmtId="0" fontId="30" fillId="0" borderId="16" xfId="2" applyFont="1" applyFill="1" applyBorder="1" applyAlignment="1">
      <alignment horizontal="right"/>
    </xf>
    <xf numFmtId="0" fontId="43" fillId="0" borderId="6" xfId="2" applyFont="1" applyFill="1"/>
    <xf numFmtId="4" fontId="34" fillId="0" borderId="6" xfId="2" applyNumberFormat="1" applyFont="1" applyFill="1"/>
    <xf numFmtId="0" fontId="34" fillId="0" borderId="13" xfId="2" applyFont="1" applyFill="1" applyBorder="1"/>
    <xf numFmtId="9" fontId="30" fillId="0" borderId="6" xfId="2" applyNumberFormat="1" applyFont="1" applyFill="1"/>
    <xf numFmtId="0" fontId="34" fillId="17" borderId="6" xfId="2" applyFont="1" applyFill="1"/>
    <xf numFmtId="0" fontId="47" fillId="17" borderId="6" xfId="2" applyFont="1" applyFill="1"/>
    <xf numFmtId="0" fontId="30" fillId="17" borderId="6" xfId="2" applyFont="1" applyFill="1"/>
    <xf numFmtId="0" fontId="16" fillId="17" borderId="1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right" vertical="top" wrapText="1"/>
    </xf>
    <xf numFmtId="0" fontId="16" fillId="2" borderId="0" xfId="0" applyFont="1" applyFill="1" applyAlignment="1">
      <alignment horizontal="left" vertical="top" wrapText="1"/>
    </xf>
    <xf numFmtId="9" fontId="27" fillId="5" borderId="6" xfId="1" applyNumberFormat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1" fillId="18" borderId="6" xfId="1" applyFont="1" applyFill="1" applyAlignment="1">
      <alignment horizontal="center" vertical="center" wrapText="1"/>
    </xf>
    <xf numFmtId="3" fontId="12" fillId="5" borderId="12" xfId="1" applyNumberFormat="1" applyFont="1" applyFill="1" applyBorder="1" applyAlignment="1">
      <alignment horizontal="right" vertical="center" wrapText="1"/>
    </xf>
    <xf numFmtId="3" fontId="12" fillId="0" borderId="12" xfId="1" applyNumberFormat="1" applyFont="1" applyFill="1" applyBorder="1" applyAlignment="1">
      <alignment horizontal="right" vertical="center" wrapText="1"/>
    </xf>
    <xf numFmtId="0" fontId="11" fillId="18" borderId="6" xfId="1" applyFont="1" applyFill="1" applyAlignment="1">
      <alignment horizontal="center" vertical="top" wrapText="1"/>
    </xf>
    <xf numFmtId="0" fontId="11" fillId="18" borderId="6" xfId="1" applyFont="1" applyFill="1" applyBorder="1" applyAlignment="1">
      <alignment horizontal="center" vertical="top" wrapText="1"/>
    </xf>
    <xf numFmtId="0" fontId="2" fillId="17" borderId="12" xfId="0" applyFont="1" applyFill="1" applyBorder="1" applyAlignment="1">
      <alignment horizontal="left" vertical="top" wrapText="1"/>
    </xf>
    <xf numFmtId="0" fontId="2" fillId="17" borderId="12" xfId="0" applyFont="1" applyFill="1" applyBorder="1" applyAlignment="1">
      <alignment horizontal="center" vertical="top" wrapText="1"/>
    </xf>
    <xf numFmtId="9" fontId="0" fillId="17" borderId="12" xfId="0" applyNumberFormat="1" applyFill="1" applyBorder="1" applyAlignment="1">
      <alignment horizontal="center" vertical="top" wrapText="1"/>
    </xf>
    <xf numFmtId="49" fontId="2" fillId="17" borderId="12" xfId="0" applyNumberFormat="1" applyFont="1" applyFill="1" applyBorder="1" applyAlignment="1">
      <alignment horizontal="center" vertical="top" wrapText="1"/>
    </xf>
    <xf numFmtId="9" fontId="34" fillId="2" borderId="0" xfId="6" applyFont="1" applyFill="1" applyAlignment="1">
      <alignment horizontal="center" vertical="center" wrapText="1"/>
    </xf>
    <xf numFmtId="3" fontId="0" fillId="2" borderId="12" xfId="0" applyNumberFormat="1" applyFill="1" applyBorder="1" applyAlignment="1">
      <alignment horizontal="left" vertical="top" wrapText="1"/>
    </xf>
    <xf numFmtId="4" fontId="34" fillId="0" borderId="12" xfId="0" applyNumberFormat="1" applyFont="1" applyFill="1" applyBorder="1" applyAlignment="1">
      <alignment horizontal="left" vertical="center"/>
    </xf>
    <xf numFmtId="0" fontId="12" fillId="17" borderId="12" xfId="1" applyFont="1" applyFill="1" applyBorder="1" applyAlignment="1">
      <alignment horizontal="left" vertical="top" wrapText="1"/>
    </xf>
    <xf numFmtId="0" fontId="11" fillId="5" borderId="6" xfId="1" applyFont="1" applyFill="1" applyAlignment="1">
      <alignment horizontal="left" vertical="top" wrapText="1"/>
    </xf>
    <xf numFmtId="0" fontId="16" fillId="17" borderId="1" xfId="0" applyFont="1" applyFill="1" applyBorder="1" applyAlignment="1">
      <alignment horizontal="center" vertical="center" wrapText="1"/>
    </xf>
    <xf numFmtId="0" fontId="2" fillId="5" borderId="5" xfId="13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175" fontId="34" fillId="0" borderId="12" xfId="18" applyNumberFormat="1" applyFont="1" applyFill="1" applyBorder="1" applyAlignment="1">
      <alignment horizontal="center" vertical="center"/>
    </xf>
    <xf numFmtId="175" fontId="34" fillId="0" borderId="12" xfId="19" applyNumberFormat="1" applyFont="1" applyFill="1" applyBorder="1" applyAlignment="1">
      <alignment horizontal="center" vertical="center"/>
    </xf>
    <xf numFmtId="175" fontId="34" fillId="0" borderId="12" xfId="4" applyNumberFormat="1" applyFont="1" applyFill="1" applyBorder="1" applyAlignment="1">
      <alignment horizontal="center" vertical="center"/>
    </xf>
    <xf numFmtId="176" fontId="34" fillId="0" borderId="12" xfId="4" applyNumberFormat="1" applyFont="1" applyBorder="1" applyAlignment="1">
      <alignment horizontal="center"/>
    </xf>
    <xf numFmtId="176" fontId="42" fillId="0" borderId="12" xfId="4" applyNumberFormat="1" applyFont="1" applyBorder="1" applyAlignment="1">
      <alignment horizontal="center"/>
    </xf>
    <xf numFmtId="176" fontId="42" fillId="0" borderId="12" xfId="4" applyNumberFormat="1" applyFont="1" applyBorder="1" applyAlignment="1">
      <alignment horizontal="center" vertical="center"/>
    </xf>
    <xf numFmtId="9" fontId="11" fillId="5" borderId="6" xfId="1" applyNumberFormat="1" applyFont="1" applyFill="1" applyAlignment="1">
      <alignment horizontal="left" vertical="top" wrapText="1"/>
    </xf>
    <xf numFmtId="0" fontId="16" fillId="17" borderId="39" xfId="1" applyFont="1" applyFill="1" applyBorder="1" applyAlignment="1">
      <alignment horizontal="left" vertical="top" wrapText="1"/>
    </xf>
    <xf numFmtId="3" fontId="16" fillId="5" borderId="16" xfId="1" applyNumberFormat="1" applyFont="1" applyFill="1" applyBorder="1" applyAlignment="1">
      <alignment horizontal="right" vertical="center" wrapText="1"/>
    </xf>
    <xf numFmtId="0" fontId="16" fillId="0" borderId="6" xfId="1" applyFont="1" applyFill="1" applyBorder="1" applyAlignment="1">
      <alignment horizontal="left" vertical="top" wrapText="1"/>
    </xf>
    <xf numFmtId="0" fontId="16" fillId="0" borderId="50" xfId="1" applyFont="1" applyFill="1" applyBorder="1" applyAlignment="1">
      <alignment horizontal="left" vertical="top" wrapText="1"/>
    </xf>
    <xf numFmtId="0" fontId="16" fillId="0" borderId="11" xfId="1" applyFont="1" applyFill="1" applyBorder="1" applyAlignment="1">
      <alignment horizontal="left" vertical="top" wrapText="1"/>
    </xf>
    <xf numFmtId="0" fontId="16" fillId="0" borderId="42" xfId="1" applyFont="1" applyFill="1" applyBorder="1" applyAlignment="1">
      <alignment horizontal="left" vertical="top" wrapText="1"/>
    </xf>
    <xf numFmtId="0" fontId="16" fillId="0" borderId="41" xfId="1" applyFont="1" applyFill="1" applyBorder="1" applyAlignment="1">
      <alignment horizontal="left" vertical="top" wrapText="1"/>
    </xf>
    <xf numFmtId="0" fontId="11" fillId="5" borderId="51" xfId="1" applyFont="1" applyFill="1" applyBorder="1" applyAlignment="1">
      <alignment horizontal="left" vertical="top" wrapText="1"/>
    </xf>
    <xf numFmtId="0" fontId="11" fillId="5" borderId="38" xfId="1" applyFont="1" applyFill="1" applyBorder="1" applyAlignment="1">
      <alignment horizontal="left" vertical="top" wrapText="1"/>
    </xf>
    <xf numFmtId="0" fontId="11" fillId="5" borderId="14" xfId="1" applyFont="1" applyFill="1" applyBorder="1" applyAlignment="1">
      <alignment horizontal="left" vertical="top" wrapText="1"/>
    </xf>
    <xf numFmtId="0" fontId="11" fillId="5" borderId="6" xfId="1" applyFont="1" applyFill="1" applyAlignment="1">
      <alignment horizontal="left" vertical="top"/>
    </xf>
    <xf numFmtId="4" fontId="30" fillId="0" borderId="12" xfId="14" applyNumberFormat="1" applyFont="1" applyFill="1" applyBorder="1" applyProtection="1">
      <protection hidden="1"/>
    </xf>
    <xf numFmtId="0" fontId="31" fillId="17" borderId="7" xfId="1" applyFont="1" applyFill="1" applyBorder="1" applyAlignment="1">
      <alignment horizontal="left" vertical="top" wrapText="1"/>
    </xf>
    <xf numFmtId="0" fontId="12" fillId="5" borderId="6" xfId="1" applyFont="1" applyFill="1" applyAlignment="1">
      <alignment horizontal="left" vertical="top" wrapText="1"/>
    </xf>
    <xf numFmtId="0" fontId="31" fillId="17" borderId="5" xfId="1" applyFont="1" applyFill="1" applyBorder="1" applyAlignment="1">
      <alignment horizontal="left" vertical="top" wrapText="1"/>
    </xf>
    <xf numFmtId="0" fontId="12" fillId="17" borderId="7" xfId="1" applyFont="1" applyFill="1" applyBorder="1" applyAlignment="1">
      <alignment horizontal="left" vertical="top" wrapText="1"/>
    </xf>
    <xf numFmtId="0" fontId="49" fillId="2" borderId="12" xfId="0" applyFont="1" applyFill="1" applyBorder="1" applyAlignment="1">
      <alignment horizontal="center" vertical="top" wrapText="1"/>
    </xf>
    <xf numFmtId="0" fontId="12" fillId="5" borderId="12" xfId="1" applyFont="1" applyFill="1" applyBorder="1" applyAlignment="1">
      <alignment horizontal="left" vertical="top" wrapText="1"/>
    </xf>
    <xf numFmtId="0" fontId="12" fillId="0" borderId="12" xfId="1" applyFont="1" applyFill="1" applyBorder="1" applyAlignment="1">
      <alignment horizontal="left" vertical="top" wrapText="1"/>
    </xf>
    <xf numFmtId="0" fontId="19" fillId="0" borderId="6" xfId="17" applyFont="1" applyFill="1" applyBorder="1" applyAlignment="1" applyProtection="1">
      <alignment horizontal="center" vertical="center"/>
      <protection hidden="1"/>
    </xf>
    <xf numFmtId="9" fontId="11" fillId="5" borderId="12" xfId="1" applyNumberFormat="1" applyFont="1" applyFill="1" applyBorder="1" applyAlignment="1">
      <alignment horizontal="left" vertical="top" wrapText="1"/>
    </xf>
    <xf numFmtId="9" fontId="2" fillId="2" borderId="12" xfId="0" applyNumberFormat="1" applyFont="1" applyFill="1" applyBorder="1" applyAlignment="1">
      <alignment horizontal="left" vertical="top" wrapText="1"/>
    </xf>
    <xf numFmtId="0" fontId="27" fillId="5" borderId="6" xfId="1" applyFont="1" applyFill="1" applyBorder="1" applyAlignment="1">
      <alignment horizontal="left" vertical="top" wrapText="1"/>
    </xf>
    <xf numFmtId="9" fontId="2" fillId="2" borderId="6" xfId="0" applyNumberFormat="1" applyFont="1" applyFill="1" applyBorder="1" applyAlignment="1">
      <alignment horizontal="left" vertical="top" wrapText="1"/>
    </xf>
    <xf numFmtId="0" fontId="11" fillId="0" borderId="6" xfId="1" applyFont="1" applyFill="1" applyAlignment="1">
      <alignment horizontal="center" vertical="center" wrapText="1"/>
    </xf>
    <xf numFmtId="165" fontId="1" fillId="5" borderId="5" xfId="13" applyNumberFormat="1" applyFont="1" applyFill="1" applyBorder="1" applyAlignment="1">
      <alignment horizontal="right" vertical="top" wrapText="1"/>
    </xf>
    <xf numFmtId="3" fontId="11" fillId="5" borderId="5" xfId="1" applyNumberFormat="1" applyFont="1" applyFill="1" applyBorder="1" applyAlignment="1">
      <alignment horizontal="right" vertical="top" wrapText="1"/>
    </xf>
    <xf numFmtId="3" fontId="11" fillId="0" borderId="5" xfId="1" applyNumberFormat="1" applyFont="1" applyFill="1" applyBorder="1" applyAlignment="1">
      <alignment horizontal="right" vertical="top" wrapText="1"/>
    </xf>
    <xf numFmtId="3" fontId="16" fillId="5" borderId="5" xfId="1" applyNumberFormat="1" applyFont="1" applyFill="1" applyBorder="1" applyAlignment="1">
      <alignment horizontal="right" vertical="top" wrapText="1"/>
    </xf>
    <xf numFmtId="4" fontId="2" fillId="19" borderId="5" xfId="1" applyNumberFormat="1" applyFont="1" applyFill="1" applyBorder="1" applyAlignment="1">
      <alignment horizontal="right" vertical="top" wrapText="1"/>
    </xf>
    <xf numFmtId="4" fontId="2" fillId="19" borderId="3" xfId="0" applyNumberFormat="1" applyFont="1" applyFill="1" applyBorder="1" applyAlignment="1">
      <alignment horizontal="right" vertical="top" wrapText="1"/>
    </xf>
    <xf numFmtId="4" fontId="11" fillId="19" borderId="5" xfId="1" applyNumberFormat="1" applyFont="1" applyFill="1" applyBorder="1" applyAlignment="1">
      <alignment horizontal="right" vertical="top" wrapText="1"/>
    </xf>
    <xf numFmtId="4" fontId="2" fillId="5" borderId="6" xfId="1" applyNumberFormat="1" applyFont="1" applyFill="1" applyAlignment="1">
      <alignment horizontal="left" vertical="top" wrapText="1"/>
    </xf>
    <xf numFmtId="0" fontId="2" fillId="5" borderId="6" xfId="13" applyFont="1" applyFill="1" applyAlignment="1">
      <alignment horizontal="left" vertical="top" wrapText="1"/>
    </xf>
    <xf numFmtId="0" fontId="34" fillId="0" borderId="12" xfId="14" applyFont="1" applyBorder="1" applyAlignment="1" applyProtection="1">
      <alignment horizontal="center"/>
      <protection hidden="1"/>
    </xf>
    <xf numFmtId="4" fontId="35" fillId="0" borderId="6" xfId="4" applyNumberFormat="1" applyFont="1"/>
    <xf numFmtId="0" fontId="52" fillId="0" borderId="6" xfId="4" applyFont="1"/>
    <xf numFmtId="0" fontId="11" fillId="5" borderId="5" xfId="1" applyFont="1" applyFill="1" applyBorder="1" applyAlignment="1">
      <alignment horizontal="center" vertical="center" wrapText="1"/>
    </xf>
    <xf numFmtId="0" fontId="11" fillId="5" borderId="6" xfId="1" applyFont="1" applyFill="1" applyAlignment="1">
      <alignment horizontal="left" vertical="top" wrapText="1"/>
    </xf>
    <xf numFmtId="0" fontId="16" fillId="17" borderId="5" xfId="1" applyFont="1" applyFill="1" applyBorder="1" applyAlignment="1">
      <alignment horizontal="center" vertical="center" wrapText="1"/>
    </xf>
    <xf numFmtId="0" fontId="11" fillId="17" borderId="12" xfId="1" applyFont="1" applyFill="1" applyBorder="1" applyAlignment="1">
      <alignment horizontal="center" vertical="center" wrapText="1"/>
    </xf>
    <xf numFmtId="0" fontId="16" fillId="17" borderId="5" xfId="1" applyFont="1" applyFill="1" applyBorder="1" applyAlignment="1">
      <alignment horizontal="left" vertical="top" wrapText="1"/>
    </xf>
    <xf numFmtId="0" fontId="11" fillId="17" borderId="5" xfId="1" applyFont="1" applyFill="1" applyBorder="1" applyAlignment="1">
      <alignment horizontal="center" vertical="top" wrapText="1"/>
    </xf>
    <xf numFmtId="0" fontId="11" fillId="5" borderId="5" xfId="1" applyFont="1" applyFill="1" applyBorder="1" applyAlignment="1">
      <alignment horizontal="center" vertical="top" wrapText="1"/>
    </xf>
    <xf numFmtId="0" fontId="12" fillId="17" borderId="12" xfId="1" applyFont="1" applyFill="1" applyBorder="1" applyAlignment="1">
      <alignment horizontal="left" vertical="top" wrapText="1"/>
    </xf>
    <xf numFmtId="0" fontId="31" fillId="17" borderId="6" xfId="1" applyFont="1" applyFill="1" applyAlignment="1">
      <alignment horizontal="center" vertical="top" wrapText="1"/>
    </xf>
    <xf numFmtId="0" fontId="11" fillId="5" borderId="5" xfId="1" applyFont="1" applyFill="1" applyBorder="1" applyAlignment="1">
      <alignment horizontal="center" vertical="center" wrapText="1"/>
    </xf>
    <xf numFmtId="0" fontId="11" fillId="5" borderId="8" xfId="1" applyFont="1" applyFill="1" applyBorder="1" applyAlignment="1">
      <alignment horizontal="center" vertical="center" wrapText="1"/>
    </xf>
    <xf numFmtId="0" fontId="11" fillId="5" borderId="6" xfId="1" applyFont="1" applyFill="1" applyAlignment="1">
      <alignment horizontal="left" vertical="top" wrapText="1"/>
    </xf>
    <xf numFmtId="0" fontId="31" fillId="17" borderId="12" xfId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6" fillId="1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left" vertical="top" wrapText="1"/>
    </xf>
    <xf numFmtId="0" fontId="16" fillId="17" borderId="2" xfId="0" applyFont="1" applyFill="1" applyBorder="1" applyAlignment="1">
      <alignment horizontal="left" vertical="top" wrapText="1"/>
    </xf>
    <xf numFmtId="0" fontId="38" fillId="14" borderId="17" xfId="17" applyFont="1" applyFill="1" applyBorder="1" applyAlignment="1" applyProtection="1">
      <alignment horizontal="center"/>
      <protection hidden="1"/>
    </xf>
    <xf numFmtId="0" fontId="38" fillId="14" borderId="44" xfId="17" applyFont="1" applyFill="1" applyBorder="1" applyAlignment="1" applyProtection="1">
      <alignment horizontal="center"/>
      <protection hidden="1"/>
    </xf>
    <xf numFmtId="0" fontId="38" fillId="14" borderId="45" xfId="17" applyFont="1" applyFill="1" applyBorder="1" applyAlignment="1" applyProtection="1">
      <alignment horizontal="center"/>
      <protection hidden="1"/>
    </xf>
    <xf numFmtId="0" fontId="11" fillId="5" borderId="12" xfId="1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17" borderId="5" xfId="1" applyFont="1" applyFill="1" applyBorder="1" applyAlignment="1">
      <alignment horizontal="left" vertical="top" wrapText="1"/>
    </xf>
    <xf numFmtId="0" fontId="16" fillId="17" borderId="5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16" fillId="5" borderId="5" xfId="1" applyFont="1" applyFill="1" applyBorder="1" applyAlignment="1">
      <alignment horizontal="left" vertical="top" wrapText="1"/>
    </xf>
    <xf numFmtId="0" fontId="16" fillId="0" borderId="9" xfId="1" applyFont="1" applyFill="1" applyBorder="1" applyAlignment="1">
      <alignment horizontal="left" vertical="top" wrapText="1"/>
    </xf>
    <xf numFmtId="0" fontId="2" fillId="5" borderId="6" xfId="1" applyFont="1" applyFill="1" applyAlignment="1">
      <alignment horizontal="left" vertical="top" wrapText="1"/>
    </xf>
    <xf numFmtId="0" fontId="2" fillId="17" borderId="5" xfId="1" applyFont="1" applyFill="1" applyBorder="1" applyAlignment="1">
      <alignment horizontal="left" vertical="center" wrapText="1"/>
    </xf>
    <xf numFmtId="0" fontId="16" fillId="0" borderId="5" xfId="1" applyFont="1" applyFill="1" applyBorder="1" applyAlignment="1">
      <alignment horizontal="left" vertical="top" wrapText="1"/>
    </xf>
    <xf numFmtId="0" fontId="30" fillId="17" borderId="10" xfId="8" applyFont="1" applyFill="1" applyBorder="1" applyAlignment="1" applyProtection="1">
      <alignment horizontal="center" vertical="center" wrapText="1"/>
      <protection hidden="1"/>
    </xf>
    <xf numFmtId="0" fontId="30" fillId="17" borderId="15" xfId="8" applyFont="1" applyFill="1" applyBorder="1" applyAlignment="1" applyProtection="1">
      <alignment horizontal="center" vertical="center" wrapText="1"/>
      <protection hidden="1"/>
    </xf>
    <xf numFmtId="167" fontId="34" fillId="17" borderId="12" xfId="7" applyFont="1" applyFill="1" applyBorder="1" applyAlignment="1" applyProtection="1">
      <alignment horizontal="center" vertical="center"/>
      <protection hidden="1"/>
    </xf>
    <xf numFmtId="0" fontId="34" fillId="17" borderId="10" xfId="9" applyFont="1" applyFill="1" applyBorder="1" applyAlignment="1" applyProtection="1">
      <alignment horizontal="center" vertical="center"/>
      <protection hidden="1"/>
    </xf>
    <xf numFmtId="0" fontId="34" fillId="17" borderId="15" xfId="9" applyFont="1" applyFill="1" applyBorder="1" applyAlignment="1" applyProtection="1">
      <alignment horizontal="center" vertical="center"/>
      <protection hidden="1"/>
    </xf>
    <xf numFmtId="4" fontId="34" fillId="0" borderId="12" xfId="0" applyNumberFormat="1" applyFont="1" applyFill="1" applyBorder="1" applyAlignment="1">
      <alignment horizontal="left" vertical="center"/>
    </xf>
    <xf numFmtId="10" fontId="34" fillId="0" borderId="12" xfId="6" applyNumberFormat="1" applyFont="1" applyFill="1" applyBorder="1" applyAlignment="1">
      <alignment horizontal="left"/>
    </xf>
    <xf numFmtId="10" fontId="2" fillId="2" borderId="12" xfId="6" applyNumberFormat="1" applyFont="1" applyFill="1" applyBorder="1" applyAlignment="1">
      <alignment horizontal="left" vertical="top" wrapText="1"/>
    </xf>
    <xf numFmtId="174" fontId="34" fillId="0" borderId="12" xfId="0" applyNumberFormat="1" applyFont="1" applyFill="1" applyBorder="1" applyAlignment="1">
      <alignment horizontal="left"/>
    </xf>
    <xf numFmtId="174" fontId="2" fillId="2" borderId="12" xfId="0" applyNumberFormat="1" applyFont="1" applyFill="1" applyBorder="1" applyAlignment="1">
      <alignment horizontal="left"/>
    </xf>
    <xf numFmtId="0" fontId="11" fillId="17" borderId="10" xfId="1" applyFont="1" applyFill="1" applyBorder="1" applyAlignment="1">
      <alignment horizontal="center" vertical="center" wrapText="1"/>
    </xf>
    <xf numFmtId="0" fontId="11" fillId="17" borderId="13" xfId="1" applyFont="1" applyFill="1" applyBorder="1" applyAlignment="1">
      <alignment horizontal="center" vertical="center" wrapText="1"/>
    </xf>
    <xf numFmtId="0" fontId="2" fillId="17" borderId="13" xfId="0" applyFont="1" applyFill="1" applyBorder="1" applyAlignment="1">
      <alignment horizontal="left" vertical="top" wrapText="1"/>
    </xf>
    <xf numFmtId="0" fontId="2" fillId="17" borderId="15" xfId="0" applyFont="1" applyFill="1" applyBorder="1" applyAlignment="1">
      <alignment horizontal="left" vertical="top" wrapText="1"/>
    </xf>
    <xf numFmtId="0" fontId="27" fillId="0" borderId="12" xfId="1" applyFont="1" applyFill="1" applyBorder="1" applyAlignment="1">
      <alignment horizontal="center" vertical="top" wrapText="1"/>
    </xf>
    <xf numFmtId="0" fontId="27" fillId="2" borderId="12" xfId="0" applyFont="1" applyFill="1" applyBorder="1" applyAlignment="1">
      <alignment horizontal="center" vertical="top" wrapText="1"/>
    </xf>
    <xf numFmtId="0" fontId="2" fillId="17" borderId="13" xfId="0" applyFont="1" applyFill="1" applyBorder="1" applyAlignment="1">
      <alignment horizontal="center" vertical="center" wrapText="1"/>
    </xf>
    <xf numFmtId="0" fontId="11" fillId="17" borderId="12" xfId="1" applyFont="1" applyFill="1" applyBorder="1" applyAlignment="1">
      <alignment horizontal="center" vertical="center" wrapText="1"/>
    </xf>
    <xf numFmtId="0" fontId="16" fillId="17" borderId="5" xfId="1" applyFont="1" applyFill="1" applyBorder="1" applyAlignment="1">
      <alignment horizontal="left" vertical="top" wrapText="1"/>
    </xf>
    <xf numFmtId="0" fontId="12" fillId="17" borderId="7" xfId="1" applyFont="1" applyFill="1" applyBorder="1" applyAlignment="1">
      <alignment horizontal="left" vertical="top" wrapText="1"/>
    </xf>
    <xf numFmtId="0" fontId="12" fillId="17" borderId="9" xfId="1" applyFont="1" applyFill="1" applyBorder="1" applyAlignment="1">
      <alignment horizontal="left" vertical="top" wrapText="1"/>
    </xf>
    <xf numFmtId="0" fontId="51" fillId="17" borderId="7" xfId="1" applyFont="1" applyFill="1" applyBorder="1" applyAlignment="1">
      <alignment horizontal="left" vertical="top" wrapText="1"/>
    </xf>
    <xf numFmtId="0" fontId="51" fillId="17" borderId="9" xfId="1" applyFont="1" applyFill="1" applyBorder="1" applyAlignment="1">
      <alignment horizontal="left" vertical="top" wrapText="1"/>
    </xf>
    <xf numFmtId="0" fontId="11" fillId="17" borderId="5" xfId="1" applyFont="1" applyFill="1" applyBorder="1" applyAlignment="1">
      <alignment horizontal="left" vertical="top" wrapText="1"/>
    </xf>
    <xf numFmtId="0" fontId="39" fillId="17" borderId="5" xfId="1" applyFont="1" applyFill="1" applyBorder="1" applyAlignment="1">
      <alignment horizontal="left" vertical="top" wrapText="1"/>
    </xf>
    <xf numFmtId="0" fontId="12" fillId="17" borderId="5" xfId="1" applyFont="1" applyFill="1" applyBorder="1" applyAlignment="1">
      <alignment horizontal="left" vertical="top" wrapText="1"/>
    </xf>
    <xf numFmtId="0" fontId="50" fillId="17" borderId="5" xfId="1" applyFont="1" applyFill="1" applyBorder="1" applyAlignment="1">
      <alignment horizontal="left" vertical="top" wrapText="1"/>
    </xf>
    <xf numFmtId="0" fontId="51" fillId="17" borderId="5" xfId="1" applyFont="1" applyFill="1" applyBorder="1" applyAlignment="1">
      <alignment horizontal="left" vertical="top" wrapText="1"/>
    </xf>
    <xf numFmtId="0" fontId="11" fillId="17" borderId="5" xfId="1" applyFont="1" applyFill="1" applyBorder="1" applyAlignment="1">
      <alignment horizontal="center" vertical="top" wrapText="1"/>
    </xf>
    <xf numFmtId="0" fontId="11" fillId="5" borderId="5" xfId="1" applyFont="1" applyFill="1" applyBorder="1" applyAlignment="1">
      <alignment horizontal="center" vertical="top" wrapText="1"/>
    </xf>
    <xf numFmtId="0" fontId="34" fillId="0" borderId="12" xfId="14" applyFont="1" applyBorder="1" applyAlignment="1" applyProtection="1">
      <alignment horizontal="center"/>
      <protection hidden="1"/>
    </xf>
    <xf numFmtId="0" fontId="38" fillId="0" borderId="6" xfId="17" applyFont="1" applyFill="1" applyBorder="1" applyAlignment="1" applyProtection="1">
      <alignment horizontal="center"/>
      <protection hidden="1"/>
    </xf>
    <xf numFmtId="0" fontId="2" fillId="17" borderId="5" xfId="13" applyFont="1" applyFill="1" applyBorder="1" applyAlignment="1">
      <alignment horizontal="center" vertical="center" wrapText="1"/>
    </xf>
    <xf numFmtId="0" fontId="2" fillId="17" borderId="6" xfId="13" applyFont="1" applyFill="1" applyAlignment="1">
      <alignment horizontal="right" vertical="center" wrapText="1"/>
    </xf>
    <xf numFmtId="0" fontId="2" fillId="17" borderId="9" xfId="13" applyFont="1" applyFill="1" applyBorder="1" applyAlignment="1">
      <alignment horizontal="right" vertical="center" wrapText="1"/>
    </xf>
    <xf numFmtId="0" fontId="2" fillId="17" borderId="5" xfId="13" applyFont="1" applyFill="1" applyBorder="1" applyAlignment="1">
      <alignment horizontal="left" vertical="center" wrapText="1"/>
    </xf>
    <xf numFmtId="0" fontId="2" fillId="5" borderId="5" xfId="13" applyFont="1" applyFill="1" applyBorder="1" applyAlignment="1">
      <alignment horizontal="left" vertical="center" wrapText="1"/>
    </xf>
    <xf numFmtId="170" fontId="2" fillId="5" borderId="5" xfId="13" applyNumberFormat="1" applyFont="1" applyFill="1" applyBorder="1" applyAlignment="1">
      <alignment horizontal="right" vertical="center" wrapText="1"/>
    </xf>
    <xf numFmtId="0" fontId="16" fillId="5" borderId="5" xfId="13" applyFont="1" applyFill="1" applyBorder="1" applyAlignment="1">
      <alignment horizontal="left" vertical="top" wrapText="1"/>
    </xf>
    <xf numFmtId="0" fontId="16" fillId="5" borderId="5" xfId="13" applyFont="1" applyFill="1" applyBorder="1" applyAlignment="1">
      <alignment horizontal="center" vertical="top" wrapText="1"/>
    </xf>
    <xf numFmtId="0" fontId="16" fillId="5" borderId="5" xfId="13" applyFont="1" applyFill="1" applyBorder="1" applyAlignment="1">
      <alignment horizontal="right" vertical="top" wrapText="1"/>
    </xf>
    <xf numFmtId="0" fontId="2" fillId="5" borderId="6" xfId="13" applyFont="1" applyFill="1" applyAlignment="1">
      <alignment horizontal="left" vertical="top" wrapText="1"/>
    </xf>
    <xf numFmtId="0" fontId="16" fillId="17" borderId="39" xfId="13" applyFont="1" applyFill="1" applyBorder="1" applyAlignment="1">
      <alignment horizontal="left" vertical="top" wrapText="1"/>
    </xf>
    <xf numFmtId="0" fontId="16" fillId="17" borderId="16" xfId="0" applyFont="1" applyFill="1" applyBorder="1" applyAlignment="1">
      <alignment horizontal="left" vertical="top" wrapText="1"/>
    </xf>
    <xf numFmtId="0" fontId="16" fillId="2" borderId="16" xfId="0" applyFont="1" applyFill="1" applyBorder="1" applyAlignment="1">
      <alignment horizontal="left" vertical="top" wrapText="1"/>
    </xf>
    <xf numFmtId="0" fontId="43" fillId="0" borderId="12" xfId="0" applyFont="1" applyFill="1" applyBorder="1" applyAlignment="1">
      <alignment horizontal="center" vertical="center" wrapText="1"/>
    </xf>
    <xf numFmtId="2" fontId="34" fillId="0" borderId="50" xfId="4" applyNumberFormat="1" applyFont="1" applyFill="1" applyBorder="1" applyAlignment="1">
      <alignment horizontal="center" vertical="center"/>
    </xf>
    <xf numFmtId="2" fontId="34" fillId="0" borderId="43" xfId="4" applyNumberFormat="1" applyFont="1" applyFill="1" applyBorder="1" applyAlignment="1">
      <alignment horizontal="center" vertical="center"/>
    </xf>
    <xf numFmtId="2" fontId="34" fillId="0" borderId="11" xfId="4" applyNumberFormat="1" applyFont="1" applyFill="1" applyBorder="1" applyAlignment="1">
      <alignment horizontal="center" vertical="center"/>
    </xf>
    <xf numFmtId="176" fontId="34" fillId="0" borderId="39" xfId="19" applyNumberFormat="1" applyFont="1" applyFill="1" applyBorder="1" applyAlignment="1">
      <alignment horizontal="center" vertical="center" wrapText="1"/>
    </xf>
    <xf numFmtId="176" fontId="34" fillId="0" borderId="49" xfId="19" applyNumberFormat="1" applyFont="1" applyFill="1" applyBorder="1" applyAlignment="1">
      <alignment horizontal="center" vertical="center" wrapText="1"/>
    </xf>
    <xf numFmtId="176" fontId="34" fillId="0" borderId="16" xfId="19" applyNumberFormat="1" applyFont="1" applyFill="1" applyBorder="1" applyAlignment="1">
      <alignment horizontal="center" vertical="center" wrapText="1"/>
    </xf>
    <xf numFmtId="0" fontId="34" fillId="17" borderId="12" xfId="4" applyFont="1" applyFill="1" applyBorder="1" applyAlignment="1">
      <alignment horizontal="center" vertical="center" wrapText="1"/>
    </xf>
    <xf numFmtId="0" fontId="34" fillId="17" borderId="10" xfId="4" applyFont="1" applyFill="1" applyBorder="1" applyAlignment="1">
      <alignment horizontal="center" vertical="center" wrapText="1"/>
    </xf>
    <xf numFmtId="49" fontId="30" fillId="0" borderId="12" xfId="4" applyNumberFormat="1" applyFont="1" applyFill="1" applyBorder="1" applyAlignment="1">
      <alignment horizontal="center" vertical="center"/>
    </xf>
    <xf numFmtId="49" fontId="30" fillId="0" borderId="10" xfId="4" applyNumberFormat="1" applyFont="1" applyFill="1" applyBorder="1" applyAlignment="1">
      <alignment horizontal="center" vertical="center"/>
    </xf>
    <xf numFmtId="176" fontId="34" fillId="0" borderId="10" xfId="4" applyNumberFormat="1" applyFont="1" applyFill="1" applyBorder="1" applyAlignment="1">
      <alignment horizontal="center" vertical="center" wrapText="1"/>
    </xf>
    <xf numFmtId="176" fontId="34" fillId="0" borderId="15" xfId="4" applyNumberFormat="1" applyFont="1" applyFill="1" applyBorder="1" applyAlignment="1">
      <alignment horizontal="center" vertical="center" wrapText="1"/>
    </xf>
    <xf numFmtId="0" fontId="34" fillId="17" borderId="10" xfId="19" applyFont="1" applyFill="1" applyBorder="1" applyAlignment="1">
      <alignment horizontal="center" vertical="center" wrapText="1"/>
    </xf>
    <xf numFmtId="0" fontId="34" fillId="17" borderId="13" xfId="19" applyFont="1" applyFill="1" applyBorder="1" applyAlignment="1">
      <alignment horizontal="center" vertical="center" wrapText="1"/>
    </xf>
    <xf numFmtId="0" fontId="34" fillId="17" borderId="15" xfId="19" applyFont="1" applyFill="1" applyBorder="1" applyAlignment="1">
      <alignment horizontal="center" vertical="center" wrapText="1"/>
    </xf>
    <xf numFmtId="49" fontId="30" fillId="0" borderId="10" xfId="19" applyNumberFormat="1" applyFont="1" applyFill="1" applyBorder="1" applyAlignment="1">
      <alignment horizontal="center" vertical="center"/>
    </xf>
    <xf numFmtId="49" fontId="30" fillId="0" borderId="13" xfId="19" applyNumberFormat="1" applyFont="1" applyFill="1" applyBorder="1" applyAlignment="1">
      <alignment horizontal="center" vertical="center"/>
    </xf>
    <xf numFmtId="49" fontId="30" fillId="0" borderId="15" xfId="19" applyNumberFormat="1" applyFont="1" applyFill="1" applyBorder="1" applyAlignment="1">
      <alignment horizontal="center" vertical="center"/>
    </xf>
    <xf numFmtId="176" fontId="34" fillId="0" borderId="10" xfId="19" applyNumberFormat="1" applyFont="1" applyFill="1" applyBorder="1" applyAlignment="1">
      <alignment horizontal="center" vertical="center" wrapText="1"/>
    </xf>
    <xf numFmtId="176" fontId="34" fillId="0" borderId="15" xfId="19" applyNumberFormat="1" applyFont="1" applyFill="1" applyBorder="1" applyAlignment="1">
      <alignment horizontal="center" vertical="center" wrapText="1"/>
    </xf>
    <xf numFmtId="176" fontId="34" fillId="0" borderId="10" xfId="4" applyNumberFormat="1" applyFont="1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2" fontId="34" fillId="0" borderId="39" xfId="4" applyNumberFormat="1" applyFont="1" applyFill="1" applyBorder="1" applyAlignment="1">
      <alignment horizontal="center" vertical="center"/>
    </xf>
    <xf numFmtId="2" fontId="34" fillId="0" borderId="49" xfId="4" applyNumberFormat="1" applyFont="1" applyFill="1" applyBorder="1" applyAlignment="1">
      <alignment horizontal="center" vertical="center"/>
    </xf>
    <xf numFmtId="2" fontId="34" fillId="0" borderId="16" xfId="4" applyNumberFormat="1" applyFont="1" applyFill="1" applyBorder="1" applyAlignment="1">
      <alignment horizontal="center" vertical="center"/>
    </xf>
    <xf numFmtId="176" fontId="34" fillId="0" borderId="10" xfId="18" applyNumberFormat="1" applyFont="1" applyFill="1" applyBorder="1" applyAlignment="1">
      <alignment horizontal="center" vertical="center" wrapText="1"/>
    </xf>
    <xf numFmtId="176" fontId="34" fillId="0" borderId="15" xfId="18" applyNumberFormat="1" applyFont="1" applyFill="1" applyBorder="1" applyAlignment="1">
      <alignment horizontal="center" vertical="center" wrapText="1"/>
    </xf>
    <xf numFmtId="2" fontId="43" fillId="0" borderId="12" xfId="19" applyNumberFormat="1" applyFont="1" applyFill="1" applyBorder="1" applyAlignment="1">
      <alignment horizontal="center" vertical="center" wrapText="1"/>
    </xf>
    <xf numFmtId="176" fontId="34" fillId="0" borderId="10" xfId="18" applyNumberFormat="1" applyFont="1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 wrapText="1"/>
    </xf>
    <xf numFmtId="2" fontId="43" fillId="0" borderId="39" xfId="18" applyNumberFormat="1" applyFont="1" applyFill="1" applyBorder="1" applyAlignment="1">
      <alignment horizontal="center" vertical="center"/>
    </xf>
    <xf numFmtId="2" fontId="43" fillId="0" borderId="16" xfId="18" applyNumberFormat="1" applyFont="1" applyFill="1" applyBorder="1" applyAlignment="1">
      <alignment horizontal="center" vertical="center"/>
    </xf>
    <xf numFmtId="2" fontId="43" fillId="0" borderId="49" xfId="18" applyNumberFormat="1" applyFont="1" applyFill="1" applyBorder="1" applyAlignment="1">
      <alignment horizontal="center" vertical="center" wrapText="1"/>
    </xf>
    <xf numFmtId="2" fontId="43" fillId="0" borderId="16" xfId="18" applyNumberFormat="1" applyFont="1" applyFill="1" applyBorder="1" applyAlignment="1">
      <alignment horizontal="center" vertical="center" wrapText="1"/>
    </xf>
    <xf numFmtId="2" fontId="43" fillId="0" borderId="39" xfId="19" applyNumberFormat="1" applyFont="1" applyFill="1" applyBorder="1" applyAlignment="1">
      <alignment horizontal="center" vertical="center"/>
    </xf>
    <xf numFmtId="2" fontId="43" fillId="0" borderId="16" xfId="19" applyNumberFormat="1" applyFont="1" applyFill="1" applyBorder="1" applyAlignment="1">
      <alignment horizontal="center" vertical="center"/>
    </xf>
    <xf numFmtId="2" fontId="43" fillId="0" borderId="39" xfId="0" applyNumberFormat="1" applyFont="1" applyFill="1" applyBorder="1" applyAlignment="1">
      <alignment horizontal="center" vertical="center" wrapText="1"/>
    </xf>
    <xf numFmtId="2" fontId="43" fillId="0" borderId="16" xfId="0" applyNumberFormat="1" applyFont="1" applyFill="1" applyBorder="1" applyAlignment="1">
      <alignment horizontal="center" vertical="center" wrapText="1"/>
    </xf>
    <xf numFmtId="0" fontId="34" fillId="17" borderId="10" xfId="18" applyFont="1" applyFill="1" applyBorder="1" applyAlignment="1">
      <alignment horizontal="center" vertical="center" wrapText="1"/>
    </xf>
    <xf numFmtId="0" fontId="34" fillId="17" borderId="13" xfId="18" applyFont="1" applyFill="1" applyBorder="1" applyAlignment="1">
      <alignment horizontal="center" vertical="center" wrapText="1"/>
    </xf>
    <xf numFmtId="0" fontId="34" fillId="17" borderId="15" xfId="18" applyFont="1" applyFill="1" applyBorder="1" applyAlignment="1">
      <alignment horizontal="center" vertical="center" wrapText="1"/>
    </xf>
    <xf numFmtId="49" fontId="30" fillId="0" borderId="10" xfId="18" applyNumberFormat="1" applyFont="1" applyFill="1" applyBorder="1" applyAlignment="1">
      <alignment horizontal="center" vertical="center"/>
    </xf>
    <xf numFmtId="49" fontId="30" fillId="0" borderId="13" xfId="18" applyNumberFormat="1" applyFont="1" applyFill="1" applyBorder="1" applyAlignment="1">
      <alignment horizontal="center" vertical="center"/>
    </xf>
    <xf numFmtId="49" fontId="30" fillId="0" borderId="15" xfId="18" applyNumberFormat="1" applyFont="1" applyFill="1" applyBorder="1" applyAlignment="1">
      <alignment horizontal="center" vertical="center"/>
    </xf>
    <xf numFmtId="176" fontId="34" fillId="0" borderId="39" xfId="18" applyNumberFormat="1" applyFont="1" applyFill="1" applyBorder="1" applyAlignment="1">
      <alignment horizontal="center" vertical="center"/>
    </xf>
    <xf numFmtId="176" fontId="34" fillId="0" borderId="49" xfId="18" applyNumberFormat="1" applyFont="1" applyFill="1" applyBorder="1" applyAlignment="1">
      <alignment horizontal="center" vertical="center"/>
    </xf>
    <xf numFmtId="176" fontId="34" fillId="0" borderId="16" xfId="18" applyNumberFormat="1" applyFont="1" applyFill="1" applyBorder="1" applyAlignment="1">
      <alignment horizontal="center" vertical="center"/>
    </xf>
    <xf numFmtId="0" fontId="42" fillId="17" borderId="12" xfId="4" applyFont="1" applyFill="1" applyBorder="1" applyAlignment="1">
      <alignment horizontal="center" vertical="center"/>
    </xf>
    <xf numFmtId="0" fontId="34" fillId="0" borderId="10" xfId="4" applyFont="1" applyFill="1" applyBorder="1" applyAlignment="1">
      <alignment horizontal="center" vertical="center" wrapText="1"/>
    </xf>
    <xf numFmtId="0" fontId="34" fillId="0" borderId="13" xfId="4" applyFont="1" applyFill="1" applyBorder="1" applyAlignment="1">
      <alignment horizontal="center" vertical="center" wrapText="1"/>
    </xf>
    <xf numFmtId="0" fontId="34" fillId="0" borderId="15" xfId="4" applyFont="1" applyFill="1" applyBorder="1" applyAlignment="1">
      <alignment horizontal="center" vertical="center" wrapText="1"/>
    </xf>
    <xf numFmtId="0" fontId="30" fillId="0" borderId="10" xfId="4" applyFont="1" applyFill="1" applyBorder="1" applyAlignment="1">
      <alignment horizontal="center" vertical="center" wrapText="1"/>
    </xf>
    <xf numFmtId="0" fontId="30" fillId="0" borderId="13" xfId="4" applyFont="1" applyFill="1" applyBorder="1" applyAlignment="1">
      <alignment horizontal="center" vertical="center" wrapText="1"/>
    </xf>
    <xf numFmtId="0" fontId="30" fillId="0" borderId="15" xfId="4" applyFont="1" applyFill="1" applyBorder="1" applyAlignment="1">
      <alignment horizontal="center" vertical="center" wrapText="1"/>
    </xf>
    <xf numFmtId="2" fontId="34" fillId="0" borderId="10" xfId="4" applyNumberFormat="1" applyFont="1" applyFill="1" applyBorder="1" applyAlignment="1">
      <alignment horizontal="center" vertical="center"/>
    </xf>
    <xf numFmtId="2" fontId="34" fillId="0" borderId="15" xfId="4" applyNumberFormat="1" applyFont="1" applyFill="1" applyBorder="1" applyAlignment="1">
      <alignment horizontal="center" vertical="center"/>
    </xf>
    <xf numFmtId="2" fontId="43" fillId="0" borderId="49" xfId="0" applyNumberFormat="1" applyFont="1" applyFill="1" applyBorder="1" applyAlignment="1">
      <alignment horizontal="center" vertical="center" wrapText="1"/>
    </xf>
    <xf numFmtId="0" fontId="42" fillId="17" borderId="10" xfId="4" applyFont="1" applyFill="1" applyBorder="1" applyAlignment="1">
      <alignment horizontal="center" vertical="center"/>
    </xf>
    <xf numFmtId="0" fontId="42" fillId="17" borderId="15" xfId="4" applyFont="1" applyFill="1" applyBorder="1" applyAlignment="1">
      <alignment horizontal="center" vertical="center"/>
    </xf>
    <xf numFmtId="0" fontId="42" fillId="17" borderId="10" xfId="4" applyFont="1" applyFill="1" applyBorder="1" applyAlignment="1">
      <alignment horizontal="center" vertical="center" wrapText="1"/>
    </xf>
    <xf numFmtId="0" fontId="42" fillId="17" borderId="15" xfId="4" applyFont="1" applyFill="1" applyBorder="1" applyAlignment="1">
      <alignment horizontal="center" vertical="center" wrapText="1"/>
    </xf>
    <xf numFmtId="0" fontId="42" fillId="17" borderId="39" xfId="4" applyFont="1" applyFill="1" applyBorder="1" applyAlignment="1">
      <alignment horizontal="center" vertical="center" wrapText="1"/>
    </xf>
    <xf numFmtId="0" fontId="42" fillId="17" borderId="49" xfId="4" applyFont="1" applyFill="1" applyBorder="1" applyAlignment="1">
      <alignment horizontal="center" vertical="center" wrapText="1"/>
    </xf>
    <xf numFmtId="0" fontId="42" fillId="17" borderId="16" xfId="4" applyFont="1" applyFill="1" applyBorder="1" applyAlignment="1">
      <alignment horizontal="center" vertical="center" wrapText="1"/>
    </xf>
    <xf numFmtId="0" fontId="42" fillId="0" borderId="35" xfId="4" applyFont="1" applyFill="1" applyBorder="1" applyAlignment="1">
      <alignment horizontal="center"/>
    </xf>
    <xf numFmtId="0" fontId="42" fillId="0" borderId="36" xfId="4" applyFont="1" applyFill="1" applyBorder="1" applyAlignment="1">
      <alignment horizontal="center"/>
    </xf>
    <xf numFmtId="0" fontId="34" fillId="0" borderId="6" xfId="2" applyFont="1" applyFill="1" applyAlignment="1">
      <alignment horizontal="center"/>
    </xf>
    <xf numFmtId="0" fontId="6" fillId="0" borderId="6" xfId="4" applyFont="1" applyAlignment="1">
      <alignment vertical="top" wrapText="1"/>
    </xf>
    <xf numFmtId="0" fontId="8" fillId="0" borderId="6" xfId="4" applyAlignment="1">
      <alignment vertical="top" wrapText="1"/>
    </xf>
    <xf numFmtId="0" fontId="22" fillId="0" borderId="6" xfId="9" applyFont="1" applyAlignment="1">
      <alignment horizontal="center"/>
    </xf>
    <xf numFmtId="0" fontId="11" fillId="5" borderId="6" xfId="13" applyFill="1" applyAlignment="1">
      <alignment horizontal="left" vertical="top" wrapText="1"/>
    </xf>
    <xf numFmtId="165" fontId="1" fillId="5" borderId="5" xfId="13" applyNumberFormat="1" applyFont="1" applyFill="1" applyBorder="1" applyAlignment="1">
      <alignment horizontal="right" vertical="top" wrapText="1"/>
    </xf>
    <xf numFmtId="0" fontId="1" fillId="5" borderId="5" xfId="13" applyFont="1" applyFill="1" applyBorder="1" applyAlignment="1">
      <alignment horizontal="left" vertical="top" wrapText="1"/>
    </xf>
    <xf numFmtId="0" fontId="1" fillId="10" borderId="5" xfId="13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</cellXfs>
  <cellStyles count="20">
    <cellStyle name="Akcent 1 3" xfId="10" xr:uid="{00000000-0005-0000-0000-000000000000}"/>
    <cellStyle name="Dobry 2" xfId="19" xr:uid="{00000000-0005-0000-0000-000001000000}"/>
    <cellStyle name="Hiperłącze 2" xfId="3" xr:uid="{00000000-0005-0000-0000-000002000000}"/>
    <cellStyle name="Hiperłącze 3" xfId="5" xr:uid="{00000000-0005-0000-0000-000003000000}"/>
    <cellStyle name="Neutralny 2" xfId="18" xr:uid="{00000000-0005-0000-0000-000004000000}"/>
    <cellStyle name="Normalny" xfId="0" builtinId="0"/>
    <cellStyle name="Normalny 2" xfId="1" xr:uid="{00000000-0005-0000-0000-000006000000}"/>
    <cellStyle name="Normalny 2 2" xfId="9" xr:uid="{00000000-0005-0000-0000-000007000000}"/>
    <cellStyle name="Normalny 2 3" xfId="8" xr:uid="{00000000-0005-0000-0000-000008000000}"/>
    <cellStyle name="Normalny 2 32" xfId="14" xr:uid="{00000000-0005-0000-0000-000009000000}"/>
    <cellStyle name="Normalny 3" xfId="2" xr:uid="{00000000-0005-0000-0000-00000A000000}"/>
    <cellStyle name="Normalny 3 2" xfId="17" xr:uid="{00000000-0005-0000-0000-00000B000000}"/>
    <cellStyle name="Normalny 4" xfId="4" xr:uid="{00000000-0005-0000-0000-00000C000000}"/>
    <cellStyle name="Normalny 5" xfId="13" xr:uid="{00000000-0005-0000-0000-00000D000000}"/>
    <cellStyle name="Normalny_Business P&amp;L_012006" xfId="7" xr:uid="{00000000-0005-0000-0000-00000E000000}"/>
    <cellStyle name="Normalny_KON" xfId="12" xr:uid="{00000000-0005-0000-0000-00000F000000}"/>
    <cellStyle name="Procentowy" xfId="6" builtinId="5"/>
    <cellStyle name="Procentowy 2" xfId="15" xr:uid="{00000000-0005-0000-0000-000011000000}"/>
    <cellStyle name="Procentowy 2 2" xfId="11" xr:uid="{00000000-0005-0000-0000-000012000000}"/>
    <cellStyle name="Procentowy 3" xfId="16" xr:uid="{00000000-0005-0000-0000-000013000000}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externalLink" Target="externalLinks/externalLink14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9.xml"/><Relationship Id="rId42" Type="http://schemas.openxmlformats.org/officeDocument/2006/relationships/externalLink" Target="externalLinks/externalLink17.xml"/><Relationship Id="rId47" Type="http://schemas.openxmlformats.org/officeDocument/2006/relationships/externalLink" Target="externalLinks/externalLink22.xml"/><Relationship Id="rId50" Type="http://schemas.openxmlformats.org/officeDocument/2006/relationships/externalLink" Target="externalLinks/externalLink25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38" Type="http://schemas.openxmlformats.org/officeDocument/2006/relationships/externalLink" Target="externalLinks/externalLink13.xml"/><Relationship Id="rId46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41" Type="http://schemas.openxmlformats.org/officeDocument/2006/relationships/externalLink" Target="externalLinks/externalLink16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externalLink" Target="externalLinks/externalLink12.xml"/><Relationship Id="rId40" Type="http://schemas.openxmlformats.org/officeDocument/2006/relationships/externalLink" Target="externalLinks/externalLink15.xml"/><Relationship Id="rId45" Type="http://schemas.openxmlformats.org/officeDocument/2006/relationships/externalLink" Target="externalLinks/externalLink20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externalLink" Target="externalLinks/externalLink11.xml"/><Relationship Id="rId49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4" Type="http://schemas.openxmlformats.org/officeDocument/2006/relationships/externalLink" Target="externalLinks/externalLink19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Relationship Id="rId43" Type="http://schemas.openxmlformats.org/officeDocument/2006/relationships/externalLink" Target="externalLinks/externalLink18.xml"/><Relationship Id="rId48" Type="http://schemas.openxmlformats.org/officeDocument/2006/relationships/externalLink" Target="externalLinks/externalLink23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pl-PL" b="1"/>
              <a:t>Zysk/Strata netto skumulowany za lata 2025-2036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'Analiza wrażliwości'!$B$4</c:f>
              <c:strCache>
                <c:ptCount val="1"/>
                <c:pt idx="0">
                  <c:v>wynagrodzenia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'Analiza wrażliwości'!$C$3:$G$3</c:f>
              <c:strCache>
                <c:ptCount val="5"/>
                <c:pt idx="0">
                  <c:v>-50%</c:v>
                </c:pt>
                <c:pt idx="1">
                  <c:v>-25%</c:v>
                </c:pt>
                <c:pt idx="2">
                  <c:v>0%</c:v>
                </c:pt>
                <c:pt idx="3">
                  <c:v>+25%</c:v>
                </c:pt>
                <c:pt idx="4">
                  <c:v>+50%</c:v>
                </c:pt>
              </c:strCache>
            </c:strRef>
          </c:cat>
          <c:val>
            <c:numRef>
              <c:f>'Analiza wrażliwości'!$C$4:$G$4</c:f>
              <c:numCache>
                <c:formatCode>#,##0</c:formatCode>
                <c:ptCount val="5"/>
                <c:pt idx="0">
                  <c:v>15981077.964719312</c:v>
                </c:pt>
                <c:pt idx="1">
                  <c:v>13868792.798467124</c:v>
                </c:pt>
                <c:pt idx="2">
                  <c:v>11756507.632214861</c:v>
                </c:pt>
                <c:pt idx="3">
                  <c:v>9625047.5525336526</c:v>
                </c:pt>
                <c:pt idx="4">
                  <c:v>7478831.1469824659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B5-7E41-A23E-6DA3E794B455}"/>
            </c:ext>
          </c:extLst>
        </c:ser>
        <c:ser>
          <c:idx val="1"/>
          <c:order val="1"/>
          <c:tx>
            <c:strRef>
              <c:f>'Analiza wrażliwości'!$B$5</c:f>
              <c:strCache>
                <c:ptCount val="1"/>
                <c:pt idx="0">
                  <c:v>energia elektryczna i paliwo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'Analiza wrażliwości'!$C$3:$G$3</c:f>
              <c:strCache>
                <c:ptCount val="5"/>
                <c:pt idx="0">
                  <c:v>-50%</c:v>
                </c:pt>
                <c:pt idx="1">
                  <c:v>-25%</c:v>
                </c:pt>
                <c:pt idx="2">
                  <c:v>0%</c:v>
                </c:pt>
                <c:pt idx="3">
                  <c:v>+25%</c:v>
                </c:pt>
                <c:pt idx="4">
                  <c:v>+50%</c:v>
                </c:pt>
              </c:strCache>
            </c:strRef>
          </c:cat>
          <c:val>
            <c:numRef>
              <c:f>'Analiza wrażliwości'!$C$5:$G$5</c:f>
              <c:numCache>
                <c:formatCode>#,##0</c:formatCode>
                <c:ptCount val="5"/>
                <c:pt idx="0">
                  <c:v>18771711.802520864</c:v>
                </c:pt>
                <c:pt idx="1">
                  <c:v>15264109.717367861</c:v>
                </c:pt>
                <c:pt idx="2">
                  <c:v>11756508</c:v>
                </c:pt>
                <c:pt idx="3">
                  <c:v>8199786.0645043561</c:v>
                </c:pt>
                <c:pt idx="4">
                  <c:v>4621698.666514297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5-7E41-A23E-6DA3E794B45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5388528"/>
        <c:axId val="1575386352"/>
      </c:lineChart>
      <c:catAx>
        <c:axId val="1575388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%</a:t>
                </a:r>
                <a:r>
                  <a:rPr lang="pl-PL" baseline="0"/>
                  <a:t> zmiana wartości zmiennej badanej</a:t>
                </a:r>
                <a:endParaRPr lang="pl-P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75386352"/>
        <c:crosses val="autoZero"/>
        <c:auto val="1"/>
        <c:lblAlgn val="ctr"/>
        <c:lblOffset val="100"/>
        <c:noMultiLvlLbl val="0"/>
      </c:catAx>
      <c:valAx>
        <c:axId val="157538635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57538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pl-PL"/>
              <a:t>NPV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'Analiza wrażliwości'!$B$30</c:f>
              <c:strCache>
                <c:ptCount val="1"/>
                <c:pt idx="0">
                  <c:v>wynagrodzenia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'Analiza wrażliwości'!$C$29:$G$29</c:f>
              <c:strCache>
                <c:ptCount val="5"/>
                <c:pt idx="0">
                  <c:v>-50%</c:v>
                </c:pt>
                <c:pt idx="1">
                  <c:v>-25%</c:v>
                </c:pt>
                <c:pt idx="2">
                  <c:v>0%</c:v>
                </c:pt>
                <c:pt idx="3">
                  <c:v>+25%</c:v>
                </c:pt>
                <c:pt idx="4">
                  <c:v>+50%</c:v>
                </c:pt>
              </c:strCache>
            </c:strRef>
          </c:cat>
          <c:val>
            <c:numRef>
              <c:f>'Analiza wrażliwości'!$C$30:$G$30</c:f>
              <c:numCache>
                <c:formatCode>#,##0</c:formatCode>
                <c:ptCount val="5"/>
                <c:pt idx="0">
                  <c:v>21826550.022727672</c:v>
                </c:pt>
                <c:pt idx="1">
                  <c:v>21125175.562490836</c:v>
                </c:pt>
                <c:pt idx="2">
                  <c:v>20423801.102254007</c:v>
                </c:pt>
                <c:pt idx="3">
                  <c:v>19722426.642017175</c:v>
                </c:pt>
                <c:pt idx="4">
                  <c:v>19021052.181780346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E5-C445-BDD4-E7B45923615B}"/>
            </c:ext>
          </c:extLst>
        </c:ser>
        <c:ser>
          <c:idx val="1"/>
          <c:order val="1"/>
          <c:tx>
            <c:strRef>
              <c:f>'Analiza wrażliwości'!$B$31</c:f>
              <c:strCache>
                <c:ptCount val="1"/>
                <c:pt idx="0">
                  <c:v>energia elektryczna i paliwo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'Analiza wrażliwości'!$C$29:$G$29</c:f>
              <c:strCache>
                <c:ptCount val="5"/>
                <c:pt idx="0">
                  <c:v>-50%</c:v>
                </c:pt>
                <c:pt idx="1">
                  <c:v>-25%</c:v>
                </c:pt>
                <c:pt idx="2">
                  <c:v>0%</c:v>
                </c:pt>
                <c:pt idx="3">
                  <c:v>+25%</c:v>
                </c:pt>
                <c:pt idx="4">
                  <c:v>+50%</c:v>
                </c:pt>
              </c:strCache>
            </c:strRef>
          </c:cat>
          <c:val>
            <c:numRef>
              <c:f>'Analiza wrażliwości'!$C$31:$G$31</c:f>
              <c:numCache>
                <c:formatCode>#,##0</c:formatCode>
                <c:ptCount val="5"/>
                <c:pt idx="0">
                  <c:v>22310159.136683784</c:v>
                </c:pt>
                <c:pt idx="1">
                  <c:v>21366980.11946889</c:v>
                </c:pt>
                <c:pt idx="2">
                  <c:v>20423801.102254007</c:v>
                </c:pt>
                <c:pt idx="3">
                  <c:v>19480622.085039116</c:v>
                </c:pt>
                <c:pt idx="4">
                  <c:v>18537443.067824233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E5-C445-BDD4-E7B4592361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5389616"/>
        <c:axId val="1575390160"/>
      </c:lineChart>
      <c:catAx>
        <c:axId val="1575389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% zmiana wartości zmiennej badanej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75390160"/>
        <c:crosses val="autoZero"/>
        <c:auto val="1"/>
        <c:lblAlgn val="ctr"/>
        <c:lblOffset val="100"/>
        <c:noMultiLvlLbl val="0"/>
      </c:catAx>
      <c:valAx>
        <c:axId val="157539016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57538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pl-PL"/>
              <a:t>NPV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'Analiza wrażliwości'!$B$30</c:f>
              <c:strCache>
                <c:ptCount val="1"/>
                <c:pt idx="0">
                  <c:v>wynagrodzenia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'Analiza wrażliwości'!$C$29:$G$29</c:f>
              <c:strCache>
                <c:ptCount val="5"/>
                <c:pt idx="0">
                  <c:v>-50%</c:v>
                </c:pt>
                <c:pt idx="1">
                  <c:v>-25%</c:v>
                </c:pt>
                <c:pt idx="2">
                  <c:v>0%</c:v>
                </c:pt>
                <c:pt idx="3">
                  <c:v>+25%</c:v>
                </c:pt>
                <c:pt idx="4">
                  <c:v>+50%</c:v>
                </c:pt>
              </c:strCache>
            </c:strRef>
          </c:cat>
          <c:val>
            <c:numRef>
              <c:f>'Analiza wrażliwości'!$C$30:$G$30</c:f>
              <c:numCache>
                <c:formatCode>#,##0</c:formatCode>
                <c:ptCount val="5"/>
                <c:pt idx="0">
                  <c:v>21826550.022727672</c:v>
                </c:pt>
                <c:pt idx="1">
                  <c:v>21125175.562490836</c:v>
                </c:pt>
                <c:pt idx="2">
                  <c:v>20423801.102254007</c:v>
                </c:pt>
                <c:pt idx="3">
                  <c:v>19722426.642017175</c:v>
                </c:pt>
                <c:pt idx="4">
                  <c:v>19021052.181780346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17-E447-B712-F3A40BF8CD59}"/>
            </c:ext>
          </c:extLst>
        </c:ser>
        <c:ser>
          <c:idx val="1"/>
          <c:order val="1"/>
          <c:tx>
            <c:strRef>
              <c:f>'Analiza wrażliwości'!$B$31</c:f>
              <c:strCache>
                <c:ptCount val="1"/>
                <c:pt idx="0">
                  <c:v>energia elektryczna i paliwo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'Analiza wrażliwości'!$C$29:$G$29</c:f>
              <c:strCache>
                <c:ptCount val="5"/>
                <c:pt idx="0">
                  <c:v>-50%</c:v>
                </c:pt>
                <c:pt idx="1">
                  <c:v>-25%</c:v>
                </c:pt>
                <c:pt idx="2">
                  <c:v>0%</c:v>
                </c:pt>
                <c:pt idx="3">
                  <c:v>+25%</c:v>
                </c:pt>
                <c:pt idx="4">
                  <c:v>+50%</c:v>
                </c:pt>
              </c:strCache>
            </c:strRef>
          </c:cat>
          <c:val>
            <c:numRef>
              <c:f>'Analiza wrażliwości'!$C$31:$G$31</c:f>
              <c:numCache>
                <c:formatCode>#,##0</c:formatCode>
                <c:ptCount val="5"/>
                <c:pt idx="0">
                  <c:v>22310159.136683784</c:v>
                </c:pt>
                <c:pt idx="1">
                  <c:v>21366980.11946889</c:v>
                </c:pt>
                <c:pt idx="2">
                  <c:v>20423801.102254007</c:v>
                </c:pt>
                <c:pt idx="3">
                  <c:v>19480622.085039116</c:v>
                </c:pt>
                <c:pt idx="4">
                  <c:v>18537443.067824233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17-E447-B712-F3A40BF8CD5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5390704"/>
        <c:axId val="1575379824"/>
      </c:lineChart>
      <c:catAx>
        <c:axId val="1575390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% zmiana wartości zmiennej badanej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75379824"/>
        <c:crosses val="autoZero"/>
        <c:auto val="1"/>
        <c:lblAlgn val="ctr"/>
        <c:lblOffset val="100"/>
        <c:noMultiLvlLbl val="0"/>
      </c:catAx>
      <c:valAx>
        <c:axId val="157537982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57539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793750</xdr:colOff>
      <xdr:row>6</xdr:row>
      <xdr:rowOff>50800</xdr:rowOff>
    </xdr:from>
    <xdr:to>
      <xdr:col>5</xdr:col>
      <xdr:colOff>241300</xdr:colOff>
      <xdr:row>25</xdr:row>
      <xdr:rowOff>120650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2E528504-CC71-7746-84B3-ED9765BA6B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5</xdr:col>
      <xdr:colOff>273050</xdr:colOff>
      <xdr:row>51</xdr:row>
      <xdr:rowOff>69850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394A25B4-1133-D043-B8CD-AF1CB2F2DC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5</xdr:col>
      <xdr:colOff>273050</xdr:colOff>
      <xdr:row>78</xdr:row>
      <xdr:rowOff>69850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29CA3E97-F12A-9748-9A69-87CBEA479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indows/TEMP/Klasyfikacja/Pilotaz/Polityki%20kredytowe/Forum/6/AEF-ADV-przyk&#322;ad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m/&#347;mietnik/Moje%20dokumenty/Bud&#380;et%20-Bazar%20Szembeka_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Hussein/Desktop/UBOJNIA/Obliczenia_ubojnia_v17_2017_Inwesto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po.dolnyslask.pl/user/wj/private/SPME/update/robocze/Waldek/Cieplowody/Cieplowody_NPV_05072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Kredyt4/c/EXCEL/X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model%20jaroszow%20final%20basic%20scenario-28-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gnieszka/Desktop/ROBOCZE/2014/INWESTYCJE%202014/2014_10%20inwestycja%208%20mln/inwestycje%202014_10_1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3/oferta/Marek/Mennica/Bs+wII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GB/Projekt%20AOEF/Raport%20z%20monitoringu%20za&#136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arysia/c_marysi/ACTIVITY-BASED%20COSTING/Produkcja-Excel/5x_1-9_97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microsoft.com/office/2019/04/relationships/externalLinkLongPath" Target="https://d.docs.live.net/dad4037fc606d18e/Pulpit/Projekty%20dotacyjne/Projekty%20-%20Adam/Master/Projekty%20dotacyjne/Projekty%20-%20Adam/BTG/Projekty%20dotacyjne/Amberline/Nowy%20plik%20PARP%20-%20wersja%20ostateczna/Projekty%20dotacyjne/Amberline/Nowy%20plik%20PARP%20-%20wersja%20ostateczna/Projekty%20dotacyjne/Amberline/Kosztorys%20projektu%20Amberline_28_01_2021.xls?61541FDB" TargetMode="External"/><Relationship Id="rId1" Type="http://schemas.openxmlformats.org/officeDocument/2006/relationships/externalLinkPath" Target="file:///\\61541FDB\Kosztorys%20projektu%20Amberline_28_01_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nszs014/groups/Documents%20and%20Settings/jpalowsk/Pulpit/batch%20plan%2003%2001%2008%20bez%203rd%20carb.xls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microsoft.com/office/2019/04/relationships/externalLinkLongPath" Target="https://d.docs.live.net/dad4037fc606d18e/Pulpit/Projekty%20dotacyjne/Projekty%20-%20Adam/Master/Projekty%20dotacyjne/Projekty%20-%20Adam/Martin/Projekty%20dotacyjne/Projekty%20-%20Adam/BTG/Projekty%20dotacyjne/Amberline/Nowy%20plik%20PARP%20-%20wersja%20ostateczna/Projekty%20dotacyjne/Amberline/Nowy%20plik%20PARP%20-%20wersja%20ostateczna/Projekty%20dotacyjne/Amberline/Kosztorys%20projektu%20Amberline_28_01_2021.xls?784CFC26" TargetMode="External"/><Relationship Id="rId1" Type="http://schemas.openxmlformats.org/officeDocument/2006/relationships/externalLinkPath" Target="file:///\\784CFC26\Kosztorys%20projektu%20Amberline_28_01_202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zabela%20Gutkowicz/AppData/Local/Microsoft/Windows/Temporary%20Internet%20Files/Content.Outlook/GJK3PN76/kalkulacja_Mro&#378;nia_Huber_bank_20190222_10la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95\Profiles\rafal\Desktop\Drukarnia\ANALIZ~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walkowski/blue%20city/Dane/BLUE%20CITY/Od%20jacka/Koszty/Ce_No_2%20english%20version%20z%20poprawkami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iotr.Kepkiewicz\Analizy\retail%20centre%20analyze\Gdyni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st/d/SST/PRACE/Janikowo.SodaConsult/soda%20ci&#281;&#380;ka.IX96/soda%20ci&#281;&#380;ka%20II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LFA/dokumenty/Zlecenia/600-699/676%20-%20WIP%20Poznan,%2020%20firm/I%20faza/2%20etap/wyceny/Warta%20-%20Tourist/676,%20Warta-Tourist,%20wycena,%20000530,%20W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m/&#347;mietnik/Sulik/OFERTY/Niepodleg&#322;o&#347;ci/Bud&#380;et/Bud&#380;et%20-%20Niepodleg&#322;o&#347;c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from%20Doradca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ariusz/&#347;mietnik/Moje%20dokumenty/070%20P%2014%20-%20Pl.%20Trzech%20Krzy&#380;y/Bud&#380;et/Oferta%20TRZY%20KRZY&#379;E%20-%20Lista%20cen%20%20-%20dach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Regulaminy/Podr&#281;cznik/AOEF-KPR-ver4.0(odblokowany)_J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hgili_dk/Ustawienia%20lokalne/Temporary%20Internet%20Files/Content.Outlook/KDTG1N9Z/Zalacznik%204.3%20-%20AOEF-PK-09.11.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arysia/c_marysi/ACTIVITY-BASED%20COSTING/Produkcja-Excel/Asortymenty%20tkalni-Maszynochlonnosc&amp;amortyzac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F"/>
      <sheetName val="ADV"/>
      <sheetName val="FX test-AEF"/>
      <sheetName val="FX test-ADV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ończeniówka"/>
      <sheetName val="Budżet stanu surowego"/>
      <sheetName val="Arkusz1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120 MLN"/>
      <sheetName val="Obliczenia (oryginal)"/>
      <sheetName val="RZiS"/>
      <sheetName val="NPV"/>
      <sheetName val="Ubojnia"/>
      <sheetName val="Ubojnia (€)"/>
      <sheetName val="Założenia"/>
      <sheetName val="wydatki"/>
      <sheetName val="Strefa"/>
      <sheetName val="konkurencja"/>
      <sheetName val="Obliczenia"/>
      <sheetName val="Sprzedaż"/>
      <sheetName val="Koszty"/>
      <sheetName val="Tabele"/>
      <sheetName val="Arkusz2"/>
      <sheetName val="Wniosek"/>
      <sheetName val="Model"/>
      <sheetName val="Ceny"/>
      <sheetName val="brojler_tuszka"/>
      <sheetName val="Media"/>
      <sheetName val="V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  <sheetName val="Loan Schedule US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1NOWE"/>
      <sheetName val="budżet"/>
    </sheetNames>
    <sheetDataSet>
      <sheetData sheetId="0" refreshError="1">
        <row r="4">
          <cell r="G4" t="str">
            <v>************</v>
          </cell>
        </row>
        <row r="53">
          <cell r="B53" t="str">
            <v>Zobowiązania długoterminowe (F-01 dz3 poz 01)</v>
          </cell>
          <cell r="C53">
            <v>3</v>
          </cell>
          <cell r="D53">
            <v>3</v>
          </cell>
          <cell r="E53">
            <v>4</v>
          </cell>
          <cell r="F53">
            <v>1</v>
          </cell>
        </row>
        <row r="55">
          <cell r="B55" t="str">
            <v>Zobowiązania biezace (F-01 dz.3 poz 04)</v>
          </cell>
          <cell r="C55">
            <v>1</v>
          </cell>
          <cell r="D55">
            <v>2</v>
          </cell>
          <cell r="E55">
            <v>4</v>
          </cell>
          <cell r="F55">
            <v>2</v>
          </cell>
        </row>
        <row r="60">
          <cell r="B60" t="str">
            <v>KAPITAŁY WŁASNE</v>
          </cell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2</v>
          </cell>
        </row>
        <row r="68">
          <cell r="G68" t="str">
            <v>wartości</v>
          </cell>
        </row>
        <row r="69">
          <cell r="G69" t="str">
            <v>zalecane</v>
          </cell>
        </row>
        <row r="74">
          <cell r="G74" t="str">
            <v>&gt;&gt;33%</v>
          </cell>
        </row>
        <row r="75">
          <cell r="G75" t="str">
            <v>&lt;&lt;33%</v>
          </cell>
        </row>
        <row r="78">
          <cell r="G78" t="str">
            <v>&gt;100%</v>
          </cell>
        </row>
        <row r="79">
          <cell r="G79" t="str">
            <v>150-200%</v>
          </cell>
        </row>
        <row r="80">
          <cell r="G80" t="str">
            <v>&lt;100%</v>
          </cell>
        </row>
        <row r="82">
          <cell r="G82" t="str">
            <v>&gt;&gt;0</v>
          </cell>
        </row>
        <row r="83">
          <cell r="G83" t="str">
            <v>30-90</v>
          </cell>
        </row>
        <row r="84">
          <cell r="G84" t="str">
            <v>&gt;0.50</v>
          </cell>
        </row>
        <row r="85">
          <cell r="B85" t="str">
            <v xml:space="preserve">Wskaźnik bieżącej płynności </v>
          </cell>
          <cell r="C85">
            <v>3</v>
          </cell>
          <cell r="D85">
            <v>1</v>
          </cell>
          <cell r="E85">
            <v>1.5</v>
          </cell>
          <cell r="F85">
            <v>4</v>
          </cell>
          <cell r="G85" t="str">
            <v>1.2-2</v>
          </cell>
          <cell r="H85" t="str">
            <v>1.2-2</v>
          </cell>
        </row>
        <row r="86">
          <cell r="B86" t="str">
            <v>Wskaźnik płynności szybki</v>
          </cell>
          <cell r="C86">
            <v>2</v>
          </cell>
          <cell r="D86">
            <v>0.5</v>
          </cell>
          <cell r="E86">
            <v>0.75</v>
          </cell>
          <cell r="F86">
            <v>2</v>
          </cell>
          <cell r="G86" t="str">
            <v>1-1.5</v>
          </cell>
          <cell r="H86" t="str">
            <v>1-1.5</v>
          </cell>
        </row>
        <row r="87">
          <cell r="G87" t="str">
            <v>ok.0.2</v>
          </cell>
        </row>
        <row r="89">
          <cell r="G89" t="str">
            <v>&gt;1</v>
          </cell>
        </row>
        <row r="90">
          <cell r="B90" t="str">
            <v>Cykl zapasów  w dniach**</v>
          </cell>
          <cell r="C90">
            <v>90</v>
          </cell>
          <cell r="D90">
            <v>60</v>
          </cell>
          <cell r="E90">
            <v>270</v>
          </cell>
          <cell r="F90">
            <v>288</v>
          </cell>
        </row>
        <row r="92">
          <cell r="B92" t="str">
            <v>Cykl ściągania należności w dniach**</v>
          </cell>
          <cell r="C92">
            <v>90</v>
          </cell>
          <cell r="D92">
            <v>45</v>
          </cell>
          <cell r="E92">
            <v>202.5</v>
          </cell>
          <cell r="F92">
            <v>205.71428571428569</v>
          </cell>
          <cell r="G92" t="str">
            <v>&lt;50</v>
          </cell>
          <cell r="H92" t="str">
            <v>&lt;50</v>
          </cell>
        </row>
        <row r="93">
          <cell r="G93" t="str">
            <v>&lt;50</v>
          </cell>
        </row>
        <row r="94">
          <cell r="B94" t="str">
            <v>Cykl płacenia zobowiązań w dniach**</v>
          </cell>
          <cell r="C94">
            <v>45</v>
          </cell>
          <cell r="D94">
            <v>72</v>
          </cell>
          <cell r="E94">
            <v>216</v>
          </cell>
          <cell r="F94">
            <v>102.85714285714285</v>
          </cell>
        </row>
        <row r="96">
          <cell r="G96" t="str">
            <v>mały</v>
          </cell>
        </row>
        <row r="97">
          <cell r="G97" t="str">
            <v>mały</v>
          </cell>
        </row>
        <row r="99">
          <cell r="G99" t="str">
            <v>57-67%</v>
          </cell>
        </row>
        <row r="100">
          <cell r="G100" t="str">
            <v>&lt;200%</v>
          </cell>
        </row>
        <row r="101">
          <cell r="G101" t="str">
            <v>&gt;&gt;10%</v>
          </cell>
        </row>
        <row r="103">
          <cell r="G103" t="str">
            <v>&gt;0</v>
          </cell>
        </row>
        <row r="104">
          <cell r="B104" t="str">
            <v xml:space="preserve">Rentowność sprzedaży netto </v>
          </cell>
          <cell r="C104">
            <v>1</v>
          </cell>
          <cell r="D104">
            <v>0.25</v>
          </cell>
          <cell r="E104">
            <v>0.25</v>
          </cell>
          <cell r="F104">
            <v>0.2857142857142857</v>
          </cell>
          <cell r="G104" t="str">
            <v>&gt;0</v>
          </cell>
          <cell r="H104" t="str">
            <v>&gt;0</v>
          </cell>
        </row>
        <row r="105">
          <cell r="B105" t="str">
            <v xml:space="preserve">Rentowność działalności podstawowej </v>
          </cell>
          <cell r="C105">
            <v>0.5</v>
          </cell>
          <cell r="D105">
            <v>0.25</v>
          </cell>
          <cell r="E105">
            <v>0.25</v>
          </cell>
          <cell r="F105">
            <v>0.2857142857142857</v>
          </cell>
          <cell r="G105" t="str">
            <v>&gt;&gt;0</v>
          </cell>
          <cell r="H105" t="str">
            <v>&gt;&gt;0</v>
          </cell>
        </row>
        <row r="106">
          <cell r="G106" t="str">
            <v>&gt;0</v>
          </cell>
        </row>
        <row r="107">
          <cell r="G107" t="str">
            <v>&gt;0</v>
          </cell>
        </row>
        <row r="108">
          <cell r="G108" t="str">
            <v>&gt;1</v>
          </cell>
        </row>
        <row r="109">
          <cell r="G109" t="str">
            <v>&gt;20%</v>
          </cell>
        </row>
        <row r="110">
          <cell r="G110" t="str">
            <v>&gt;0</v>
          </cell>
        </row>
        <row r="111">
          <cell r="G111" t="str">
            <v>&lt;300%</v>
          </cell>
        </row>
        <row r="112">
          <cell r="G112" t="str">
            <v>&gt;20%</v>
          </cell>
        </row>
        <row r="113">
          <cell r="G113" t="str">
            <v>&lt;90%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zest"/>
      <sheetName val="Jaroszow1"/>
      <sheetName val="Makro1"/>
      <sheetName val="Loan Schedule USD"/>
      <sheetName val="Loan Schedule PL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estycje QFG 2014-2015"/>
      <sheetName val="SGB inwestycje QFG i zaliczki"/>
      <sheetName val="inwestycje i zaliczki bez leasi"/>
      <sheetName val="inwestycje i zaliczki razem (2"/>
      <sheetName val="inwestycje i zaliczki (2)"/>
      <sheetName val="inwestycje i zaliczki"/>
      <sheetName val="inwestycje  2014 (2)"/>
      <sheetName val="PANIEROWNICE"/>
      <sheetName val="inwestycje  2014"/>
      <sheetName val="inwestycje i zaliczki stare"/>
      <sheetName val="AEF"/>
    </sheetNames>
    <sheetDataSet>
      <sheetData sheetId="0"/>
      <sheetData sheetId="1"/>
      <sheetData sheetId="2">
        <row r="4">
          <cell r="P4">
            <v>0</v>
          </cell>
        </row>
      </sheetData>
      <sheetData sheetId="3"/>
      <sheetData sheetId="4"/>
      <sheetData sheetId="5"/>
      <sheetData sheetId="6"/>
      <sheetData sheetId="7">
        <row r="4">
          <cell r="I4">
            <v>3.1</v>
          </cell>
          <cell r="J4">
            <v>4.0999999999999996</v>
          </cell>
        </row>
      </sheetData>
      <sheetData sheetId="8"/>
      <sheetData sheetId="9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F"/>
      <sheetName val="Budżet robót wstępnych"/>
      <sheetName val="Budżet stanu surowego"/>
      <sheetName val="ZT"/>
      <sheetName val="Wykończeniówka MOSTALEX"/>
      <sheetName val="Analiza"/>
      <sheetName val="Arkusz1"/>
      <sheetName val="Arkusz2"/>
      <sheetName val="Arkusz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_z_monitoringu"/>
      <sheetName val="z5.8ZAB"/>
      <sheetName val="parametry"/>
      <sheetName val="PKD"/>
      <sheetName val="AOEF"/>
    </sheetNames>
    <sheetDataSet>
      <sheetData sheetId="0"/>
      <sheetData sheetId="1"/>
      <sheetData sheetId="2">
        <row r="2">
          <cell r="D2" t="str">
            <v>normalne</v>
          </cell>
          <cell r="J2" t="str">
            <v>brak</v>
          </cell>
        </row>
        <row r="3">
          <cell r="D3" t="str">
            <v>pod obserwacją</v>
          </cell>
          <cell r="J3" t="str">
            <v>nie więcej niż 27</v>
          </cell>
        </row>
        <row r="4">
          <cell r="D4" t="str">
            <v>poniżej standardu</v>
          </cell>
          <cell r="J4" t="str">
            <v>powyżej 27 i nie więcej niż 30</v>
          </cell>
        </row>
        <row r="5">
          <cell r="D5" t="str">
            <v>wątpliwe</v>
          </cell>
          <cell r="J5" t="str">
            <v>powyżej 30 i nie więcej niż 33</v>
          </cell>
        </row>
        <row r="6">
          <cell r="D6" t="str">
            <v>stracone</v>
          </cell>
          <cell r="J6" t="str">
            <v>powyżej 33 i nie więcej niż 36</v>
          </cell>
        </row>
        <row r="7">
          <cell r="J7" t="str">
            <v>powyżej 36 i nie więcej niż 51</v>
          </cell>
        </row>
        <row r="8">
          <cell r="J8" t="str">
            <v>powyżej 51 i nie więcej niż 54</v>
          </cell>
        </row>
        <row r="9">
          <cell r="J9" t="str">
            <v>powyżej 54 i nie więcej niż 57</v>
          </cell>
        </row>
        <row r="10">
          <cell r="J10" t="str">
            <v>powyżej 57 i nie więcej niż 60</v>
          </cell>
        </row>
        <row r="11">
          <cell r="J11" t="str">
            <v>powyżej 60</v>
          </cell>
        </row>
      </sheetData>
      <sheetData sheetId="3">
        <row r="2">
          <cell r="A2" t="str">
            <v>SEKCJA A ROLNICTWO, LEŚNICTWO, ŁOWIECTWO I RYBACTWO</v>
          </cell>
        </row>
        <row r="3">
          <cell r="A3" t="str">
            <v>1   UPRAWY ROLNE, CHÓW I HODOWLA ZWIERZĄT,</v>
          </cell>
        </row>
        <row r="4">
          <cell r="A4" t="str">
            <v xml:space="preserve">   ŁOWIECTWO, WŁĄCZAJĄC DZIAŁALNOŚĆ USŁUGOWĄ</v>
          </cell>
        </row>
        <row r="5">
          <cell r="A5" t="str">
            <v xml:space="preserve"> 01.1 Uprawy rolne inne niż wieloletnie</v>
          </cell>
        </row>
        <row r="6">
          <cell r="A6" t="str">
            <v xml:space="preserve"> 01.11.Z Uprawa zbóż, roślin strączkowych i roślin oleistych na nasiona, z wyłączeniem ryżu</v>
          </cell>
        </row>
        <row r="7">
          <cell r="A7" t="str">
            <v xml:space="preserve"> 01.12.Z Uprawa ryżu</v>
          </cell>
        </row>
        <row r="8">
          <cell r="A8" t="str">
            <v xml:space="preserve"> 01.13.Z Uprawa warzyw, włączając melony oraz uprawa roślin korzeniowych i roślin bulwiastych</v>
          </cell>
        </row>
        <row r="9">
          <cell r="A9" t="str">
            <v xml:space="preserve"> 01.14.Z Uprawa trzciny cukrowej</v>
          </cell>
        </row>
        <row r="10">
          <cell r="A10" t="str">
            <v xml:space="preserve"> 01.15.Z Uprawa tytoniu</v>
          </cell>
        </row>
        <row r="11">
          <cell r="A11" t="str">
            <v xml:space="preserve"> 01.16.Z Uprawa roślin włóknistych</v>
          </cell>
        </row>
        <row r="12">
          <cell r="A12" t="str">
            <v xml:space="preserve"> 01.19.Z Pozostałe uprawy rolne inne niż wieloletnie</v>
          </cell>
        </row>
        <row r="13">
          <cell r="A13" t="str">
            <v xml:space="preserve"> 01.2  Uprawa roślin wieloletnich</v>
          </cell>
        </row>
        <row r="14">
          <cell r="A14" t="str">
            <v xml:space="preserve"> 01.21.Z Uprawa winogron</v>
          </cell>
        </row>
        <row r="15">
          <cell r="A15" t="str">
            <v xml:space="preserve"> 01.22.Z Uprawa drzew i krzewów owocowych tropikalnych i podzwrotnikowych</v>
          </cell>
        </row>
        <row r="16">
          <cell r="A16" t="str">
            <v xml:space="preserve"> 01.23.Z Uprawa drzew i krzewów owocowych cytrusowych</v>
          </cell>
        </row>
        <row r="17">
          <cell r="A17" t="str">
            <v xml:space="preserve"> 01.24.Z Uprawa drzew i krzewów owocowych ziarnkowych i pestkowych</v>
          </cell>
        </row>
        <row r="18">
          <cell r="A18" t="str">
            <v xml:space="preserve"> 01.25.Z Uprawa pozostałych drzew i krzewów owocowych oraz orzechów</v>
          </cell>
        </row>
        <row r="19">
          <cell r="A19" t="str">
            <v xml:space="preserve"> 01.26.Z Uprawa drzew oleistych</v>
          </cell>
        </row>
        <row r="20">
          <cell r="A20" t="str">
            <v xml:space="preserve"> 01.27.Z Uprawa roślin wykorzystywanych do produkcji napojów</v>
          </cell>
        </row>
        <row r="21">
          <cell r="A21" t="str">
            <v xml:space="preserve"> 01.28.Z Uprawa roślin przyprawowych i aromatycznych oraz roślin wykorzystywanych do produkcji leków i wyrobów farmaceutycznych</v>
          </cell>
        </row>
        <row r="22">
          <cell r="A22" t="str">
            <v xml:space="preserve"> 01.29.Z Uprawa pozostałych roślin wieloletnich</v>
          </cell>
        </row>
        <row r="23">
          <cell r="A23" t="str">
            <v xml:space="preserve"> 01.30.Z Rozmnażanie roślin</v>
          </cell>
        </row>
        <row r="24">
          <cell r="A24" t="str">
            <v xml:space="preserve"> 01.4  Chów i hodowla zwierząt</v>
          </cell>
        </row>
        <row r="25">
          <cell r="A25" t="str">
            <v xml:space="preserve"> 01.41.Z Chów i hodowla bydła mlecznego</v>
          </cell>
        </row>
        <row r="26">
          <cell r="A26" t="str">
            <v xml:space="preserve"> 01.42.Z Chów i hodowla pozostałego bydła i bawołów</v>
          </cell>
        </row>
        <row r="27">
          <cell r="A27" t="str">
            <v xml:space="preserve"> 01.43.Z Chów i hodowla koni i pozostałych zwierząt koniowatych</v>
          </cell>
        </row>
        <row r="28">
          <cell r="A28" t="str">
            <v xml:space="preserve"> 01.44.Z Chów i hodowla wielbłądów i zwierząt wielbłądowatych</v>
          </cell>
        </row>
        <row r="29">
          <cell r="A29" t="str">
            <v xml:space="preserve"> 01.45.Z Chów i hodowla owiec i kóz</v>
          </cell>
        </row>
        <row r="30">
          <cell r="A30" t="str">
            <v xml:space="preserve"> 01.46.Z Chów i hodowla świń</v>
          </cell>
        </row>
        <row r="31">
          <cell r="A31" t="str">
            <v xml:space="preserve"> 01.47.Z Chów i hodowla drobiu</v>
          </cell>
        </row>
        <row r="32">
          <cell r="A32" t="str">
            <v xml:space="preserve"> 01.49.Z Chów i hodowla pozostałych zwierząt</v>
          </cell>
        </row>
        <row r="33">
          <cell r="A33" t="str">
            <v xml:space="preserve"> 01.50.Z Uprawy rolne połączone z chowem i hodowlą zwierząt (działalność mieszana) </v>
          </cell>
        </row>
        <row r="34">
          <cell r="A34" t="str">
            <v xml:space="preserve"> 01.6  Działalność usługowa wspomagająca rolnictwo i następująca po zbiorach</v>
          </cell>
        </row>
        <row r="35">
          <cell r="A35" t="str">
            <v xml:space="preserve"> 01.61.Z Działalność usługowa wspomagająca produkcję roślinną</v>
          </cell>
        </row>
        <row r="36">
          <cell r="A36" t="str">
            <v xml:space="preserve"> 01.62.Z Działalność usługowa wspomagająca chów i hodowlę zwierząt gospodarskich</v>
          </cell>
        </row>
        <row r="37">
          <cell r="A37" t="str">
            <v xml:space="preserve"> 01.63.Z Działalność usługowa następująca po zbiorach</v>
          </cell>
        </row>
        <row r="38">
          <cell r="A38" t="str">
            <v xml:space="preserve"> 01.64.Z Obróbka nasion dla celów rozmnażania roślin</v>
          </cell>
        </row>
        <row r="39">
          <cell r="A39" t="str">
            <v xml:space="preserve"> 01.70.Z Łowiectwo i pozyskiwanie zwierząt łownych, włączając działalność usługową</v>
          </cell>
        </row>
        <row r="40">
          <cell r="A40" t="str">
            <v>2   LEŚNICTWO I POZYSKIWANIE DREWNA</v>
          </cell>
        </row>
        <row r="41">
          <cell r="A41" t="str">
            <v xml:space="preserve"> 02.10.Z Gospodarka leśna i pozostała działalność leśna, z wyłączeniem pozyskiwania produktów leśnych</v>
          </cell>
        </row>
        <row r="42">
          <cell r="A42" t="str">
            <v xml:space="preserve"> 02.20.Z Pozyskiwanie drewna</v>
          </cell>
        </row>
        <row r="43">
          <cell r="A43" t="str">
            <v xml:space="preserve"> 02.30.Z Pozyskiwanie dziko rosnących produktów leśnych, z wyłączeniem drewna</v>
          </cell>
        </row>
        <row r="44">
          <cell r="A44" t="str">
            <v xml:space="preserve"> 02.40.Z Działalność usługowa związana z leśnictwem</v>
          </cell>
        </row>
        <row r="45">
          <cell r="A45" t="str">
            <v>3   RYBACTWO</v>
          </cell>
        </row>
        <row r="46">
          <cell r="A46" t="str">
            <v xml:space="preserve"> 03.1  Rybołówstwo</v>
          </cell>
        </row>
        <row r="47">
          <cell r="A47" t="str">
            <v xml:space="preserve"> 03.11.Z Rybołówstwo w wodach morskich</v>
          </cell>
        </row>
        <row r="48">
          <cell r="A48" t="str">
            <v xml:space="preserve"> 03.12.Z Rybołówstwo w wodach śródlądowych</v>
          </cell>
        </row>
        <row r="49">
          <cell r="A49" t="str">
            <v xml:space="preserve"> 03.2  Chów i hodowla ryb oraz pozostałych organizmów wodnych</v>
          </cell>
        </row>
        <row r="50">
          <cell r="A50" t="str">
            <v xml:space="preserve"> 03.21.Z Chów i hodowla ryb oraz pozostałych organizmów wodnych w wodach morskich</v>
          </cell>
        </row>
        <row r="51">
          <cell r="A51" t="str">
            <v xml:space="preserve"> 03.22.Z Chów i hodowla ryb oraz pozostałych organizmów wodnych w wodach śródlądowych</v>
          </cell>
        </row>
        <row r="52">
          <cell r="A52" t="str">
            <v>SEKCJA B  GÓRNICTWO I WYDOBYWANIE</v>
          </cell>
        </row>
        <row r="53">
          <cell r="A53" t="str">
            <v>5   WYDOBYWANIE WĘGLA KAMIENNEGO I WĘGLA BRUNATNEGO (LIGNITU)</v>
          </cell>
        </row>
        <row r="54">
          <cell r="A54" t="str">
            <v xml:space="preserve"> 05.10.Z Wydobywanie węgla kamiennego</v>
          </cell>
        </row>
        <row r="55">
          <cell r="A55" t="str">
            <v xml:space="preserve"> 05.20.Z Wydobywanie węgla brunatnego (lignitu) </v>
          </cell>
        </row>
        <row r="56">
          <cell r="A56" t="str">
            <v>6   GÓRNICTWO ROPY NAFTOWEJ I GAZU ZIEMNEGO</v>
          </cell>
        </row>
        <row r="57">
          <cell r="A57" t="str">
            <v xml:space="preserve"> 06.10.Z Górnictwo ropy naftowej</v>
          </cell>
        </row>
        <row r="58">
          <cell r="A58" t="str">
            <v xml:space="preserve"> 06.20.Z Górnictwo gazu ziemnego</v>
          </cell>
        </row>
        <row r="59">
          <cell r="A59" t="str">
            <v>7   GÓRNICTWO RUD METALI</v>
          </cell>
        </row>
        <row r="60">
          <cell r="A60" t="str">
            <v xml:space="preserve"> 07.10.Z Górnictwo rud żelaza</v>
          </cell>
        </row>
        <row r="61">
          <cell r="A61" t="str">
            <v xml:space="preserve"> 07.2  Górnictwo rud metali nieżelaznych</v>
          </cell>
        </row>
        <row r="62">
          <cell r="A62" t="str">
            <v xml:space="preserve"> 07.21.Z Górnictwo rud uranu i toru</v>
          </cell>
        </row>
        <row r="63">
          <cell r="A63" t="str">
            <v xml:space="preserve"> 07.29.Z Górnictwo pozostałych rud metali nieżelaznych</v>
          </cell>
        </row>
        <row r="64">
          <cell r="A64" t="str">
            <v>8   POZOSTAŁE GÓRNICTWO I WYDOBYWANIE</v>
          </cell>
        </row>
        <row r="65">
          <cell r="A65" t="str">
            <v xml:space="preserve"> 08.1  Wydobywanie kamienia, piasku i gliny</v>
          </cell>
        </row>
        <row r="66">
          <cell r="A66" t="str">
            <v xml:space="preserve"> 08.11.Z Wydobywanie kamieni ozdobnych oraz kamienia dla potrzeb budownictwa, skał wapiennych, gipsu, kredy i łupków</v>
          </cell>
        </row>
        <row r="67">
          <cell r="A67" t="str">
            <v xml:space="preserve"> 08.12.Z Wydobywanie żwiru i piasku; wydobywanie gliny i kaolinu</v>
          </cell>
        </row>
        <row r="68">
          <cell r="A68" t="str">
            <v xml:space="preserve"> 08.9  Górnictwo i wydobywanie, gdzie indziej niesklasyfikowane</v>
          </cell>
        </row>
        <row r="69">
          <cell r="A69" t="str">
            <v xml:space="preserve"> 08.91.Z Wydobywanie minerałów dla przemysłu chemicznego oraz do produkcji nawozów</v>
          </cell>
        </row>
        <row r="70">
          <cell r="A70" t="str">
            <v xml:space="preserve"> 08.92.Z Wydobywanie torfu</v>
          </cell>
        </row>
        <row r="71">
          <cell r="A71" t="str">
            <v xml:space="preserve"> 08.93.Z Wydobywanie soli</v>
          </cell>
        </row>
        <row r="72">
          <cell r="A72" t="str">
            <v xml:space="preserve"> 08.99.Z Pozostałe górnictwo i wydobywanie, gdzie indziej niesklasyfikowane</v>
          </cell>
        </row>
        <row r="73">
          <cell r="A73" t="str">
            <v>9   DZIAŁALNOŚĆ USŁUGOWA WSPOMAGAJĄCA GÓRNICTWO I WYDOBYWANIE</v>
          </cell>
        </row>
        <row r="74">
          <cell r="A74" t="str">
            <v xml:space="preserve"> 09.10.Z Działalność usługowa wspomagająca eksploatację złóż ropy naftowej i gazu ziemnego</v>
          </cell>
        </row>
        <row r="75">
          <cell r="A75" t="str">
            <v xml:space="preserve"> 09.90.Z Działalność usługowa wspomagająca pozostałe górnictwo i wydobywanie</v>
          </cell>
        </row>
        <row r="76">
          <cell r="A76" t="str">
            <v>SEKCJA C PRZETWÓRSTWO PRZEMYSŁOWE</v>
          </cell>
        </row>
        <row r="77">
          <cell r="A77" t="str">
            <v>10   PRODUKCJA ARTYKUŁÓW SPOŻYWCZYCH</v>
          </cell>
        </row>
        <row r="78">
          <cell r="A78" t="str">
            <v xml:space="preserve"> 10.1  Przetwarzanie i konserwowanie mięsa oraz produkcja wyrobów z mięsa</v>
          </cell>
        </row>
        <row r="79">
          <cell r="A79" t="str">
            <v xml:space="preserve"> 10.11.Z Przetwarzanie i konserwowanie mięsa, z wyłączeniem mięsa z drobiu</v>
          </cell>
        </row>
        <row r="80">
          <cell r="A80" t="str">
            <v xml:space="preserve"> 10.12.Z Przetwarzanie i konserwowanie mięsa z drobiu</v>
          </cell>
        </row>
        <row r="81">
          <cell r="A81" t="str">
            <v xml:space="preserve"> 10.13.Z Produkcja wyrobów z mięsa, włączając wyroby z mięsa drobiowego</v>
          </cell>
        </row>
        <row r="82">
          <cell r="A82" t="str">
            <v xml:space="preserve"> 10.20.Z Przetwarzanie i konserwowanie ryb, skorupiaków i mięczaków</v>
          </cell>
        </row>
        <row r="83">
          <cell r="A83" t="str">
            <v xml:space="preserve"> 10.3  Przetwarzanie i konserwowanie owoców i warzyw</v>
          </cell>
        </row>
        <row r="84">
          <cell r="A84" t="str">
            <v xml:space="preserve"> 10.31.Z Przetwarzanie i konserwowanie ziemniaków</v>
          </cell>
        </row>
        <row r="85">
          <cell r="A85" t="str">
            <v xml:space="preserve"> 10.32.Z Produkcja soków z owoców i warzyw</v>
          </cell>
        </row>
        <row r="86">
          <cell r="A86" t="str">
            <v xml:space="preserve"> 10.39.Z Pozostałe przetwarzanie i konserwowanie owoców i warzyw</v>
          </cell>
        </row>
        <row r="87">
          <cell r="A87" t="str">
            <v xml:space="preserve"> 10.4  Produkcja olejów i tłuszczów pochodzenia roślinnego i zwierzęcego</v>
          </cell>
        </row>
        <row r="88">
          <cell r="A88" t="str">
            <v xml:space="preserve"> 10.41.Z Produkcja olejów i pozostałych tłuszczów płynnych</v>
          </cell>
        </row>
        <row r="89">
          <cell r="A89" t="str">
            <v xml:space="preserve"> 10.42.Z Produkcja margaryny i podobnych tłuszczów jadalnych</v>
          </cell>
        </row>
        <row r="90">
          <cell r="A90" t="str">
            <v xml:space="preserve"> 10.5  Wytwarzanie wyrobów mleczarskich</v>
          </cell>
        </row>
        <row r="91">
          <cell r="A91" t="str">
            <v xml:space="preserve"> 10.51.Z Przetwórstwo mleka i wyrób serów</v>
          </cell>
        </row>
        <row r="92">
          <cell r="A92" t="str">
            <v xml:space="preserve"> 10.52.Z Produkcja lodów</v>
          </cell>
        </row>
        <row r="93">
          <cell r="A93" t="str">
            <v xml:space="preserve"> 10.6  Wytwarzanie produktów przemiału zbóż, skrobi i wyrobów skrobiowych</v>
          </cell>
        </row>
        <row r="94">
          <cell r="A94" t="str">
            <v xml:space="preserve"> 10.61.Z Wytwarzanie produktów przemiału zbóż</v>
          </cell>
        </row>
        <row r="95">
          <cell r="A95" t="str">
            <v xml:space="preserve"> 10.62.Z Wytwarzanie skrobi i wyrobów skrobiowych</v>
          </cell>
        </row>
        <row r="96">
          <cell r="A96" t="str">
            <v xml:space="preserve"> 10.7  Produkcja wyrobów piekarskich i mącznych</v>
          </cell>
        </row>
        <row r="97">
          <cell r="A97" t="str">
            <v xml:space="preserve"> 10.71.Z Produkcja pieczywa; produkcja świeżych wyrobów ciastkarskich i ciastek</v>
          </cell>
        </row>
        <row r="98">
          <cell r="A98" t="str">
            <v xml:space="preserve"> 10.72.Z Produkcja sucharów i herbatników, produkcja konserwowanych wyrobów ciastkarskich i ciastek</v>
          </cell>
        </row>
        <row r="99">
          <cell r="A99" t="str">
            <v xml:space="preserve"> 10.73.Z Produkcja makaronów, klusek, kuskusu i podobnych wyrobów mącznych</v>
          </cell>
        </row>
        <row r="100">
          <cell r="A100" t="str">
            <v xml:space="preserve"> 10.8  Produkcja pozostałych artykułów spożywczych</v>
          </cell>
        </row>
        <row r="101">
          <cell r="A101" t="str">
            <v xml:space="preserve"> 10.81.Z Produkcja cukru</v>
          </cell>
        </row>
        <row r="102">
          <cell r="A102" t="str">
            <v xml:space="preserve"> 10.82.Z Produkcja kakao, czekolady i wyrobów cukierniczych</v>
          </cell>
        </row>
        <row r="103">
          <cell r="A103" t="str">
            <v xml:space="preserve"> 10.83.Z Przetwórstwo herbaty i kawy</v>
          </cell>
        </row>
        <row r="104">
          <cell r="A104" t="str">
            <v xml:space="preserve"> 10.84.Z Produkcja przypraw</v>
          </cell>
        </row>
        <row r="105">
          <cell r="A105" t="str">
            <v xml:space="preserve"> 10.85.Z Wytwarzanie gotowych posiłków i dań</v>
          </cell>
        </row>
        <row r="106">
          <cell r="A106" t="str">
            <v xml:space="preserve"> 10.86.Z Produkcja artykułów spożywczych homogenizowanych i żywności dietetycznej</v>
          </cell>
        </row>
        <row r="107">
          <cell r="A107" t="str">
            <v xml:space="preserve"> 10.89.Z Produkcja pozostałych artykułów spożywczych, gdzie indziej niesklasyfikowana</v>
          </cell>
        </row>
        <row r="108">
          <cell r="A108" t="str">
            <v xml:space="preserve"> 10.9  Produkcja gotowych paszy i karmy dla zwierząt</v>
          </cell>
        </row>
        <row r="109">
          <cell r="A109" t="str">
            <v xml:space="preserve"> 10.91.Z Produkcja gotowej paszy dla zwierząt gospodarskich</v>
          </cell>
        </row>
        <row r="110">
          <cell r="A110" t="str">
            <v xml:space="preserve"> 10.92.Z Produkcja gotowej karmy dla zwierząt domowych</v>
          </cell>
        </row>
        <row r="111">
          <cell r="A111" t="str">
            <v>11   PRODUKCJA NAPOJÓW</v>
          </cell>
        </row>
        <row r="112">
          <cell r="A112" t="str">
            <v xml:space="preserve"> 11.0  Produkcja napojów</v>
          </cell>
        </row>
        <row r="113">
          <cell r="A113" t="str">
            <v xml:space="preserve"> 11.01.Z Destylowanie, rektyfikowanie i mieszanie alkoholi</v>
          </cell>
        </row>
        <row r="114">
          <cell r="A114" t="str">
            <v xml:space="preserve"> 11.02.Z Produkcja win gronowych</v>
          </cell>
        </row>
        <row r="115">
          <cell r="A115" t="str">
            <v xml:space="preserve"> 11.03.Z Produkcja cydru i pozostałych win owocowych</v>
          </cell>
        </row>
        <row r="116">
          <cell r="A116" t="str">
            <v xml:space="preserve"> 11.04.Z Produkcja pozostałych niedestylowanych napojów fermentowanych</v>
          </cell>
        </row>
        <row r="117">
          <cell r="A117" t="str">
            <v xml:space="preserve"> 11.05.Z Produkcja piwa</v>
          </cell>
        </row>
        <row r="118">
          <cell r="A118" t="str">
            <v xml:space="preserve"> 11.06.Z Produkcja słodu</v>
          </cell>
        </row>
        <row r="119">
          <cell r="A119" t="str">
            <v xml:space="preserve"> 11.07.Z Produkcja napojów bezalkoholowych; produkcja wód mineralnych i pozostałych wód butelkowanych</v>
          </cell>
        </row>
        <row r="120">
          <cell r="A120" t="str">
            <v xml:space="preserve"> 12.00.Z PRODUKCJA WYROBÓW TYTONIOWYCH</v>
          </cell>
        </row>
        <row r="121">
          <cell r="A121" t="str">
            <v>13   PRODUKCJA WYROBÓW TEKSTYLNYCH</v>
          </cell>
        </row>
        <row r="122">
          <cell r="A122" t="str">
            <v xml:space="preserve"> 13.1 13.10 Przygotowanie i przędzenie włókien tekstylnych</v>
          </cell>
        </row>
        <row r="123">
          <cell r="A123" t="str">
            <v xml:space="preserve"> 13.10.A Produkcja przędzy bawełnianej</v>
          </cell>
        </row>
        <row r="124">
          <cell r="A124" t="str">
            <v xml:space="preserve"> 13.10.B Produkcja przędzy wełnianej</v>
          </cell>
        </row>
        <row r="125">
          <cell r="A125" t="str">
            <v xml:space="preserve"> 13.10.C Produkcja przędzy z włókien chemicznych</v>
          </cell>
        </row>
        <row r="126">
          <cell r="A126" t="str">
            <v xml:space="preserve"> 13.10.D Produkcja przędzy z pozostałych włókien tekstylnych, włączając produkcję nici</v>
          </cell>
        </row>
        <row r="127">
          <cell r="A127" t="str">
            <v xml:space="preserve"> 13.2 13.20 Produkcja tkanin</v>
          </cell>
        </row>
        <row r="128">
          <cell r="A128" t="str">
            <v xml:space="preserve"> 13.20.A Produkcja tkanin bawełnianych</v>
          </cell>
        </row>
        <row r="129">
          <cell r="A129" t="str">
            <v xml:space="preserve"> 13.20.B Produkcja tkanin wełnianych</v>
          </cell>
        </row>
        <row r="130">
          <cell r="A130" t="str">
            <v xml:space="preserve"> 13.20.C Produkcja tkanin z włókien chemicznych</v>
          </cell>
        </row>
        <row r="131">
          <cell r="A131" t="str">
            <v xml:space="preserve"> 13.20.D Produkcja pozostałych tkanin</v>
          </cell>
        </row>
        <row r="132">
          <cell r="A132" t="str">
            <v xml:space="preserve"> 13.30.Z Wykończanie wyrobów włókienniczych</v>
          </cell>
        </row>
        <row r="133">
          <cell r="A133" t="str">
            <v xml:space="preserve"> 13.9  Produkcja pozostałych wyrobów tekstylnych</v>
          </cell>
        </row>
        <row r="134">
          <cell r="A134" t="str">
            <v xml:space="preserve"> 13.91.Z Produkcja dzianin metrażowych</v>
          </cell>
        </row>
        <row r="135">
          <cell r="A135" t="str">
            <v xml:space="preserve"> 13.92.Z Produkcja gotowych wyrobów tekstylnych</v>
          </cell>
        </row>
        <row r="136">
          <cell r="A136" t="str">
            <v xml:space="preserve"> 13.93.Z Produkcja dywanów i chodników</v>
          </cell>
        </row>
        <row r="137">
          <cell r="A137" t="str">
            <v xml:space="preserve"> 13.94.Z Produkcja wyrobów powroźniczych, lin, szpagatów i wyrobów sieciowych</v>
          </cell>
        </row>
        <row r="138">
          <cell r="A138" t="str">
            <v xml:space="preserve"> 13.95.Z Produkcja włóknin i wyrobów wykonanych z włóknin, z wyłączeniem odzieży</v>
          </cell>
        </row>
        <row r="139">
          <cell r="A139" t="str">
            <v xml:space="preserve"> 13.96.Z Produkcja pozostałych technicznych i przemysłowych wyrobów tekstylnych</v>
          </cell>
        </row>
        <row r="140">
          <cell r="A140" t="str">
            <v xml:space="preserve"> 13.99.Z Produkcja pozostałych wyrobów tekstylnych, gdzie indziej niesklasyfikowana</v>
          </cell>
        </row>
        <row r="141">
          <cell r="A141" t="str">
            <v>14   PRODUKCJA ODZIEŻY</v>
          </cell>
        </row>
        <row r="142">
          <cell r="A142" t="str">
            <v xml:space="preserve"> 14.1  Produkcja odzieży, z wyłączeniem wyrobów futrzarskich</v>
          </cell>
        </row>
        <row r="143">
          <cell r="A143" t="str">
            <v xml:space="preserve"> 14.11.Z Produkcja odzieży skórzanej</v>
          </cell>
        </row>
        <row r="144">
          <cell r="A144" t="str">
            <v xml:space="preserve"> 14.12.Z Produkcja odzieży roboczej</v>
          </cell>
        </row>
        <row r="145">
          <cell r="A145" t="str">
            <v xml:space="preserve"> 14.13.Z Produkcja pozostałej odzieży wierzchniej</v>
          </cell>
        </row>
        <row r="146">
          <cell r="A146" t="str">
            <v xml:space="preserve"> 14.14.Z Produkcja bielizny</v>
          </cell>
        </row>
        <row r="147">
          <cell r="A147" t="str">
            <v xml:space="preserve"> 14.19.Z Produkcja pozostałej odzieży i dodatków do odzieży</v>
          </cell>
        </row>
        <row r="148">
          <cell r="A148" t="str">
            <v xml:space="preserve"> 14.20.Z Produkcja wyrobów futrzarskich</v>
          </cell>
        </row>
        <row r="149">
          <cell r="A149" t="str">
            <v xml:space="preserve"> 14.3  Produkcja odzieży dzianej</v>
          </cell>
        </row>
        <row r="150">
          <cell r="A150" t="str">
            <v xml:space="preserve"> 14.31.Z Produkcja wyrobów pończoszniczych</v>
          </cell>
        </row>
        <row r="151">
          <cell r="A151" t="str">
            <v xml:space="preserve"> 14.39.Z Produkcja pozostałej odzieży dzianej</v>
          </cell>
        </row>
        <row r="152">
          <cell r="A152" t="str">
            <v>15   PRODUKCJA SKÓR I WYROBÓW ZE SKÓR WYPRAWIONYCH</v>
          </cell>
        </row>
        <row r="153">
          <cell r="A153" t="str">
            <v xml:space="preserve"> 15.1  Wyprawa skór, garbowanie; wyprawa i barwienie skór futerkowych; produkcja toreb bagażowych, toreb ręcznych i podobnych wyrobów kaletniczych; produkcja wyrobów rymarskich</v>
          </cell>
        </row>
        <row r="154">
          <cell r="A154" t="str">
            <v xml:space="preserve"> 15.11.Z Wyprawa skór, garbowanie; wyprawa i barwienie skór futerkowych</v>
          </cell>
        </row>
        <row r="155">
          <cell r="A155" t="str">
            <v xml:space="preserve"> 15.12.Z Produkcja toreb bagażowych, toreb ręcznych i podobnych wyrobów kaletniczych; produkcja wyrobów rymarskich</v>
          </cell>
        </row>
        <row r="156">
          <cell r="A156" t="str">
            <v xml:space="preserve"> 15.20.Z Produkcja obuwia</v>
          </cell>
        </row>
        <row r="157">
          <cell r="A157" t="str">
            <v>16   PRODUKCJA WYROBÓW Z DREWNA ORAZ KORKA, Z WYŁĄCZENIEM MEBLI; PRODUKCJA WYROBÓW ZE SŁOMY I MATERIAŁÓW UŻYWANYCH DO WYPLATANIA</v>
          </cell>
        </row>
        <row r="158">
          <cell r="A158" t="str">
            <v xml:space="preserve"> 16.10.Z Produkcja wyrobów tartacznych</v>
          </cell>
        </row>
        <row r="159">
          <cell r="A159" t="str">
            <v xml:space="preserve"> 16.2  Produkcja wyrobów z drewna, korka, słomy i materiałów używanych do wyplatania</v>
          </cell>
        </row>
        <row r="160">
          <cell r="A160" t="str">
            <v xml:space="preserve"> 16.21.Z Produkcja arkuszy fornirowych i płyt wykonanych na bazie drewna</v>
          </cell>
        </row>
        <row r="161">
          <cell r="A161" t="str">
            <v xml:space="preserve"> 16.22.Z Produkcja gotowych parkietów podłogowych</v>
          </cell>
        </row>
        <row r="162">
          <cell r="A162" t="str">
            <v xml:space="preserve"> 16.23.Z Produkcja pozostałych wyrobów stolarskich i ciesielskich dla budownictwa</v>
          </cell>
        </row>
        <row r="163">
          <cell r="A163" t="str">
            <v xml:space="preserve"> 16.24.Z Produkcja opakowań drewnianych</v>
          </cell>
        </row>
        <row r="164">
          <cell r="A164" t="str">
            <v xml:space="preserve"> 16.29.Z Produkcja pozostałych wyrobów z drewna; produkcja wyrobów z korka, słomy i materiałów używanych do wyplatania</v>
          </cell>
        </row>
        <row r="165">
          <cell r="A165" t="str">
            <v>17   PRODUKCJA PAPIERU I WYROBÓW Z PAPIERU</v>
          </cell>
        </row>
        <row r="166">
          <cell r="A166" t="str">
            <v xml:space="preserve"> 17.1  Produkcja masy włóknistej, papieru i tektury</v>
          </cell>
        </row>
        <row r="167">
          <cell r="A167" t="str">
            <v xml:space="preserve"> 17.11.Z Produkcja masy włóknistej</v>
          </cell>
        </row>
        <row r="168">
          <cell r="A168" t="str">
            <v xml:space="preserve"> 17.12.Z Produkcja papieru i tektury</v>
          </cell>
        </row>
        <row r="169">
          <cell r="A169" t="str">
            <v xml:space="preserve"> 17.2  Produkcja wyrobów z papieru i tektury</v>
          </cell>
        </row>
        <row r="170">
          <cell r="A170" t="str">
            <v xml:space="preserve"> 17.21.Z Produkcja papieru falistego i tektury falistej oraz opakowań z papieru i tektury</v>
          </cell>
        </row>
        <row r="171">
          <cell r="A171" t="str">
            <v xml:space="preserve"> 17.22.Z Produkcja artykułów gospodarstwa domowego, toaletowych i sanitarnych</v>
          </cell>
        </row>
        <row r="172">
          <cell r="A172" t="str">
            <v xml:space="preserve"> 17.23.Z Produkcja artykułów piśmiennych</v>
          </cell>
        </row>
        <row r="173">
          <cell r="A173" t="str">
            <v xml:space="preserve"> 17.24.Z Produkcja tapet</v>
          </cell>
        </row>
        <row r="174">
          <cell r="A174" t="str">
            <v xml:space="preserve"> 17.29.Z Produkcja pozostałych wyrobów z papieru i tektury</v>
          </cell>
        </row>
        <row r="175">
          <cell r="A175" t="str">
            <v>18   POLIGRAFIA I REPRODUKCJA ZAPISANYCH NOŚNIKÓW INFORMACJI</v>
          </cell>
        </row>
        <row r="176">
          <cell r="A176" t="str">
            <v xml:space="preserve"> 18.1  Drukowanie i działalność usługowa związana z poligrafią</v>
          </cell>
        </row>
        <row r="177">
          <cell r="A177" t="str">
            <v xml:space="preserve"> 18.11.Z Drukowanie gazet</v>
          </cell>
        </row>
        <row r="178">
          <cell r="A178" t="str">
            <v xml:space="preserve"> 18.12.Z Pozostałe drukowanie</v>
          </cell>
        </row>
        <row r="179">
          <cell r="A179" t="str">
            <v xml:space="preserve"> 18.13.Z Działalność usługowa związana z przygotowywaniem do druku</v>
          </cell>
        </row>
        <row r="180">
          <cell r="A180" t="str">
            <v xml:space="preserve"> 18.14.Z Introligatorstwo i podobne usługi</v>
          </cell>
        </row>
        <row r="181">
          <cell r="A181" t="str">
            <v xml:space="preserve"> 18.20.Z Reprodukcja zapisanych nośników informacji</v>
          </cell>
        </row>
        <row r="182">
          <cell r="A182" t="str">
            <v>19   WYTWARZANIE I PRZETWARZANIE KOKSU I PRODUKTÓW RAFINACJI ROPY NAFTOWEJ</v>
          </cell>
        </row>
        <row r="183">
          <cell r="A183" t="str">
            <v xml:space="preserve"> 19.10.Z Wytwarzanie i przetwarzanie koksu</v>
          </cell>
        </row>
        <row r="184">
          <cell r="A184" t="str">
            <v xml:space="preserve"> 19.20.Z Wytwarzanie i przetwarzanie produktów rafinacji ropy naftowej</v>
          </cell>
        </row>
        <row r="185">
          <cell r="A185" t="str">
            <v>20   PRODUKCJA CHEMIKALIÓW I WYROBÓW CHEMICZNYCH</v>
          </cell>
        </row>
        <row r="186">
          <cell r="A186" t="str">
            <v xml:space="preserve"> 20.1  Produkcja podstawowych chemikaliów, nawozów i związków azotowych, tworzyw sztucznych i kauczuku syntetycznego w formach podstawowych</v>
          </cell>
        </row>
        <row r="187">
          <cell r="A187" t="str">
            <v xml:space="preserve"> 20.11.Z Produkcja gazów technicznych</v>
          </cell>
        </row>
        <row r="188">
          <cell r="A188" t="str">
            <v xml:space="preserve"> 20.12.Z Produkcja barwników i pigmentów</v>
          </cell>
        </row>
        <row r="189">
          <cell r="A189" t="str">
            <v xml:space="preserve"> 20.13.Z Produkcja pozostałych podstawowych chemikaliów nieorganicznych</v>
          </cell>
        </row>
        <row r="190">
          <cell r="A190" t="str">
            <v xml:space="preserve"> 20.14.Z Produkcja pozostałych podstawowych chemikaliów organicznych</v>
          </cell>
        </row>
        <row r="191">
          <cell r="A191" t="str">
            <v xml:space="preserve"> 20.15.Z Produkcja nawozów i związków azotowych</v>
          </cell>
        </row>
        <row r="192">
          <cell r="A192" t="str">
            <v xml:space="preserve"> 20.16.Z Produkcja tworzyw sztucznych w formach podstawowych</v>
          </cell>
        </row>
        <row r="193">
          <cell r="A193" t="str">
            <v xml:space="preserve"> 20.17.Z Produkcja kauczuku syntetycznego w formach podstawowych</v>
          </cell>
        </row>
        <row r="194">
          <cell r="A194" t="str">
            <v xml:space="preserve"> 20.20.Z Produkcja pestycydów i pozostałych środków agrochemicznych</v>
          </cell>
        </row>
        <row r="195">
          <cell r="A195" t="str">
            <v xml:space="preserve"> 20.30.Z Produkcja farb, lakierów i podobnych powłok, farb drukarskich i mas uszczelniających</v>
          </cell>
        </row>
        <row r="196">
          <cell r="A196" t="str">
            <v xml:space="preserve"> 20.4  Produkcja mydła i detergentów, środków myjących i czyszczących, wyrobów kosmetycznych i toaletowych</v>
          </cell>
        </row>
        <row r="197">
          <cell r="A197" t="str">
            <v xml:space="preserve"> 20.41.Z Produkcja mydła i detergentów, środków myjących i czyszczących</v>
          </cell>
        </row>
        <row r="198">
          <cell r="A198" t="str">
            <v xml:space="preserve"> 20.42.Z Produkcja wyrobów kosmetycznych i toaletowych</v>
          </cell>
        </row>
        <row r="199">
          <cell r="A199" t="str">
            <v xml:space="preserve"> 20.5  Produkcja pozostałych wyrobów chemicznych</v>
          </cell>
        </row>
        <row r="200">
          <cell r="A200" t="str">
            <v xml:space="preserve"> 20.51.Z Produkcja materiałów wybuchowych</v>
          </cell>
        </row>
        <row r="201">
          <cell r="A201" t="str">
            <v xml:space="preserve"> 20.52.Z Produkcja klejów</v>
          </cell>
        </row>
        <row r="202">
          <cell r="A202" t="str">
            <v xml:space="preserve"> 20.53.Z Produkcja olejków eterycznych</v>
          </cell>
        </row>
        <row r="203">
          <cell r="A203" t="str">
            <v xml:space="preserve"> 20.59.Z Produkcja pozostałych wyrobów chemicznych, gdzie indziej niesklasyfikowana</v>
          </cell>
        </row>
        <row r="204">
          <cell r="A204" t="str">
            <v xml:space="preserve"> 20.60.Z Produkcja włókien chemicznych</v>
          </cell>
        </row>
        <row r="205">
          <cell r="A205" t="str">
            <v>21   PRODUKCJA PODSTAWOWYCH SUBSTANCJI FARMACEUTYCZNYCH ORAZ LEKÓW I POZOSTAŁYCH WYROBÓW FARMACEUTYCZNYCH</v>
          </cell>
        </row>
        <row r="206">
          <cell r="A206" t="str">
            <v xml:space="preserve"> 21.10.Z Produkcja podstawowych substancji farmaceutycznych</v>
          </cell>
        </row>
        <row r="207">
          <cell r="A207" t="str">
            <v xml:space="preserve"> 21.20.Z Produkcja leków i pozostałych wyrobów farmaceutycznych</v>
          </cell>
        </row>
        <row r="208">
          <cell r="A208" t="str">
            <v>22   PRODUKCJA WYROBÓW Z GUMY I TWORZYW SZTUCZNYCH</v>
          </cell>
        </row>
        <row r="209">
          <cell r="A209" t="str">
            <v xml:space="preserve"> 22.1  Produkcja wyrobów z gumy</v>
          </cell>
        </row>
        <row r="210">
          <cell r="A210" t="str">
            <v xml:space="preserve"> 22.11.Z Produkcja opon i dętek z gumy; bieżnikowanie i regenerowanie opon z gumy</v>
          </cell>
        </row>
        <row r="211">
          <cell r="A211" t="str">
            <v xml:space="preserve"> 22.19.Z Produkcja pozostałych wyrobów z gumy</v>
          </cell>
        </row>
        <row r="212">
          <cell r="A212" t="str">
            <v xml:space="preserve"> 22.2  Produkcja wyrobów z tworzyw sztucznych</v>
          </cell>
        </row>
        <row r="213">
          <cell r="A213" t="str">
            <v xml:space="preserve"> 22.21.Z Produkcja płyt, arkuszy, rur i kształtowników z tworzyw sztucznych</v>
          </cell>
        </row>
        <row r="214">
          <cell r="A214" t="str">
            <v xml:space="preserve"> 22.22.Z Produkcja opakowań z tworzyw sztucznych</v>
          </cell>
        </row>
        <row r="215">
          <cell r="A215" t="str">
            <v xml:space="preserve"> 22.23.Z Produkcja wyrobów dla budownictwa z tworzyw sztucznych</v>
          </cell>
        </row>
        <row r="216">
          <cell r="A216" t="str">
            <v xml:space="preserve"> 22.29.Z Produkcja pozostałych wyrobów z tworzyw sztucznych</v>
          </cell>
        </row>
        <row r="217">
          <cell r="A217" t="str">
            <v>23   PRODUKCJA WYROBÓW Z POZOSTAŁYCH MINERALNYCH SUROWCÓW NIEMETALICZNYCH</v>
          </cell>
        </row>
        <row r="218">
          <cell r="A218" t="str">
            <v xml:space="preserve"> 23.1  Produkcja szkła i wyrobów ze szkła</v>
          </cell>
        </row>
        <row r="219">
          <cell r="A219" t="str">
            <v xml:space="preserve"> 23.11.Z Produkcja szkła płaskiego</v>
          </cell>
        </row>
        <row r="220">
          <cell r="A220" t="str">
            <v xml:space="preserve"> 23.12.Z Kształtowanie i obróbka szkła płaskiego</v>
          </cell>
        </row>
        <row r="221">
          <cell r="A221" t="str">
            <v xml:space="preserve"> 23.13.Z Produkcja szkła gospodarczego</v>
          </cell>
        </row>
        <row r="222">
          <cell r="A222" t="str">
            <v xml:space="preserve"> 23.14.Z Produkcja włókien szklanych</v>
          </cell>
        </row>
        <row r="223">
          <cell r="A223" t="str">
            <v xml:space="preserve"> 23.19.Z Produkcja i obróbka pozostałego szkła, włączając szkło techniczne</v>
          </cell>
        </row>
        <row r="224">
          <cell r="A224" t="str">
            <v xml:space="preserve"> 23.20.Z Produkcja wyrobów ogniotrwałych</v>
          </cell>
        </row>
        <row r="225">
          <cell r="A225" t="str">
            <v xml:space="preserve"> 23.3  Produkcja ceramicznych materiałów budowlanych</v>
          </cell>
        </row>
        <row r="226">
          <cell r="A226" t="str">
            <v xml:space="preserve"> 23.31.Z Produkcja ceramicznych kafli i płytek</v>
          </cell>
        </row>
        <row r="227">
          <cell r="A227" t="str">
            <v xml:space="preserve"> 23.32.Z Produkcja cegieł, dachówek i materiałów budowlanych, z wypalanej gliny</v>
          </cell>
        </row>
        <row r="228">
          <cell r="A228" t="str">
            <v xml:space="preserve"> 23.4  Produkcja pozostałych wyrobów z porcelany i ceramiki</v>
          </cell>
        </row>
        <row r="229">
          <cell r="A229" t="str">
            <v xml:space="preserve"> 23.41.Z Produkcja ceramicznych wyrobów stołowych i ozdobnych</v>
          </cell>
        </row>
        <row r="230">
          <cell r="A230" t="str">
            <v xml:space="preserve"> 23.42.Z Produkcja ceramicznych wyrobów sanitarnych</v>
          </cell>
        </row>
        <row r="231">
          <cell r="A231" t="str">
            <v xml:space="preserve"> 23.43.Z Produkcja ceramicznych izolatorów i osłon izolacyjnych</v>
          </cell>
        </row>
        <row r="232">
          <cell r="A232" t="str">
            <v xml:space="preserve"> 23.44.Z Produkcja pozostałych technicznych wyrobów ceramicznych</v>
          </cell>
        </row>
        <row r="233">
          <cell r="A233" t="str">
            <v xml:space="preserve"> 23.49.Z Produkcja pozostałych wyrobów ceramicznych</v>
          </cell>
        </row>
        <row r="234">
          <cell r="A234" t="str">
            <v xml:space="preserve"> 23.5  Produkcja cementu, wapna i gipsu</v>
          </cell>
        </row>
        <row r="235">
          <cell r="A235" t="str">
            <v xml:space="preserve"> 23.51.Z Produkcja cementu</v>
          </cell>
        </row>
        <row r="236">
          <cell r="A236" t="str">
            <v xml:space="preserve"> 23.52.Z Produkcja wapna i gipsu</v>
          </cell>
        </row>
        <row r="237">
          <cell r="A237" t="str">
            <v xml:space="preserve"> 23.6  Produkcja wyrobów z betonu, cementu i gipsu</v>
          </cell>
        </row>
        <row r="238">
          <cell r="A238" t="str">
            <v xml:space="preserve"> 23.61.Z Produkcja wyrobów budowlanych z betonu</v>
          </cell>
        </row>
        <row r="239">
          <cell r="A239" t="str">
            <v xml:space="preserve"> 23.62.Z Produkcja wyrobów budowlanych z gipsu</v>
          </cell>
        </row>
        <row r="240">
          <cell r="A240" t="str">
            <v xml:space="preserve"> 23.63.Z Produkcja masy betonowej prefabrykowanej</v>
          </cell>
        </row>
        <row r="241">
          <cell r="A241" t="str">
            <v xml:space="preserve"> 23.64.Z Produkcja zaprawy murarskiej</v>
          </cell>
        </row>
        <row r="242">
          <cell r="A242" t="str">
            <v xml:space="preserve"> 23.65.Z Produkcja cementu wzmocnionego włóknem</v>
          </cell>
        </row>
        <row r="243">
          <cell r="A243" t="str">
            <v xml:space="preserve"> 23.69.Z Produkcja pozostałych wyrobów z betonu, gipsu i cementu</v>
          </cell>
        </row>
        <row r="244">
          <cell r="A244" t="str">
            <v xml:space="preserve"> 23.70.Z Cięcie, formowanie i wykańczanie kamienia</v>
          </cell>
        </row>
        <row r="245">
          <cell r="A245" t="str">
            <v xml:space="preserve"> 23.9  Produkcja wyrobów ściernych i pozostałych wyrobów z mineralnych surowców niemetalicznych, gdzie indziej niesklasyfikowana</v>
          </cell>
        </row>
        <row r="246">
          <cell r="A246" t="str">
            <v xml:space="preserve"> 23.91.Z Produkcja wyrobów ściernych</v>
          </cell>
        </row>
        <row r="247">
          <cell r="A247" t="str">
            <v xml:space="preserve"> 23.99.Z Produkcja pozostałych wyrobów z mineralnych surowców niemetalicznych, gdzie indziej niesklasyfikowana</v>
          </cell>
        </row>
        <row r="248">
          <cell r="A248" t="str">
            <v>24   PRODUKCJA METALI</v>
          </cell>
        </row>
        <row r="249">
          <cell r="A249" t="str">
            <v xml:space="preserve"> 24.10.Z Produkcja surówki, żelazostopów, żeliwa i stali oraz wyrobów hutniczych</v>
          </cell>
        </row>
        <row r="250">
          <cell r="A250" t="str">
            <v xml:space="preserve"> 24.20.Z Produkcja rur, przewodów, kształtowników zamkniętych i łączników, ze stali</v>
          </cell>
        </row>
        <row r="251">
          <cell r="A251" t="str">
            <v xml:space="preserve"> 24.3  Produkcja pozostałych wyrobów ze stali poddanej wstępnej obróbce</v>
          </cell>
        </row>
        <row r="252">
          <cell r="A252" t="str">
            <v xml:space="preserve"> 24.31.Z Produkcja prętów ciągnionych na zimno</v>
          </cell>
        </row>
        <row r="253">
          <cell r="A253" t="str">
            <v xml:space="preserve"> 24.32.Z Produkcja wyrobów płaskich walcowanych na zimno</v>
          </cell>
        </row>
        <row r="254">
          <cell r="A254" t="str">
            <v xml:space="preserve"> 24.33.Z Produkcja wyrobów formowanych na zimno</v>
          </cell>
        </row>
        <row r="255">
          <cell r="A255" t="str">
            <v xml:space="preserve"> 24.34.Z Produkcja drutu</v>
          </cell>
        </row>
        <row r="256">
          <cell r="A256" t="str">
            <v xml:space="preserve"> 24.4  Produkcja metali szlachetnych i innych metali nieżelaznych</v>
          </cell>
        </row>
        <row r="257">
          <cell r="A257" t="str">
            <v xml:space="preserve"> 24.41.Z Produkcja metali szlachetnych</v>
          </cell>
        </row>
        <row r="258">
          <cell r="A258" t="str">
            <v xml:space="preserve">  24.42 Produkcja aluminium</v>
          </cell>
        </row>
        <row r="259">
          <cell r="A259" t="str">
            <v xml:space="preserve"> 24.42.A Produkcja aluminium hutniczego</v>
          </cell>
        </row>
        <row r="260">
          <cell r="A260" t="str">
            <v xml:space="preserve"> 24.42.B Produkcja wyrobów z aluminium i stopów aluminium</v>
          </cell>
        </row>
        <row r="261">
          <cell r="A261" t="str">
            <v xml:space="preserve"> 24.43.Z Produkcja ołowiu, cynku i cyny</v>
          </cell>
        </row>
        <row r="262">
          <cell r="A262" t="str">
            <v xml:space="preserve"> 24.44.Z Produkcja miedzi</v>
          </cell>
        </row>
        <row r="263">
          <cell r="A263" t="str">
            <v xml:space="preserve"> 24.45.Z Produkcja pozostałych metali nieżelaznych</v>
          </cell>
        </row>
        <row r="264">
          <cell r="A264" t="str">
            <v xml:space="preserve"> 24.46.Z Wytwarzanie paliw jądrowych</v>
          </cell>
        </row>
        <row r="265">
          <cell r="A265" t="str">
            <v xml:space="preserve"> 24.5  Odlewnictwo metali</v>
          </cell>
        </row>
        <row r="266">
          <cell r="A266" t="str">
            <v xml:space="preserve"> 24.51.Z Odlewnictwo żeliwa</v>
          </cell>
        </row>
        <row r="267">
          <cell r="A267" t="str">
            <v xml:space="preserve"> 24.52.Z Odlewnictwo staliwa</v>
          </cell>
        </row>
        <row r="268">
          <cell r="A268" t="str">
            <v xml:space="preserve"> 24.53.Z Odlewnictwo metali lekkich</v>
          </cell>
        </row>
        <row r="269">
          <cell r="A269" t="str">
            <v xml:space="preserve">  24.54 Odlewnictwo pozostałych metali nieżelaznych</v>
          </cell>
        </row>
        <row r="270">
          <cell r="A270" t="str">
            <v xml:space="preserve"> 24.54.A Odlewnictwo miedzi i stopów miedzi</v>
          </cell>
        </row>
        <row r="271">
          <cell r="A271" t="str">
            <v xml:space="preserve"> 24.54.B Odlewnictwo pozostałych metali nieżelaznych, gdzie indziej niesklasyfikowane</v>
          </cell>
        </row>
        <row r="272">
          <cell r="A272" t="str">
            <v>25   PRODUKCJA METALOWYCH WYROBÓW GOTOWYCH, Z WYŁĄCZENIEM MASZYN I URZĄDZEŃ</v>
          </cell>
        </row>
        <row r="273">
          <cell r="A273" t="str">
            <v xml:space="preserve"> 25.1  Produkcja metalowych elementów konstrukcyjnych</v>
          </cell>
        </row>
        <row r="274">
          <cell r="A274" t="str">
            <v xml:space="preserve"> 25.11.Z Produkcja konstrukcji metalowych i ich części</v>
          </cell>
        </row>
        <row r="275">
          <cell r="A275" t="str">
            <v xml:space="preserve"> 25.12.Z Produkcja metalowych elementów stolarki budowlanej</v>
          </cell>
        </row>
        <row r="276">
          <cell r="A276" t="str">
            <v xml:space="preserve"> 25.2  Produkcja zbiorników, cystern i pojemników metalowych</v>
          </cell>
        </row>
        <row r="277">
          <cell r="A277" t="str">
            <v xml:space="preserve"> 25.21.Z Produkcja grzejników i kotłów centralnego ogrzewania</v>
          </cell>
        </row>
        <row r="278">
          <cell r="A278" t="str">
            <v xml:space="preserve"> 25.29.Z Produkcja pozostałych zbiorników, cystern i pojemników metalowych</v>
          </cell>
        </row>
        <row r="279">
          <cell r="A279" t="str">
            <v xml:space="preserve"> 25.30.Z Produkcja wytwornic pary, z wyłączeniem kotłów do centralnego ogrzewania gorącą wodą</v>
          </cell>
        </row>
        <row r="280">
          <cell r="A280" t="str">
            <v xml:space="preserve"> 25.40.Z Produkcja broni i amunicji</v>
          </cell>
        </row>
        <row r="281">
          <cell r="A281" t="str">
            <v xml:space="preserve"> 25.50.Z Kucie, prasowanie, wytłaczanie i walcowanie metali; metalurgia proszków</v>
          </cell>
        </row>
        <row r="282">
          <cell r="A282" t="str">
            <v xml:space="preserve"> 25.6  Obróbka metali i nakładanie powłok na metale; obróbka mechaniczna elementów metalowych</v>
          </cell>
        </row>
        <row r="283">
          <cell r="A283" t="str">
            <v xml:space="preserve"> 25.61.Z Obróbka metali i nakładanie powłok na metale</v>
          </cell>
        </row>
        <row r="284">
          <cell r="A284" t="str">
            <v xml:space="preserve"> 25.62.Z Obróbka mechaniczna elementów metalowych</v>
          </cell>
        </row>
        <row r="285">
          <cell r="A285" t="str">
            <v xml:space="preserve"> 25.7  Produkcja wyrobów nożowniczych, sztućców, narzędzi i wyrobów metalowych ogólnego przeznaczenia</v>
          </cell>
        </row>
        <row r="286">
          <cell r="A286" t="str">
            <v xml:space="preserve"> 25.71.Z Produkcja wyrobów nożowniczych i sztućców</v>
          </cell>
        </row>
        <row r="287">
          <cell r="A287" t="str">
            <v xml:space="preserve"> 25.72.Z Produkcja zamków i zawiasów</v>
          </cell>
        </row>
        <row r="288">
          <cell r="A288" t="str">
            <v xml:space="preserve"> 25.73.Z Produkcja narzędzi</v>
          </cell>
        </row>
        <row r="289">
          <cell r="A289" t="str">
            <v xml:space="preserve"> 25.9  Produkcja pozostałych gotowych wyrobów metalowych</v>
          </cell>
        </row>
        <row r="290">
          <cell r="A290" t="str">
            <v xml:space="preserve"> 25.91.Z Produkcja pojemników metalowych</v>
          </cell>
        </row>
        <row r="291">
          <cell r="A291" t="str">
            <v xml:space="preserve"> 25.92.Z Produkcja opakowań z metali</v>
          </cell>
        </row>
        <row r="292">
          <cell r="A292" t="str">
            <v xml:space="preserve"> 25.93.Z Produkcja wyrobów z drutu, łańcuchów i sprężyn</v>
          </cell>
        </row>
        <row r="293">
          <cell r="A293" t="str">
            <v xml:space="preserve"> 25.94.Z Produkcja złączy i śrub</v>
          </cell>
        </row>
        <row r="294">
          <cell r="A294" t="str">
            <v xml:space="preserve"> 25.99.Z Produkcja pozostałych gotowych wyrobów metalowych, gdzie indziej niesklasyfikowana</v>
          </cell>
        </row>
        <row r="295">
          <cell r="A295" t="str">
            <v>26   PRODUKCJA KOMPUTERÓW, WYROBÓW ELEKTRONICZNYCH I OPTYCZNYCH</v>
          </cell>
        </row>
        <row r="296">
          <cell r="A296" t="str">
            <v xml:space="preserve"> 26.1  Produkcja elektronicznych elementów i obwodów drukowanych</v>
          </cell>
        </row>
        <row r="297">
          <cell r="A297" t="str">
            <v xml:space="preserve"> 26.11.Z Produkcja elementów elektronicznych</v>
          </cell>
        </row>
        <row r="298">
          <cell r="A298" t="str">
            <v xml:space="preserve"> 26.12.Z Produkcja elektronicznych obwodów drukowanych</v>
          </cell>
        </row>
        <row r="299">
          <cell r="A299" t="str">
            <v xml:space="preserve"> 26.20.Z Produkcja komputerów i urządzeń peryferyjnych</v>
          </cell>
        </row>
        <row r="300">
          <cell r="A300" t="str">
            <v xml:space="preserve"> 26.30.Z Produkcja sprzętu (tele)komunikacyjnego</v>
          </cell>
        </row>
        <row r="301">
          <cell r="A301" t="str">
            <v xml:space="preserve"> 26.40.Z Produkcja elektronicznego sprzętu powszechnego użytku</v>
          </cell>
        </row>
        <row r="302">
          <cell r="A302" t="str">
            <v xml:space="preserve"> 26.5  Produkcja instrumentów i przyrządów pomiarowych, kontrolnych i nawigacyjnych; produkcja zegarków i zegarów</v>
          </cell>
        </row>
        <row r="303">
          <cell r="A303" t="str">
            <v xml:space="preserve"> 26.51.Z Produkcja instrumentów i przyrządów pomiarowych, kontrolnych i nawigacyjnych</v>
          </cell>
        </row>
        <row r="304">
          <cell r="A304" t="str">
            <v xml:space="preserve"> 26.52.Z Produkcja zegarków i zegarów</v>
          </cell>
        </row>
        <row r="305">
          <cell r="A305" t="str">
            <v xml:space="preserve"> 26.60.Z Produkcja urządzeń napromieniowujących, sprzętu elektromedycznego i elektroterapeutycznego</v>
          </cell>
        </row>
        <row r="306">
          <cell r="A306" t="str">
            <v xml:space="preserve"> 26.70.Z Produkcja instrumentów optycznych i sprzętu fotograficznego</v>
          </cell>
        </row>
        <row r="307">
          <cell r="A307" t="str">
            <v xml:space="preserve"> 26.80.Z Produkcja magnetycznych i optycznych niezapisanych nośników informacji</v>
          </cell>
        </row>
        <row r="308">
          <cell r="A308" t="str">
            <v>27   PRODUKCJA URZĄDZEŃ ELEKTRYCZNYCH</v>
          </cell>
        </row>
        <row r="309">
          <cell r="A309" t="str">
            <v xml:space="preserve"> 27.1  Produkcja elektrycznych silników, prądnic, transformatorów, aparatury rozdzielczej i sterowniczej energii elektrycznej</v>
          </cell>
        </row>
        <row r="310">
          <cell r="A310" t="str">
            <v xml:space="preserve"> 27.11.Z Produkcja elektrycznych silników, prądnic i transformatorów</v>
          </cell>
        </row>
        <row r="311">
          <cell r="A311" t="str">
            <v xml:space="preserve"> 27.12.Z Produkcja aparatury rozdzielczej i sterowniczej energii elektrycznej</v>
          </cell>
        </row>
        <row r="312">
          <cell r="A312" t="str">
            <v xml:space="preserve"> 27.20.Z Produkcja baterii i akumulatorów</v>
          </cell>
        </row>
        <row r="313">
          <cell r="A313" t="str">
            <v xml:space="preserve"> 27.3  Produkcja izolowanych przewodów i kabli oraz sprzętu instalacyjnego</v>
          </cell>
        </row>
        <row r="314">
          <cell r="A314" t="str">
            <v xml:space="preserve"> 27.31.Z Produkcja kabli światłowodowych</v>
          </cell>
        </row>
        <row r="315">
          <cell r="A315" t="str">
            <v xml:space="preserve"> 27.32.Z Produkcja pozostałych elektronicznych i elektrycznych przewodów i kabli</v>
          </cell>
        </row>
        <row r="316">
          <cell r="A316" t="str">
            <v xml:space="preserve"> 27.33.Z Produkcja sprzętu instalacyjnego</v>
          </cell>
        </row>
        <row r="317">
          <cell r="A317" t="str">
            <v xml:space="preserve"> 27.40.Z Produkcja elektrycznego sprzętu oświetleniowego</v>
          </cell>
        </row>
        <row r="318">
          <cell r="A318" t="str">
            <v xml:space="preserve"> 27.5  Produkcja sprzętu gospodarstwa domowego</v>
          </cell>
        </row>
        <row r="319">
          <cell r="A319" t="str">
            <v xml:space="preserve"> 27.51.Z Produkcja elektrycznego sprzętu gospodarstwa domowego</v>
          </cell>
        </row>
        <row r="320">
          <cell r="A320" t="str">
            <v xml:space="preserve"> 27.52.Z Produkcja nieelektrycznego sprzętu gospodarstwa domowego</v>
          </cell>
        </row>
        <row r="321">
          <cell r="A321" t="str">
            <v xml:space="preserve"> 27.90.Z Produkcja pozostałego sprzętu elektrycznego</v>
          </cell>
        </row>
        <row r="322">
          <cell r="A322" t="str">
            <v>28   PRODUKCJA MASZYN I URZĄDZEŃ, GDZIE INDZIEJ NIESKLASYFIKOWANA</v>
          </cell>
        </row>
        <row r="323">
          <cell r="A323" t="str">
            <v xml:space="preserve"> 28.1  Produkcja maszyn ogólnego przeznaczenia</v>
          </cell>
        </row>
        <row r="324">
          <cell r="A324" t="str">
            <v xml:space="preserve"> 28.11.Z Produkcja silników i turbin, z wyłączeniem silników lotniczych, samochodowych i motocyklowych</v>
          </cell>
        </row>
        <row r="325">
          <cell r="A325" t="str">
            <v xml:space="preserve"> 28.12.Z Produkcja sprzętu i wyposażenia do napędu hydraulicznego i pneumatycznego</v>
          </cell>
        </row>
        <row r="326">
          <cell r="A326" t="str">
            <v xml:space="preserve"> 28.13.Z Produkcja pozostałych pomp i sprężarek</v>
          </cell>
        </row>
        <row r="327">
          <cell r="A327" t="str">
            <v xml:space="preserve"> 28.14.Z Produkcja pozostałych kurków i zaworów</v>
          </cell>
        </row>
        <row r="328">
          <cell r="A328" t="str">
            <v xml:space="preserve"> 28.15.Z Produkcja łożysk, kół zębatych, przekładni zębatych i elementów napędowych</v>
          </cell>
        </row>
        <row r="329">
          <cell r="A329" t="str">
            <v xml:space="preserve"> 28.2  Produkcja pozostałych maszyn ogólnego przeznaczenia</v>
          </cell>
        </row>
        <row r="330">
          <cell r="A330" t="str">
            <v xml:space="preserve"> 28.21.Z Produkcja pieców, palenisk i palników piecowych</v>
          </cell>
        </row>
        <row r="331">
          <cell r="A331" t="str">
            <v xml:space="preserve"> 28.22.Z Produkcja urządzeń dźwigowych i chwytaków</v>
          </cell>
        </row>
        <row r="332">
          <cell r="A332" t="str">
            <v xml:space="preserve"> 28.23.Z Produkcja maszyn i sprzętu biurowego, z wyłączeniem komputerów i urządzeń peryferyjnych</v>
          </cell>
        </row>
        <row r="333">
          <cell r="A333" t="str">
            <v xml:space="preserve"> 28.24.Z Produkcja narzędzi ręcznych mechanicznych</v>
          </cell>
        </row>
        <row r="334">
          <cell r="A334" t="str">
            <v xml:space="preserve"> 28.25.Z Produkcja przemysłowych urządzeń chłodniczych i wentylacyjnych</v>
          </cell>
        </row>
        <row r="335">
          <cell r="A335" t="str">
            <v xml:space="preserve"> 28.29.Z Produkcja pozostałych maszyn ogólnego przeznaczenia, gdzie indziej niesklasyfikowana</v>
          </cell>
        </row>
        <row r="336">
          <cell r="A336" t="str">
            <v xml:space="preserve"> 28.30.Z Produkcja maszyn dla rolnictwa i leśnictwa</v>
          </cell>
        </row>
        <row r="337">
          <cell r="A337" t="str">
            <v xml:space="preserve"> 28.4  Produkcja maszyn i narzędzi mechanicznych</v>
          </cell>
        </row>
        <row r="338">
          <cell r="A338" t="str">
            <v xml:space="preserve"> 28.41.Z Produkcja maszyn do obróbki metalu</v>
          </cell>
        </row>
        <row r="339">
          <cell r="A339" t="str">
            <v xml:space="preserve"> 28.49.Z Produkcja pozostałych narzędzi mechanicznych</v>
          </cell>
        </row>
        <row r="340">
          <cell r="A340" t="str">
            <v xml:space="preserve"> 28.9  Produkcja pozostałych maszyn specjalnego przeznaczenia</v>
          </cell>
        </row>
        <row r="341">
          <cell r="A341" t="str">
            <v xml:space="preserve"> 28.91.Z Produkcja maszyn dla metalurgii</v>
          </cell>
        </row>
        <row r="342">
          <cell r="A342" t="str">
            <v xml:space="preserve"> 28.92.Z Produkcja maszyn dla górnictwa i do wydobywania oraz budownictwa</v>
          </cell>
        </row>
        <row r="343">
          <cell r="A343" t="str">
            <v xml:space="preserve"> 28.93.Z Produkcja maszyn stosowanych w przetwórstwie żywności, tytoniu i produkcji napojów</v>
          </cell>
        </row>
        <row r="344">
          <cell r="A344" t="str">
            <v xml:space="preserve"> 28.94.Z Produkcja maszyn dla przemysłu tekstylnego, odzieżowego i skórzanego</v>
          </cell>
        </row>
        <row r="345">
          <cell r="A345" t="str">
            <v xml:space="preserve"> 28.95.Z Produkcja maszyn dla przemysłu papierniczego</v>
          </cell>
        </row>
        <row r="346">
          <cell r="A346" t="str">
            <v xml:space="preserve"> 28.96.Z Produkcja maszyn do obróbki gumy lub tworzyw sztucznych oraz wytwarzania wyrobów z tych materiałów</v>
          </cell>
        </row>
        <row r="347">
          <cell r="A347" t="str">
            <v xml:space="preserve"> 28.99.Z Produkcja pozostałych maszyn specjalnego przeznaczenia, gdzie indziej niesklasyfikowana</v>
          </cell>
        </row>
        <row r="348">
          <cell r="A348" t="str">
            <v>29   PRODUKCJA POJAZDÓW SAMOCHODOWYCH, PRZYCZEP I NACZEP, Z WYŁĄCZENIEM MOTOCYKLI</v>
          </cell>
        </row>
        <row r="349">
          <cell r="A349" t="str">
            <v xml:space="preserve"> 29.1 29.10 Produkcja pojazdów samochodowych, z wyłączeniem motocykli</v>
          </cell>
        </row>
        <row r="350">
          <cell r="A350" t="str">
            <v xml:space="preserve"> 29.10.A Produkcja silników do pojazdów samochodowych (z wyłączeniem motocykli) oraz do ciągników rolniczych</v>
          </cell>
        </row>
        <row r="351">
          <cell r="A351" t="str">
            <v xml:space="preserve"> 29.10.B Produkcja samochodów osobowych</v>
          </cell>
        </row>
        <row r="352">
          <cell r="A352" t="str">
            <v xml:space="preserve"> 29.10.C Produkcja autobusów</v>
          </cell>
        </row>
        <row r="353">
          <cell r="A353" t="str">
            <v xml:space="preserve"> 29.10.D Produkcja pojazdów samochodowych przeznaczonych do przewozu towarów</v>
          </cell>
        </row>
        <row r="354">
          <cell r="A354" t="str">
            <v xml:space="preserve"> 29.10.E Produkcja pozostałych pojazdów samochodowych, z wyłączeniem motocykli </v>
          </cell>
        </row>
        <row r="355">
          <cell r="A355" t="str">
            <v xml:space="preserve"> 29.20.Z Produkcja nadwozi do pojazdów silnikowych; produkcja przyczep i naczep</v>
          </cell>
        </row>
        <row r="356">
          <cell r="A356" t="str">
            <v xml:space="preserve"> 29.3  Produkcja części i akcesoriów do pojazdów silnikowych</v>
          </cell>
        </row>
        <row r="357">
          <cell r="A357" t="str">
            <v xml:space="preserve"> 29.31.Z Produkcja wyposażenia elektrycznego i elektronicznego do pojazdów silnikowych</v>
          </cell>
        </row>
        <row r="358">
          <cell r="A358" t="str">
            <v xml:space="preserve"> 29.32.Z Produkcja pozostałych części i akcesoriów do pojazdów silnikowych, z wyłączeniem motocykli</v>
          </cell>
        </row>
        <row r="359">
          <cell r="A359" t="str">
            <v>30   PRODUKCJA POZOSTAŁEGO SPRZĘTU TRANSPORTOWEGO</v>
          </cell>
        </row>
        <row r="360">
          <cell r="A360" t="str">
            <v xml:space="preserve"> 30.1  Produkcja statków i łodzi</v>
          </cell>
        </row>
        <row r="361">
          <cell r="A361" t="str">
            <v xml:space="preserve"> 30.11.Z Produkcja statków i konstrukcji pływających</v>
          </cell>
        </row>
        <row r="362">
          <cell r="A362" t="str">
            <v xml:space="preserve"> 30.12.Z Produkcja łodzi wycieczkowych i sportowych</v>
          </cell>
        </row>
        <row r="363">
          <cell r="A363" t="str">
            <v xml:space="preserve"> 30.20.Z Produkcja lokomotyw kolejowych oraz taboru szynowego</v>
          </cell>
        </row>
        <row r="364">
          <cell r="A364" t="str">
            <v xml:space="preserve"> 30.30.Z Produkcja statków powietrznych, statków kosmicznych i podobnych maszyn</v>
          </cell>
        </row>
        <row r="365">
          <cell r="A365" t="str">
            <v xml:space="preserve"> 30.40.Z Produkcja wojskowych pojazdów bojowych</v>
          </cell>
        </row>
        <row r="366">
          <cell r="A366" t="str">
            <v xml:space="preserve"> 30.9  Produkcja sprzętu transportowego, gdzie indziej niesklasyfikowana</v>
          </cell>
        </row>
        <row r="367">
          <cell r="A367" t="str">
            <v xml:space="preserve"> 30.91.Z Produkcja motocykli</v>
          </cell>
        </row>
        <row r="368">
          <cell r="A368" t="str">
            <v xml:space="preserve"> 30.92.Z Produkcja rowerów i wózków inwalidzkich</v>
          </cell>
        </row>
        <row r="369">
          <cell r="A369" t="str">
            <v xml:space="preserve"> 30.99.Z Produkcja pozostałego sprzętu transportowego, gdzie indziej niesklasyfikowana</v>
          </cell>
        </row>
        <row r="370">
          <cell r="A370" t="str">
            <v>31 31.0  PRODUKCJA MEBLI</v>
          </cell>
        </row>
        <row r="371">
          <cell r="A371" t="str">
            <v xml:space="preserve"> 31.01.Z Produkcja mebli biurowych i sklepowych</v>
          </cell>
        </row>
        <row r="372">
          <cell r="A372" t="str">
            <v xml:space="preserve"> 31.02.Z Produkcja mebli kuchennych</v>
          </cell>
        </row>
        <row r="373">
          <cell r="A373" t="str">
            <v xml:space="preserve"> 31.03.Z Produkcja materaców</v>
          </cell>
        </row>
        <row r="374">
          <cell r="A374" t="str">
            <v xml:space="preserve"> 31.09.Z Produkcja pozostałych mebli</v>
          </cell>
        </row>
        <row r="375">
          <cell r="A375" t="str">
            <v>32   POZOSTAŁA PRODUKCJA WYROBÓW</v>
          </cell>
        </row>
        <row r="376">
          <cell r="A376" t="str">
            <v xml:space="preserve"> 32.1  Produkcja wyrobów jubilerskich, biżuterii i podobnych wyrobów</v>
          </cell>
        </row>
        <row r="377">
          <cell r="A377" t="str">
            <v xml:space="preserve"> 32.11.Z Produkcja monet</v>
          </cell>
        </row>
        <row r="378">
          <cell r="A378" t="str">
            <v xml:space="preserve"> 32.12.Z Produkcja wyrobów jubilerskich i podobnych</v>
          </cell>
        </row>
        <row r="379">
          <cell r="A379" t="str">
            <v xml:space="preserve"> 32.13.Z Produkcja sztucznej biżuterii i wyrobów podobnych</v>
          </cell>
        </row>
        <row r="380">
          <cell r="A380" t="str">
            <v xml:space="preserve"> 32.20.Z Produkcja instrumentów muzycznych</v>
          </cell>
        </row>
        <row r="381">
          <cell r="A381" t="str">
            <v xml:space="preserve"> 32.30.Z Produkcja sprzętu sportowego</v>
          </cell>
        </row>
        <row r="382">
          <cell r="A382" t="str">
            <v xml:space="preserve"> 32.40.Z Produkcja gier i zabawek</v>
          </cell>
        </row>
        <row r="383">
          <cell r="A383" t="str">
            <v xml:space="preserve"> 32.50.Z Produkcja urządzeń, instrumentów oraz wyrobów medycznych, włączając dentystyczne</v>
          </cell>
        </row>
        <row r="384">
          <cell r="A384" t="str">
            <v xml:space="preserve"> 32.9  Produkcja wyrobów, gdzie indziej niesklasyfikowana</v>
          </cell>
        </row>
        <row r="385">
          <cell r="A385" t="str">
            <v xml:space="preserve"> 32.91.Z Produkcja mioteł, szczotek i pędzli</v>
          </cell>
        </row>
        <row r="386">
          <cell r="A386" t="str">
            <v xml:space="preserve"> 32.99.Z Produkcja pozostałych wyrobów, gdzie indziej niesklasyfikowana</v>
          </cell>
        </row>
        <row r="387">
          <cell r="A387" t="str">
            <v>33   NAPRAWA, KONSERWACJA I INSTALOWANIE MASZYN I URZĄDZEŃ</v>
          </cell>
        </row>
        <row r="388">
          <cell r="A388" t="str">
            <v xml:space="preserve"> 33.1  Naprawa i konserwacja metalowych wyrobów gotowych, maszyn i urządzeń</v>
          </cell>
        </row>
        <row r="389">
          <cell r="A389" t="str">
            <v xml:space="preserve"> 33.11.Z Naprawa i konserwacja metalowych wyrobów gotowych</v>
          </cell>
        </row>
        <row r="390">
          <cell r="A390" t="str">
            <v xml:space="preserve"> 33.12.Z Naprawa i konserwacja maszyn</v>
          </cell>
        </row>
        <row r="391">
          <cell r="A391" t="str">
            <v xml:space="preserve"> 33.13.Z Naprawa i konserwacja urządzeń elektronicznych i optycznych</v>
          </cell>
        </row>
        <row r="392">
          <cell r="A392" t="str">
            <v xml:space="preserve"> 33.14.Z Naprawa i konserwacja urządzeń elektrycznych</v>
          </cell>
        </row>
        <row r="393">
          <cell r="A393" t="str">
            <v xml:space="preserve"> 33.15.Z Naprawa i konserwacja statków i łodzi</v>
          </cell>
        </row>
        <row r="394">
          <cell r="A394" t="str">
            <v xml:space="preserve"> 33.16.Z Naprawa i konserwacja statków powietrznych i statków kosmicznych</v>
          </cell>
        </row>
        <row r="395">
          <cell r="A395" t="str">
            <v xml:space="preserve"> 33.17.Z Naprawa i konserwacja pozostałego sprzętu transportowego</v>
          </cell>
        </row>
        <row r="396">
          <cell r="A396" t="str">
            <v xml:space="preserve"> 33.19.Z Naprawa i konserwacja pozostałego sprzętu i wyposażenia</v>
          </cell>
        </row>
        <row r="397">
          <cell r="A397" t="str">
            <v xml:space="preserve"> 33.20.Z Instalowanie maszyn przemysłowych, sprzętu i wyposażenia</v>
          </cell>
        </row>
        <row r="398">
          <cell r="A398" t="str">
            <v>SEKCJA D WYTWARZANIE I ZAOPATRYWANIE W ENERGIĘ ELEKTRYCZNĄ, GAZ, PARĘ WODNĄ, GORĄCĄ WODĘ I POWIETRZE DO UKŁADÓW KLIMATYZACYJNYCH</v>
          </cell>
        </row>
        <row r="399">
          <cell r="A399" t="str">
            <v>35   WYTWARZANIE I ZAOPATRYWANIE W ENERGIĘ ELEKTRYCZNĄ, GAZ, PARĘ WODNĄ, GORĄCĄ WODĘ I POWIETRZE DO UKŁADÓW KLIMATYZACYJNYCH</v>
          </cell>
        </row>
        <row r="400">
          <cell r="A400" t="str">
            <v xml:space="preserve"> 35.1  Wytwarzanie, przesyłanie, dystrybucja i handel energią elektryczną</v>
          </cell>
        </row>
        <row r="401">
          <cell r="A401" t="str">
            <v xml:space="preserve"> 35.11.Z Wytwarzanie energii elektrycznej</v>
          </cell>
        </row>
        <row r="402">
          <cell r="A402" t="str">
            <v xml:space="preserve"> 35.12.Z Przesyłanie energii elektrycznej</v>
          </cell>
        </row>
        <row r="403">
          <cell r="A403" t="str">
            <v xml:space="preserve"> 35.13.Z Dystrybucja energii elektrycznej</v>
          </cell>
        </row>
        <row r="404">
          <cell r="A404" t="str">
            <v xml:space="preserve"> 35.14.Z Handel energią elektryczną</v>
          </cell>
        </row>
        <row r="405">
          <cell r="A405" t="str">
            <v xml:space="preserve"> 35.2  Wytwarzanie paliw gazowych; dystrybucja i handel paliwami gazowymi w systemie sieciowym</v>
          </cell>
        </row>
        <row r="406">
          <cell r="A406" t="str">
            <v xml:space="preserve"> 35.21.Z Wytwarzanie paliw gazowych</v>
          </cell>
        </row>
        <row r="407">
          <cell r="A407" t="str">
            <v xml:space="preserve"> 35.22.Z Dystrybucja paliw gazowych w systemie sieciowym</v>
          </cell>
        </row>
        <row r="408">
          <cell r="A408" t="str">
            <v xml:space="preserve"> 35.23.Z Handel paliwami gazowymi w systemie sieciowym</v>
          </cell>
        </row>
        <row r="409">
          <cell r="A409" t="str">
            <v xml:space="preserve"> 35.30.Z Wytwarzanie i zaopatrywanie w parę wodną, gorącą wodę i powietrze do układów klimatyzacyjnych</v>
          </cell>
        </row>
        <row r="410">
          <cell r="A410" t="str">
            <v>SEKCJA E  DOSTAWA WODY; GOSPODAROWANIE ŚCIEKAMI I ODPADAMI ORAZ DZIAŁALNOŚĆ ZWIĄZANA Z REKULTYWACJĄ</v>
          </cell>
        </row>
        <row r="411">
          <cell r="A411" t="str">
            <v xml:space="preserve"> 36.00.Z POBÓR, UZDATNIANIE I DOSTARCZANIE WODY</v>
          </cell>
        </row>
        <row r="412">
          <cell r="A412" t="str">
            <v xml:space="preserve"> 37.00.Z ODPROWADZANIE I OCZYSZCZANIE ŚCIEKÓW</v>
          </cell>
        </row>
        <row r="413">
          <cell r="A413" t="str">
            <v>38   DZIAŁALNOŚĆ ZWIĄZANA ZE ZBIERANIEM,</v>
          </cell>
        </row>
        <row r="414">
          <cell r="A414" t="str">
            <v xml:space="preserve">   PRZETWARZANIEM I UNIESZKODLIWIANIEM ODPADÓW;</v>
          </cell>
        </row>
        <row r="415">
          <cell r="A415" t="str">
            <v xml:space="preserve">   ODZYSK SUROWCÓW</v>
          </cell>
        </row>
        <row r="416">
          <cell r="A416" t="str">
            <v xml:space="preserve"> 38.1  Zbieranie odpadów</v>
          </cell>
        </row>
        <row r="417">
          <cell r="A417" t="str">
            <v xml:space="preserve"> 38.11.Z Zbieranie odpadów innych niż niebezpieczne</v>
          </cell>
        </row>
        <row r="418">
          <cell r="A418" t="str">
            <v xml:space="preserve"> 38.12.Z Zbieranie odpadów niebezpiecznych</v>
          </cell>
        </row>
        <row r="419">
          <cell r="A419" t="str">
            <v xml:space="preserve"> 38.2  Przetwarzanie i unieszkodliwianie odpadów</v>
          </cell>
        </row>
        <row r="420">
          <cell r="A420" t="str">
            <v xml:space="preserve"> 38.21.Z Obróbka i usuwanie odpadów innych niż niebezpieczne</v>
          </cell>
        </row>
        <row r="421">
          <cell r="A421" t="str">
            <v xml:space="preserve"> 38.22.Z Przetwarzanie i unieszkodliwianie odpadów niebezpiecznych</v>
          </cell>
        </row>
        <row r="422">
          <cell r="A422" t="str">
            <v xml:space="preserve"> 38.3  Odzysk surowców</v>
          </cell>
        </row>
        <row r="423">
          <cell r="A423" t="str">
            <v xml:space="preserve"> 38.31.Z Demontaż wyrobów zużytych</v>
          </cell>
        </row>
        <row r="424">
          <cell r="A424" t="str">
            <v xml:space="preserve"> 38.32.Z Odzysk surowców z materiałów segregowanych</v>
          </cell>
        </row>
        <row r="425">
          <cell r="A425" t="str">
            <v xml:space="preserve"> 39.00.Z DZIAŁALNOŚĆ ZWIĄZANA Z REKULTYWACJĄ I POZOSTAŁA DZIAŁALNOŚĆ USŁUGOWA ZWIĄZANA Z GOSPODARKĄ ODPADAMI</v>
          </cell>
        </row>
        <row r="426">
          <cell r="A426" t="str">
            <v>SEKCJA F BUDOWNICTWO</v>
          </cell>
        </row>
        <row r="427">
          <cell r="A427" t="str">
            <v>41   ROBOTY BUDOWLANE ZWIĄZANE ZE WZNOSZENIEM BUDYNKÓW</v>
          </cell>
        </row>
        <row r="428">
          <cell r="A428" t="str">
            <v xml:space="preserve"> 41.10.Z Realizacja projektów budowlanych związanych ze wznoszeniem budynków</v>
          </cell>
        </row>
        <row r="429">
          <cell r="A429" t="str">
            <v xml:space="preserve"> 41.20.Z Roboty budowlane związane ze wznoszeniem budynków mieszkalnych i niemieszkalnych</v>
          </cell>
        </row>
        <row r="430">
          <cell r="A430" t="str">
            <v>42   ROBOTY ZWIĄZANE Z BUDOWĄ OBIEKTÓW INŻYNIERII LĄDOWEJ I WODNEJ</v>
          </cell>
        </row>
        <row r="431">
          <cell r="A431" t="str">
            <v xml:space="preserve"> 42.1  Roboty związane z budową dróg kołowych i szynowych</v>
          </cell>
        </row>
        <row r="432">
          <cell r="A432" t="str">
            <v xml:space="preserve"> 42.11.Z Roboty związane z budową dróg i autostrad</v>
          </cell>
        </row>
        <row r="433">
          <cell r="A433" t="str">
            <v xml:space="preserve"> 42.12.Z Roboty związane z budową dróg szynowych i kolei podziemnej</v>
          </cell>
        </row>
        <row r="434">
          <cell r="A434" t="str">
            <v xml:space="preserve"> 42.13.Z Roboty związane z budową mostów i tuneli</v>
          </cell>
        </row>
        <row r="435">
          <cell r="A435" t="str">
            <v xml:space="preserve"> 42.2  Roboty związane z budową rurociągów, linii telekomunikacyjnych i elektroenergetycznych</v>
          </cell>
        </row>
        <row r="436">
          <cell r="A436" t="str">
            <v xml:space="preserve"> 42.21.Z Roboty związane z budową rurociągów przesyłowych i sieci rozdzielczych</v>
          </cell>
        </row>
        <row r="437">
          <cell r="A437" t="str">
            <v xml:space="preserve"> 42.22.Z Roboty związane z budową linii telekomunikacyjnych i elektroenergetycznych</v>
          </cell>
        </row>
        <row r="438">
          <cell r="A438" t="str">
            <v xml:space="preserve"> 42.9  Roboty związane z budową pozostałych obiektów inżynierii lądowej i wodnej</v>
          </cell>
        </row>
        <row r="439">
          <cell r="A439" t="str">
            <v xml:space="preserve"> 42.91.Z Roboty związane z budową obiektów inżynierii wodnej</v>
          </cell>
        </row>
        <row r="440">
          <cell r="A440" t="str">
            <v xml:space="preserve"> 42.99.Z Roboty związane z budową pozostałych obiektów inżynierii lądowej i wodnej, gdzie indziej niesklasyfikowane</v>
          </cell>
        </row>
        <row r="441">
          <cell r="A441" t="str">
            <v>43   ROBOTY BUDOWLANE SPECJALISTYCZNE</v>
          </cell>
        </row>
        <row r="442">
          <cell r="A442" t="str">
            <v xml:space="preserve"> 43.1  Rozbiórka i przygotowanie terenu pod budowę</v>
          </cell>
        </row>
        <row r="443">
          <cell r="A443" t="str">
            <v xml:space="preserve"> 43.11.Z Rozbiórka i burzenie obiektów budowlanych</v>
          </cell>
        </row>
        <row r="444">
          <cell r="A444" t="str">
            <v xml:space="preserve"> 43.12.Z Przygotowanie terenu pod budowę</v>
          </cell>
        </row>
        <row r="445">
          <cell r="A445" t="str">
            <v xml:space="preserve"> 43.13.Z Wykonywanie wykopów i wierceń geologiczno-inżynierskich</v>
          </cell>
        </row>
        <row r="446">
          <cell r="A446" t="str">
            <v xml:space="preserve"> 43.2  Wykonywanie instalacji elektrycznych, wodno-kanalizacyjnych i pozostałych instalacji budowlanych</v>
          </cell>
        </row>
        <row r="447">
          <cell r="A447" t="str">
            <v xml:space="preserve"> 43.21.Z Wykonywanie instalacji elektrycznych</v>
          </cell>
        </row>
        <row r="448">
          <cell r="A448" t="str">
            <v xml:space="preserve"> 43.22.Z Wykonywanie instalacji wodno-kanalizacyjnych, cieplnych, gazowych i klimatyzacyjnych </v>
          </cell>
        </row>
        <row r="449">
          <cell r="A449" t="str">
            <v xml:space="preserve"> 43.29.Z Wykonywanie pozostałych instalacji budowlanych</v>
          </cell>
        </row>
        <row r="450">
          <cell r="A450" t="str">
            <v xml:space="preserve"> 43.3  Wykonywanie robót budowlanych wykończeniowych</v>
          </cell>
        </row>
        <row r="451">
          <cell r="A451" t="str">
            <v xml:space="preserve"> 43.31.Z Tynkowanie</v>
          </cell>
        </row>
        <row r="452">
          <cell r="A452" t="str">
            <v xml:space="preserve"> 43.32.Z Zakładanie stolarki budowlanej</v>
          </cell>
        </row>
        <row r="453">
          <cell r="A453" t="str">
            <v xml:space="preserve"> 43.33.Z Posadzkarstwo; tapetowanie i oblicowywanie ścian</v>
          </cell>
        </row>
        <row r="454">
          <cell r="A454" t="str">
            <v xml:space="preserve"> 43.34.Z Malowanie i szklenie</v>
          </cell>
        </row>
        <row r="455">
          <cell r="A455" t="str">
            <v xml:space="preserve"> 43.39.Z Wykonywanie pozostałych robót budowlanych wykończeniowych</v>
          </cell>
        </row>
        <row r="456">
          <cell r="A456" t="str">
            <v xml:space="preserve"> 43.9  Pozostałe specjalistyczne roboty budowlane</v>
          </cell>
        </row>
        <row r="457">
          <cell r="A457" t="str">
            <v xml:space="preserve"> 43.91.Z Wykonywanie konstrukcji i pokryć dachowych</v>
          </cell>
        </row>
        <row r="458">
          <cell r="A458" t="str">
            <v xml:space="preserve"> 43.99.Z Pozostałe specjalistyczne roboty budowlane, gdzie indziej niesklasyfikowane</v>
          </cell>
        </row>
        <row r="459">
          <cell r="A459" t="str">
            <v>SEKCJA G HANDEL HURTOWY I DETALICZNY; NAPRAWA POJAZDÓW SAMOCHODOWYCH, WŁĄCZAJĄC MOTOCYKLE</v>
          </cell>
        </row>
        <row r="460">
          <cell r="A460" t="str">
            <v>45   HANDEL HURTOWY I DETALICZNY POJAZDAMI SAMOCHODOWYMI; NAPRAWA POJAZDÓW SAMOCHODOWYCH</v>
          </cell>
        </row>
        <row r="461">
          <cell r="A461" t="str">
            <v xml:space="preserve"> 45.1  Sprzedaż hurtowa i detaliczna pojazdów samochodowych, z wyłączeniem motocykli</v>
          </cell>
        </row>
        <row r="462">
          <cell r="A462" t="str">
            <v xml:space="preserve"> 45.11.Z Sprzedaż hurtowa i detaliczna samochodów osobowych i furgonetek</v>
          </cell>
        </row>
        <row r="463">
          <cell r="A463" t="str">
            <v xml:space="preserve"> 45.19.Z Sprzedaż hurtowa i detaliczna pozostałych pojazdów samochodowych, z wyłączeniem motocykli</v>
          </cell>
        </row>
        <row r="464">
          <cell r="A464" t="str">
            <v xml:space="preserve"> 45.20.Z Konserwacja i naprawa pojazdów samochodowych, z wyłączeniem motocykli</v>
          </cell>
        </row>
        <row r="465">
          <cell r="A465" t="str">
            <v xml:space="preserve"> 45.3  Sprzedaż hurtowa i detaliczna części i akcesoriów do pojazdów samochodowych, z wyłączeniem motocykli</v>
          </cell>
        </row>
        <row r="466">
          <cell r="A466" t="str">
            <v xml:space="preserve"> 45.31.Z Sprzedaż hurtowa części i akcesoriów do pojazdów samochodowych, z wyłączeniem motocykli</v>
          </cell>
        </row>
        <row r="467">
          <cell r="A467" t="str">
            <v xml:space="preserve"> 45.32.Z Sprzedaż detaliczna części i akcesoriów do pojazdów samochodowych, z wyłączeniem motocykli</v>
          </cell>
        </row>
        <row r="468">
          <cell r="A468" t="str">
            <v xml:space="preserve"> 45.40.Z Sprzedaż hurtowa i detaliczna motocykli, ich naprawa i konserwacja oraz sprzedaż hurtowa i detaliczna części i akcesoriów do nich</v>
          </cell>
        </row>
        <row r="469">
          <cell r="A469" t="str">
            <v>46   HANDEL HURTOWY, Z WYŁĄCZENIEM HANDLU POJAZDAMI SAMOCHODOWYMI</v>
          </cell>
        </row>
        <row r="470">
          <cell r="A470" t="str">
            <v xml:space="preserve"> 46.1  Sprzedaż hurtowa realizowana na zlecenie</v>
          </cell>
        </row>
        <row r="471">
          <cell r="A471" t="str">
            <v xml:space="preserve"> 46.11.Z Działalność agentów zajmujących się sprzedażą płodów rolnych, żywych zwierząt, surowców dla przemysłu tekstylnego i półproduktów</v>
          </cell>
        </row>
        <row r="472">
          <cell r="A472" t="str">
            <v xml:space="preserve"> 46.12.Z Działalność agentów zajmujących się sprzedażą paliw, rud, metali i chemikaliów przemysłowych</v>
          </cell>
        </row>
        <row r="473">
          <cell r="A473" t="str">
            <v xml:space="preserve"> 46.13.Z Działalność agentów zajmujących się sprzedażą drewna i materiałów budowlanych</v>
          </cell>
        </row>
        <row r="474">
          <cell r="A474" t="str">
            <v xml:space="preserve"> 46.14.Z Działalność agentów zajmujących się sprzedażą maszyn, urządzeń przemysłowych, statków i samolotów</v>
          </cell>
        </row>
        <row r="475">
          <cell r="A475" t="str">
            <v xml:space="preserve"> 46.15.Z Działalność agentów zajmujących się sprzedażą mebli, artykułów gospodarstwa domowego i drobnych wyrobów metalowych</v>
          </cell>
        </row>
        <row r="476">
          <cell r="A476" t="str">
            <v xml:space="preserve"> 46.16.Z Działalność agentów zajmujących się sprzedażą wyrobów tekstylnych, odzieży, wyrobów futrzarskich, obuwia i artykułów skórzanych</v>
          </cell>
        </row>
        <row r="477">
          <cell r="A477" t="str">
            <v xml:space="preserve"> 46.17.Z Działalność agentów zajmujących się sprzedażą żywności, napojów i wyrobów tytoniowych</v>
          </cell>
        </row>
        <row r="478">
          <cell r="A478" t="str">
            <v xml:space="preserve"> 46.18.Z Działalność agentów specjalizujących się w sprzedaży pozostałych określonych towarów</v>
          </cell>
        </row>
        <row r="479">
          <cell r="A479" t="str">
            <v xml:space="preserve"> 46.19.Z Działalność agentów zajmujących się sprzedażą towarów różnego rodzaju</v>
          </cell>
        </row>
        <row r="480">
          <cell r="A480" t="str">
            <v xml:space="preserve"> 46.2  Sprzedaż hurtowa płodów rolnych i żywych zwierząt</v>
          </cell>
        </row>
        <row r="481">
          <cell r="A481" t="str">
            <v xml:space="preserve"> 46.21.Z Sprzedaż hurtowa zboża, nieprzetworzonego tytoniu, nasion i pasz dla zwierząt</v>
          </cell>
        </row>
        <row r="482">
          <cell r="A482" t="str">
            <v xml:space="preserve"> 46.22.Z Sprzedaż hurtowa kwiatów i roślin</v>
          </cell>
        </row>
        <row r="483">
          <cell r="A483" t="str">
            <v xml:space="preserve"> 46.23.Z Sprzedaż hurtowa żywych zwierząt</v>
          </cell>
        </row>
        <row r="484">
          <cell r="A484" t="str">
            <v xml:space="preserve"> 46.24.Z Sprzedaż hurtowa skór</v>
          </cell>
        </row>
        <row r="485">
          <cell r="A485" t="str">
            <v xml:space="preserve"> 46.3  Sprzedaż hurtowa żywności, napojów i wyrobów tytoniowych</v>
          </cell>
        </row>
        <row r="486">
          <cell r="A486" t="str">
            <v xml:space="preserve"> 46.31.Z Sprzedaż hurtowa owoców i warzyw</v>
          </cell>
        </row>
        <row r="487">
          <cell r="A487" t="str">
            <v xml:space="preserve"> 46.32.Z Sprzedaż hurtowa mięsa i wyrobów z mięsa</v>
          </cell>
        </row>
        <row r="488">
          <cell r="A488" t="str">
            <v xml:space="preserve"> 46.33.Z Sprzedaż hurtowa mleka, wyrobów mleczarskich, jaj, olejów i tłuszczów jadalnych</v>
          </cell>
        </row>
        <row r="489">
          <cell r="A489" t="str">
            <v xml:space="preserve">  46.34 Sprzedaż hurtowa napojów alkoholowych i bezalkoholowych</v>
          </cell>
        </row>
        <row r="490">
          <cell r="A490" t="str">
            <v xml:space="preserve"> 46.34.A Sprzedaż hurtowa napojów alkoholowych</v>
          </cell>
        </row>
        <row r="491">
          <cell r="A491" t="str">
            <v xml:space="preserve"> 46.34.B Sprzedaż hurtowa napojów bezalkoholowych</v>
          </cell>
        </row>
        <row r="492">
          <cell r="A492" t="str">
            <v xml:space="preserve"> 46.35.Z Sprzedaż hurtowa wyrobów tytoniowych</v>
          </cell>
        </row>
        <row r="493">
          <cell r="A493" t="str">
            <v xml:space="preserve"> 46.36.Z Sprzedaż hurtowa cukru, czekolady, wyrobów cukierniczych i piekarskich</v>
          </cell>
        </row>
        <row r="494">
          <cell r="A494" t="str">
            <v xml:space="preserve"> 46.37.Z Sprzedaż hurtowa herbaty, kawy, kakao i przypraw</v>
          </cell>
        </row>
        <row r="495">
          <cell r="A495" t="str">
            <v xml:space="preserve"> 46.38.Z Sprzedaż hurtowa pozostałej żywności, włączając ryby, skorupiaki i mięczaki</v>
          </cell>
        </row>
        <row r="496">
          <cell r="A496" t="str">
            <v xml:space="preserve"> 46.39.Z Sprzedaż hurtowa niewyspecjalizowana żywności, napojów i wyrobów tytoniowych</v>
          </cell>
        </row>
        <row r="497">
          <cell r="A497" t="str">
            <v xml:space="preserve"> 46.4  Sprzedaż hurtowa artykułów użytku domowego</v>
          </cell>
        </row>
        <row r="498">
          <cell r="A498" t="str">
            <v xml:space="preserve"> 46.41.Z Sprzedaż hurtowa wyrobów tekstylnych</v>
          </cell>
        </row>
        <row r="499">
          <cell r="A499" t="str">
            <v xml:space="preserve"> 46.42.Z Sprzedaż hurtowa odzieży i obuwia</v>
          </cell>
        </row>
        <row r="500">
          <cell r="A500" t="str">
            <v xml:space="preserve"> 46.43.Z Sprzedaż hurtowa elektrycznych artykułów użytku domowego</v>
          </cell>
        </row>
        <row r="501">
          <cell r="A501" t="str">
            <v xml:space="preserve"> 46.44.Z Sprzedaż hurtowa wyrobów porcelanowych, ceramicznych i szklanych oraz środków czyszczących</v>
          </cell>
        </row>
        <row r="502">
          <cell r="A502" t="str">
            <v xml:space="preserve"> 46.45.Z Sprzedaż hurtowa perfum i kosmetyków</v>
          </cell>
        </row>
        <row r="503">
          <cell r="A503" t="str">
            <v xml:space="preserve"> 46.46.Z Sprzedaż hurtowa wyrobów farmaceutycznych i medycznych</v>
          </cell>
        </row>
        <row r="504">
          <cell r="A504" t="str">
            <v xml:space="preserve"> 46.47.Z Sprzedaż hurtowa mebli, dywanów i sprzętu oświetleniowego</v>
          </cell>
        </row>
        <row r="505">
          <cell r="A505" t="str">
            <v xml:space="preserve"> 46.48.Z Sprzedaż hurtowa zegarków, zegarów i biżuterii</v>
          </cell>
        </row>
        <row r="506">
          <cell r="A506" t="str">
            <v xml:space="preserve"> 46.49.Z Sprzedaż hurtowa pozostałych artykułów użytku domowego</v>
          </cell>
        </row>
        <row r="507">
          <cell r="A507" t="str">
            <v xml:space="preserve"> 46.5  Sprzedaż hurtowa narzędzi technologii informacyjnej i komunikacyjnej</v>
          </cell>
        </row>
        <row r="508">
          <cell r="A508" t="str">
            <v xml:space="preserve"> 46.51.Z Sprzedaż hurtowa komputerów, urządzeń peryferyjnych i oprogramowania</v>
          </cell>
        </row>
        <row r="509">
          <cell r="A509" t="str">
            <v xml:space="preserve"> 46.52.Z Sprzedaż hurtowa sprzętu elektronicznego i telekomunikacyjnego oraz części do niego</v>
          </cell>
        </row>
        <row r="510">
          <cell r="A510" t="str">
            <v xml:space="preserve"> 46.6  Sprzedaż hurtowa maszyn, urządzeń i dodatkowego wyposażenia</v>
          </cell>
        </row>
        <row r="511">
          <cell r="A511" t="str">
            <v xml:space="preserve"> 46.61.Z Sprzedaż hurtowa maszyn i urządzeń rolniczych oraz dodatkowego wyposażenia</v>
          </cell>
        </row>
        <row r="512">
          <cell r="A512" t="str">
            <v xml:space="preserve"> 46.62.Z Sprzedaż hurtowa obrabiarek</v>
          </cell>
        </row>
        <row r="513">
          <cell r="A513" t="str">
            <v xml:space="preserve"> 46.63.Z Sprzedaż hurtowa maszyn wykorzystywanych w górnictwie, budownictwie oraz inżynierii lądowej i wodnej</v>
          </cell>
        </row>
        <row r="514">
          <cell r="A514" t="str">
            <v xml:space="preserve"> 46.64.Z Sprzedaż hurtowa maszyn dla przemysłu tekstylnego oraz maszyn do szycia i maszyn dziewiarskich</v>
          </cell>
        </row>
        <row r="515">
          <cell r="A515" t="str">
            <v xml:space="preserve"> 46.65.Z Sprzedaż hurtowa mebli biurowych</v>
          </cell>
        </row>
        <row r="516">
          <cell r="A516" t="str">
            <v xml:space="preserve"> 46.66.Z Sprzedaż hurtowa pozostałych maszyn i urządzeń biurowych</v>
          </cell>
        </row>
        <row r="517">
          <cell r="A517" t="str">
            <v xml:space="preserve"> 46.69.Z Sprzedaż hurtowa pozostałych maszyn i urządzeń</v>
          </cell>
        </row>
        <row r="518">
          <cell r="A518" t="str">
            <v xml:space="preserve"> 46.7  Pozostała wyspecjalizowana sprzedaż hurtowa</v>
          </cell>
        </row>
        <row r="519">
          <cell r="A519" t="str">
            <v xml:space="preserve"> 46.71.Z Sprzedaż hurtowa paliw i produktów pochodnych</v>
          </cell>
        </row>
        <row r="520">
          <cell r="A520" t="str">
            <v xml:space="preserve"> 46.72.Z Sprzedaż hurtowa metali i rud metali</v>
          </cell>
        </row>
        <row r="521">
          <cell r="A521" t="str">
            <v xml:space="preserve"> 46.73.Z Sprzedaż hurtowa drewna, materiałów budowlanych i wyposażenia sanitarnego</v>
          </cell>
        </row>
        <row r="522">
          <cell r="A522" t="str">
            <v xml:space="preserve"> 46.74.Z Sprzedaż hurtowa wyrobów metalowych oraz sprzętu i dodatkowego wyposażenia hydraulicznego i grzejnego</v>
          </cell>
        </row>
        <row r="523">
          <cell r="A523" t="str">
            <v xml:space="preserve"> 46.75.Z Sprzedaż hurtowa wyrobów chemicznych</v>
          </cell>
        </row>
        <row r="524">
          <cell r="A524" t="str">
            <v xml:space="preserve"> 46.76.Z Sprzedaż hurtowa pozostałych półproduktów</v>
          </cell>
        </row>
        <row r="525">
          <cell r="A525" t="str">
            <v xml:space="preserve"> 46.77.Z Sprzedaż hurtowa odpadów i złomu</v>
          </cell>
        </row>
        <row r="526">
          <cell r="A526" t="str">
            <v xml:space="preserve"> 46.90.Z Sprzedaż hurtowa niewyspecjalizowana</v>
          </cell>
        </row>
        <row r="527">
          <cell r="A527" t="str">
            <v>47   HANDEL DETALICZNY, Z WYŁĄCZENIEM HANDLU DETALICZNEGO POJAZDAMI SAMOCHODOWYMI</v>
          </cell>
        </row>
        <row r="528">
          <cell r="A528" t="str">
            <v xml:space="preserve"> 47.1  Sprzedaż detaliczna prowadzona w niewyspecjalizowanych sklepach</v>
          </cell>
        </row>
        <row r="529">
          <cell r="A529" t="str">
            <v xml:space="preserve"> 47.11.Z Sprzedaż detaliczna prowadzona w niewyspecjalizowanych sklepach z przewagą żywności, napojów i wyrobów tytoniowych</v>
          </cell>
        </row>
        <row r="530">
          <cell r="A530" t="str">
            <v xml:space="preserve"> 47.19.Z Pozostała sprzedaż detaliczna prowadzona w niewyspecjalizowanych sklepach</v>
          </cell>
        </row>
        <row r="531">
          <cell r="A531" t="str">
            <v xml:space="preserve"> 47.2  Sprzedaż detaliczna żywności, napojów i wyrobów tytoniowych prowadzona w wyspecjalizowanych sklepach</v>
          </cell>
        </row>
        <row r="532">
          <cell r="A532" t="str">
            <v xml:space="preserve"> 47.21.Z Sprzedaż detaliczna owoców i warzyw prowadzona w wyspecjalizowanych sklepach</v>
          </cell>
        </row>
        <row r="533">
          <cell r="A533" t="str">
            <v xml:space="preserve"> 47.22.Z Sprzedaż detaliczna mięsa i wyrobów z mięsa prowadzona w wyspecjalizowanych sklepach</v>
          </cell>
        </row>
        <row r="534">
          <cell r="A534" t="str">
            <v xml:space="preserve"> 47.23.Z Sprzedaż detaliczna ryb, skorupiaków i mięczaków prowadzona w wyspecjalizowanych sklepach</v>
          </cell>
        </row>
        <row r="535">
          <cell r="A535" t="str">
            <v xml:space="preserve"> 47.24.Z Sprzedaż detaliczna pieczywa, ciast, wyrobów ciastkarskich i cukierniczych prowadzona w wyspecjalizowanych sklepach</v>
          </cell>
        </row>
        <row r="536">
          <cell r="A536" t="str">
            <v xml:space="preserve"> 47.25.Z Sprzedaż detaliczna napojów alkoholowych i bezalkoholowych prowadzona w wyspecjalizowanych sklepach</v>
          </cell>
        </row>
        <row r="537">
          <cell r="A537" t="str">
            <v xml:space="preserve"> 47.26.Z Sprzedaż detaliczna wyrobów tytoniowych prowadzona w wyspecjalizowanych sklepach</v>
          </cell>
        </row>
        <row r="538">
          <cell r="A538" t="str">
            <v xml:space="preserve"> 47.29.Z Sprzedaż detaliczna pozostałej żywności prowadzona w wyspecjalizowanych sklepach</v>
          </cell>
        </row>
        <row r="539">
          <cell r="A539" t="str">
            <v xml:space="preserve"> 47.30.Z Sprzedaż detaliczna paliw do pojazdów silnikowych na stacjach paliw</v>
          </cell>
        </row>
        <row r="540">
          <cell r="A540" t="str">
            <v xml:space="preserve"> 47.4  Sprzedaż detaliczna narzędzi technologii informacyjnej i komunikacyjnej prowadzona w wyspecjalizowanych sklepach</v>
          </cell>
        </row>
        <row r="541">
          <cell r="A541" t="str">
            <v xml:space="preserve"> 47.41.Z Sprzedaż detaliczna komputerów, urządzeń peryferyjnych i oprogramowania prowadzona w wyspecjalizowanych sklepach</v>
          </cell>
        </row>
        <row r="542">
          <cell r="A542" t="str">
            <v xml:space="preserve"> 47.42.Z Sprzedaż detaliczna sprzętu telekomunikacyjnego prowadzona w wyspecjalizowanych sklepach</v>
          </cell>
        </row>
        <row r="543">
          <cell r="A543" t="str">
            <v xml:space="preserve"> 47.43.Z Sprzedaż detaliczna sprzętu audiowizualnego prowadzona w wyspecjalizowanych sklepach</v>
          </cell>
        </row>
        <row r="544">
          <cell r="A544" t="str">
            <v xml:space="preserve"> 47.5  Sprzedaż detaliczna artykułów użytku domowego prowadzona w wyspecjalizowanych sklepach</v>
          </cell>
        </row>
        <row r="545">
          <cell r="A545" t="str">
            <v xml:space="preserve"> 47.51.Z Sprzedaż detaliczna wyrobów tekstylnych prowadzona w wyspecjalizowanych sklepach</v>
          </cell>
        </row>
        <row r="546">
          <cell r="A546" t="str">
            <v xml:space="preserve"> 47.52.Z Sprzedaż detaliczna drobnych wyrobów metalowych, farb i szkła prowadzona w wyspecjalizowanych sklepach</v>
          </cell>
        </row>
        <row r="547">
          <cell r="A547" t="str">
            <v xml:space="preserve"> 47.53.Z Sprzedaż detaliczna dywanów, chodników i innych pokryć podłogowych oraz pokryć ściennych prowadzona w wyspecjalizowanych sklepach</v>
          </cell>
        </row>
        <row r="548">
          <cell r="A548" t="str">
            <v xml:space="preserve"> 47.54.Z Sprzedaż detaliczna elektrycznego sprzętu gospodarstwa domowego prowadzona w wyspecjalizowanych sklepach</v>
          </cell>
        </row>
        <row r="549">
          <cell r="A549" t="str">
            <v xml:space="preserve"> 47.59.Z Sprzedaż detaliczna mebli, sprzętu oświetleniowego i pozostałych artykułów użytku domowego prowadzona w wyspecjalizowanych sklepach</v>
          </cell>
        </row>
        <row r="550">
          <cell r="A550" t="str">
            <v xml:space="preserve"> 47.6  Sprzedaż detaliczna wyrobów związanych z kulturą i rekreacją prowadzona w wyspecjalizowanych sklepach</v>
          </cell>
        </row>
        <row r="551">
          <cell r="A551" t="str">
            <v xml:space="preserve"> 47.61.Z Sprzedaż detaliczna książek prowadzona w wyspecjalizowanych sklepach</v>
          </cell>
        </row>
        <row r="552">
          <cell r="A552" t="str">
            <v xml:space="preserve"> 47.62.Z Sprzedaż detaliczna gazet i artykułów piśmiennych prowadzona w wyspecjalizowanych sklepach</v>
          </cell>
        </row>
        <row r="553">
          <cell r="A553" t="str">
            <v xml:space="preserve"> 47.63.Z Sprzedaż detaliczna nagrań dźwiękowych i audiowizualnych prowadzona w wyspecjalizowanych sklepach</v>
          </cell>
        </row>
        <row r="554">
          <cell r="A554" t="str">
            <v xml:space="preserve"> 47.64.Z Sprzedaż detaliczna sprzętu sportowego prowadzona w wyspecjalizowanych sklepach</v>
          </cell>
        </row>
        <row r="555">
          <cell r="A555" t="str">
            <v xml:space="preserve"> 47.65.Z Sprzedaż detaliczna gier i zabawek prowadzona w wyspecjalizowanych sklepach</v>
          </cell>
        </row>
        <row r="556">
          <cell r="A556" t="str">
            <v xml:space="preserve"> 47.7  Sprzedaż detaliczna pozostałych wyrobów prowadzona w wyspecjalizowanych sklepach</v>
          </cell>
        </row>
        <row r="557">
          <cell r="A557" t="str">
            <v xml:space="preserve"> 47.71.Z Sprzedaż detaliczna odzieży prowadzona w wyspecjalizowanych sklepach</v>
          </cell>
        </row>
        <row r="558">
          <cell r="A558" t="str">
            <v xml:space="preserve"> 47.72.Z Sprzedaż detaliczna obuwia i wyrobów skórzanych prowadzona w wyspecjalizowanych sklepach</v>
          </cell>
        </row>
        <row r="559">
          <cell r="A559" t="str">
            <v xml:space="preserve"> 47.73.Z Sprzedaż detaliczna wyrobów farmaceutycznych prowadzona w wyspecjalizowanych sklepach</v>
          </cell>
        </row>
        <row r="560">
          <cell r="A560" t="str">
            <v xml:space="preserve"> 47.74.Z Sprzedaż detaliczna wyrobów medycznych, włączając ortopedyczne, prowadzona w wyspecjalizowanych sklepach</v>
          </cell>
        </row>
        <row r="561">
          <cell r="A561" t="str">
            <v xml:space="preserve"> 47.75.Z Sprzedaż detaliczna kosmetyków i artykułów toaletowych prowadzona w wyspecjalizowanych sklepach</v>
          </cell>
        </row>
        <row r="562">
          <cell r="A562" t="str">
            <v xml:space="preserve"> 47.76.Z Sprzedaż detaliczna kwiatów, roślin, nasion, nawozów, żywych zwierząt domowych, karmy dla zwierząt domowych prowadzona w wyspecjalizowanych sklepach</v>
          </cell>
        </row>
        <row r="563">
          <cell r="A563" t="str">
            <v xml:space="preserve"> 47.77.Z Sprzedaż detaliczna zegarków, zegarów i biżuterii prowadzona w wyspecjalizowanych sklepach</v>
          </cell>
        </row>
        <row r="564">
          <cell r="A564" t="str">
            <v xml:space="preserve"> 47.78.Z Sprzedaż detaliczna pozostałych nowych wyrobów prowadzona w wyspecjalizowanych sklepach</v>
          </cell>
        </row>
        <row r="565">
          <cell r="A565" t="str">
            <v xml:space="preserve"> 47.79.Z Sprzedaż detaliczna artykułów używanych prowadzona w wyspecjalizowanych sklepach</v>
          </cell>
        </row>
        <row r="566">
          <cell r="A566" t="str">
            <v xml:space="preserve"> 47.8  Sprzedaż detaliczna prowadzona na straganach i targowiskach</v>
          </cell>
        </row>
        <row r="567">
          <cell r="A567" t="str">
            <v xml:space="preserve"> 47.81.Z Sprzedaż detaliczna żywności, napojów i wyrobów tytoniowych prowadzona na straganach i targowiskach</v>
          </cell>
        </row>
        <row r="568">
          <cell r="A568" t="str">
            <v xml:space="preserve"> 47.82.Z Sprzedaż detaliczna wyrobów tekstylnych, odzieży i obuwia prowadzona na straganach i targowiskach</v>
          </cell>
        </row>
        <row r="569">
          <cell r="A569" t="str">
            <v xml:space="preserve"> 47.89.Z Sprzedaż detaliczna pozostałych wyrobów prowadzona na straganach i targowiskach</v>
          </cell>
        </row>
        <row r="570">
          <cell r="A570" t="str">
            <v xml:space="preserve"> 47.9  Sprzedaż detaliczna prowadzona poza siecią sklepową, straganami i targowiskami</v>
          </cell>
        </row>
        <row r="571">
          <cell r="A571" t="str">
            <v xml:space="preserve"> 47.91.Z Sprzedaż detaliczna prowadzona przez domy sprzedaży wysyłkowej lub Internet</v>
          </cell>
        </row>
        <row r="572">
          <cell r="A572" t="str">
            <v xml:space="preserve"> 47.99.Z Pozostała sprzedaż detaliczna prowadzona poza siecią sklepową, straganami i targowiskami</v>
          </cell>
        </row>
        <row r="573">
          <cell r="A573" t="str">
            <v>SEKCJA H TRANSPORT I GOSPODARKA MAGAZYNOWA</v>
          </cell>
        </row>
        <row r="574">
          <cell r="A574" t="str">
            <v>49   TRANSPORT LĄDOWY ORAZ TRANSPORT RUROCIĄGOWY</v>
          </cell>
        </row>
        <row r="575">
          <cell r="A575" t="str">
            <v xml:space="preserve"> 49.10.Z Transport kolejowy pasażerski międzymiastowy</v>
          </cell>
        </row>
        <row r="576">
          <cell r="A576" t="str">
            <v xml:space="preserve"> 49.20.Z Transport kolejowy towarów</v>
          </cell>
        </row>
        <row r="577">
          <cell r="A577" t="str">
            <v xml:space="preserve"> 49.3  Pozostały transport lądowy pasażerski</v>
          </cell>
        </row>
        <row r="578">
          <cell r="A578" t="str">
            <v xml:space="preserve"> 49.31.Z Transport lądowy pasażerski, miejski i podmiejski</v>
          </cell>
        </row>
        <row r="579">
          <cell r="A579" t="str">
            <v xml:space="preserve"> 49.32.Z Działalność taksówek osobowych</v>
          </cell>
        </row>
        <row r="580">
          <cell r="A580" t="str">
            <v xml:space="preserve"> 49.39.Z Pozostały transport lądowy pasażerski, gdzie indziej niesklasyfikowany</v>
          </cell>
        </row>
        <row r="581">
          <cell r="A581" t="str">
            <v xml:space="preserve"> 49.4  Transport drogowy towarów oraz działalność usługowa związana z przeprowadzkami</v>
          </cell>
        </row>
        <row r="582">
          <cell r="A582" t="str">
            <v xml:space="preserve"> 49.41.Z Transport drogowy towarów</v>
          </cell>
        </row>
        <row r="583">
          <cell r="A583" t="str">
            <v xml:space="preserve"> 49.42.Z Działalność usługowa związana z przeprowadzkami</v>
          </cell>
        </row>
        <row r="584">
          <cell r="A584" t="str">
            <v xml:space="preserve"> 49.5 49.50 Transport rurociągowy</v>
          </cell>
        </row>
        <row r="585">
          <cell r="A585" t="str">
            <v xml:space="preserve"> 49.50.A Transport rurociągami paliw gazowych</v>
          </cell>
        </row>
        <row r="586">
          <cell r="A586" t="str">
            <v xml:space="preserve"> 49.50.B Transport rurociągowy pozostałych towarów</v>
          </cell>
        </row>
        <row r="587">
          <cell r="A587" t="str">
            <v>50   TRANSPORT WODNY</v>
          </cell>
        </row>
        <row r="588">
          <cell r="A588" t="str">
            <v xml:space="preserve"> 50.10.Z Transport morski i przybrzeżny pasażerski</v>
          </cell>
        </row>
        <row r="589">
          <cell r="A589" t="str">
            <v xml:space="preserve"> 50.20.Z Transport morski i przybrzeżny towarów</v>
          </cell>
        </row>
        <row r="590">
          <cell r="A590" t="str">
            <v xml:space="preserve"> 50.30.Z Transport wodny śródlądowy pasażerski</v>
          </cell>
        </row>
        <row r="591">
          <cell r="A591" t="str">
            <v xml:space="preserve"> 50.40.Z Transport wodny śródlądowy towarów</v>
          </cell>
        </row>
        <row r="592">
          <cell r="A592" t="str">
            <v>51   TRANSPORT LOTNICZY</v>
          </cell>
        </row>
        <row r="593">
          <cell r="A593" t="str">
            <v xml:space="preserve"> 51.10.Z Transport lotniczy pasażerski</v>
          </cell>
        </row>
        <row r="594">
          <cell r="A594" t="str">
            <v xml:space="preserve"> 51.2  Transport lotniczy towarów i transport kosmiczny</v>
          </cell>
        </row>
        <row r="595">
          <cell r="A595" t="str">
            <v xml:space="preserve"> 51.21.Z Transport lotniczy towarów</v>
          </cell>
        </row>
        <row r="596">
          <cell r="A596" t="str">
            <v xml:space="preserve"> 51.22.Z Transport kosmiczny</v>
          </cell>
        </row>
        <row r="597">
          <cell r="A597" t="str">
            <v>52   MAGAZYNOWANIE I DZIAŁALNOŚĆ USŁUGOWA WSPOMAGAJĄCA TRANSPORT</v>
          </cell>
        </row>
        <row r="598">
          <cell r="A598" t="str">
            <v xml:space="preserve"> 52.1 52.10 Magazynowanie i przechowywanie towarów</v>
          </cell>
        </row>
        <row r="599">
          <cell r="A599" t="str">
            <v xml:space="preserve"> 52.10.A Magazynowanie i przechowywanie paliw gazowych</v>
          </cell>
        </row>
        <row r="600">
          <cell r="A600" t="str">
            <v xml:space="preserve"> 52.10.B Magazynowanie i przechowywanie pozostałych towarów</v>
          </cell>
        </row>
        <row r="601">
          <cell r="A601" t="str">
            <v xml:space="preserve"> 52.2  Działalność usługowa wspomagająca transport</v>
          </cell>
        </row>
        <row r="602">
          <cell r="A602" t="str">
            <v xml:space="preserve"> 52.21.Z Działalność usługowa wspomagająca transport lądowy</v>
          </cell>
        </row>
        <row r="603">
          <cell r="A603" t="str">
            <v xml:space="preserve">  52.22 Działalność usługowa wspomagająca transport wodny</v>
          </cell>
        </row>
        <row r="604">
          <cell r="A604" t="str">
            <v xml:space="preserve"> 52.22.A Działalność usługowa wspomagająca transport morski</v>
          </cell>
        </row>
        <row r="605">
          <cell r="A605" t="str">
            <v xml:space="preserve"> 52.22.B Działalność usługowa wspomagająca transport śródlądowy</v>
          </cell>
        </row>
        <row r="606">
          <cell r="A606" t="str">
            <v xml:space="preserve"> 52.23.Z Działalność usługowa wspomagająca transport lotniczy</v>
          </cell>
        </row>
        <row r="607">
          <cell r="A607" t="str">
            <v xml:space="preserve">  52.24 Przeładunek towarów</v>
          </cell>
        </row>
        <row r="608">
          <cell r="A608" t="str">
            <v xml:space="preserve"> 52.24.A Przeładunek towarów w portach morskich</v>
          </cell>
        </row>
        <row r="609">
          <cell r="A609" t="str">
            <v xml:space="preserve"> 52.24.B Przeładunek towarów w portach śródlądowych</v>
          </cell>
        </row>
        <row r="610">
          <cell r="A610" t="str">
            <v xml:space="preserve"> 52.24.C Przeładunek towarów w pozostałych punktach przeładunkowych</v>
          </cell>
        </row>
        <row r="611">
          <cell r="A611" t="str">
            <v xml:space="preserve">  52.29 Pozostała działalność usługowa wspomagająca transport</v>
          </cell>
        </row>
        <row r="612">
          <cell r="A612" t="str">
            <v xml:space="preserve"> 52.29.A Działalność morskich agencji transportowych</v>
          </cell>
        </row>
        <row r="613">
          <cell r="A613" t="str">
            <v xml:space="preserve"> 52.29.B Działalność śródlądowych agencji transportowych</v>
          </cell>
        </row>
        <row r="614">
          <cell r="A614" t="str">
            <v xml:space="preserve"> 52.29.C Działalność pozostałych agencji transportowych</v>
          </cell>
        </row>
        <row r="615">
          <cell r="A615" t="str">
            <v>53   DZIAŁALNOŚĆ POCZTOWA I KURIERSKA</v>
          </cell>
        </row>
        <row r="616">
          <cell r="A616" t="str">
            <v xml:space="preserve"> 53.10.Z Działalność pocztowa objęta obowiązkiem świadczenia usług powszechnych (operatora publicznego)</v>
          </cell>
        </row>
        <row r="617">
          <cell r="A617" t="str">
            <v xml:space="preserve"> 53.20.Z Pozostała działalność pocztowa i kurierska</v>
          </cell>
        </row>
        <row r="618">
          <cell r="A618" t="str">
            <v>SEKCJA I  DZIAŁALNOŚĆ ZWIĄZANA Z ZAKWATEROWANIEM I USŁUGAMI GASTRONOMICZNYMI</v>
          </cell>
        </row>
        <row r="619">
          <cell r="A619" t="str">
            <v>55   ZAKWATEROWANIE</v>
          </cell>
        </row>
        <row r="620">
          <cell r="A620" t="str">
            <v xml:space="preserve"> 55.10.Z Hotele i podobne obiekty zakwaterowania</v>
          </cell>
        </row>
        <row r="621">
          <cell r="A621" t="str">
            <v xml:space="preserve"> 55.20.Z Obiekty noclegowe turystyczne i miejsca krótkotrwałego zakwaterowania</v>
          </cell>
        </row>
        <row r="622">
          <cell r="A622" t="str">
            <v xml:space="preserve"> 55.30.Z Pola kempingowe (włączając pola dla pojazdów kempingowych) i pola namiotowe</v>
          </cell>
        </row>
        <row r="623">
          <cell r="A623" t="str">
            <v xml:space="preserve"> 55.90.Z Pozostałe zakwaterowanie</v>
          </cell>
        </row>
        <row r="624">
          <cell r="A624" t="str">
            <v>56   DZIAŁALNOŚĆ USŁUGOWA ZWIĄZANA Z WYŻYWIENIEM</v>
          </cell>
        </row>
        <row r="625">
          <cell r="A625" t="str">
            <v xml:space="preserve"> 56.1 56.10 Restauracje i pozostałe placówki gastronomiczne</v>
          </cell>
        </row>
        <row r="626">
          <cell r="A626" t="str">
            <v xml:space="preserve"> 56.10.A Restauracje i inne stałe placówki gastronomiczne</v>
          </cell>
        </row>
        <row r="627">
          <cell r="A627" t="str">
            <v xml:space="preserve"> 56.10.B Ruchome placówki gastronomiczne</v>
          </cell>
        </row>
        <row r="628">
          <cell r="A628" t="str">
            <v xml:space="preserve"> 56.2  Przygotowywanie żywności dla odbiorców zewnętrznych (katering) i pozostała gastronomiczna działalność usługowa</v>
          </cell>
        </row>
        <row r="629">
          <cell r="A629" t="str">
            <v xml:space="preserve"> 56.21.Z Przygotowywanie i dostarczanie żywności dla odbiorców zewnętrznych (katering) </v>
          </cell>
        </row>
        <row r="630">
          <cell r="A630" t="str">
            <v xml:space="preserve"> 56.29.Z Pozostała usługowa działalność gastronomiczna</v>
          </cell>
        </row>
        <row r="631">
          <cell r="A631" t="str">
            <v xml:space="preserve"> 56.30.Z Przygotowywanie i podawanie napojów</v>
          </cell>
        </row>
        <row r="632">
          <cell r="A632" t="str">
            <v>SEKCJA J INFORMACJA I KOMUNIKACJA</v>
          </cell>
        </row>
        <row r="633">
          <cell r="A633" t="str">
            <v>58   DZIAŁALNOŚĆ WYDAWNICZA</v>
          </cell>
        </row>
        <row r="634">
          <cell r="A634" t="str">
            <v xml:space="preserve"> 58.1  Wydawanie książek i periodyków oraz pozostała działalność wydawnicza, z wyłączeniem w zakresie oprogramowania</v>
          </cell>
        </row>
        <row r="635">
          <cell r="A635" t="str">
            <v xml:space="preserve"> 58.11.Z Wydawanie książek</v>
          </cell>
        </row>
        <row r="636">
          <cell r="A636" t="str">
            <v xml:space="preserve"> 58.12.Z Wydawanie wykazów oraz list (np. adresowych, telefonicznych)</v>
          </cell>
        </row>
        <row r="637">
          <cell r="A637" t="str">
            <v xml:space="preserve"> 58.13.Z Wydawanie gazet</v>
          </cell>
        </row>
        <row r="638">
          <cell r="A638" t="str">
            <v xml:space="preserve"> 58.14.Z Wydawanie czasopism i pozostałych periodyków</v>
          </cell>
        </row>
        <row r="639">
          <cell r="A639" t="str">
            <v xml:space="preserve"> 58.19.Z Pozostała działalność wydawnicza</v>
          </cell>
        </row>
        <row r="640">
          <cell r="A640" t="str">
            <v xml:space="preserve"> 58.2  Działalność wydawnicza w zakresie oprogramowania</v>
          </cell>
        </row>
        <row r="641">
          <cell r="A641" t="str">
            <v xml:space="preserve"> 58.21.Z Działalność wydawnicza w zakresie gier komputerowych</v>
          </cell>
        </row>
        <row r="642">
          <cell r="A642" t="str">
            <v xml:space="preserve"> 58.29.Z Działalność wydawnicza w zakresie pozostałego oprogramowania</v>
          </cell>
        </row>
        <row r="643">
          <cell r="A643" t="str">
            <v>59   DZIAŁALNOŚĆ ZWIĄZANA Z PRODUKCJĄ FILMÓW, NAGRAŃ WIDEO, PROGRAMÓW TELEWIZYJNYCH, NAGRAŃ DŹWIĘKOWYCH I MUZYCZNYCH</v>
          </cell>
        </row>
        <row r="644">
          <cell r="A644" t="str">
            <v xml:space="preserve"> 59.1  Działalność związana z filmami, nagraniami wideo i programami telewizyjnymi</v>
          </cell>
        </row>
        <row r="645">
          <cell r="A645" t="str">
            <v xml:space="preserve"> 59.11.Z Działalność związana z produkcją filmów, nagrań wideo i programów telewizyjnych</v>
          </cell>
        </row>
        <row r="646">
          <cell r="A646" t="str">
            <v xml:space="preserve"> 59.12.Z Działalność postprodukcyjna związana z filmami, nagraniami wideo i programami telewizyjnymi</v>
          </cell>
        </row>
        <row r="647">
          <cell r="A647" t="str">
            <v xml:space="preserve"> 59.13.Z Działalność związana z dystrybucją filmów, nagrań wideo i programów telewizyjnych</v>
          </cell>
        </row>
        <row r="648">
          <cell r="A648" t="str">
            <v xml:space="preserve"> 59.14.Z Działalność związana z projekcją filmów</v>
          </cell>
        </row>
        <row r="649">
          <cell r="A649" t="str">
            <v xml:space="preserve"> 59.20.Z Działalność w zakresie nagrań dźwiękowych i muzycznych</v>
          </cell>
        </row>
        <row r="650">
          <cell r="A650" t="str">
            <v>60   NADAWANIE PROGRAMÓW OGÓLNODOSTĘPNYCH I ABONAMENTOWYCH</v>
          </cell>
        </row>
        <row r="651">
          <cell r="A651" t="str">
            <v xml:space="preserve"> 60.10.Z Nadawanie programów radiofonicznych</v>
          </cell>
        </row>
        <row r="652">
          <cell r="A652" t="str">
            <v xml:space="preserve"> 60.20.Z Nadawanie programów telewizyjnych ogólnodostępnych i abonamentowych</v>
          </cell>
        </row>
        <row r="653">
          <cell r="A653" t="str">
            <v>61   TELEKOMUNIKACJA</v>
          </cell>
        </row>
        <row r="654">
          <cell r="A654" t="str">
            <v xml:space="preserve"> 61.10.Z Działalność w zakresie telekomunikacji przewodowej</v>
          </cell>
        </row>
        <row r="655">
          <cell r="A655" t="str">
            <v xml:space="preserve"> 61.20.Z Działalność w zakresie telekomunikacji bezprzewodowej, z wyłączeniem telekomunikacji satelitarnej</v>
          </cell>
        </row>
        <row r="656">
          <cell r="A656" t="str">
            <v xml:space="preserve"> 61.30.Z Działalność w zakresie telekomunikacji satelitarnej</v>
          </cell>
        </row>
        <row r="657">
          <cell r="A657" t="str">
            <v xml:space="preserve"> 61.90.Z Działalność w zakresie pozostałej telekomunikacji</v>
          </cell>
        </row>
        <row r="658">
          <cell r="A658" t="str">
            <v>62 62.0  DZIAŁALNOŚĆ ZWIĄZANA Z OPROGRAMOWANIEM I DORADZTWEM W ZAKRESIE INFORMATYKI ORAZ DZIAŁALNOŚĆ POWIĄZANA</v>
          </cell>
        </row>
        <row r="659">
          <cell r="A659" t="str">
            <v xml:space="preserve"> 62.01.Z Działalność związana z oprogramowaniem</v>
          </cell>
        </row>
        <row r="660">
          <cell r="A660" t="str">
            <v xml:space="preserve"> 62.02.Z Działalność związana z doradztwem w zakresie informatyki</v>
          </cell>
        </row>
        <row r="661">
          <cell r="A661" t="str">
            <v xml:space="preserve"> 62.03.Z Działalność związana z zarządzaniem urządzeniami informatycznymi</v>
          </cell>
        </row>
        <row r="662">
          <cell r="A662" t="str">
            <v xml:space="preserve"> 62.09.Z Pozostała działalność usługowa w zakresie technologii informatycznych i komputerowych</v>
          </cell>
        </row>
        <row r="663">
          <cell r="A663" t="str">
            <v>63   DZIAŁALNOŚĆ USŁUGOWA W ZAKRESIE INFORMACJI</v>
          </cell>
        </row>
        <row r="664">
          <cell r="A664" t="str">
            <v xml:space="preserve"> 63.1  Przetwarzanie danych; zarządzanie stronami internetowymi (hosting) i podobna działalność; działalność portali internetowych</v>
          </cell>
        </row>
        <row r="665">
          <cell r="A665" t="str">
            <v xml:space="preserve"> 63.11.Z Przetwarzanie danych; zarządzanie stronami internetowymi (hosting) i podobna działalność</v>
          </cell>
        </row>
        <row r="666">
          <cell r="A666" t="str">
            <v xml:space="preserve"> 63.12.Z Działalność portali internetowych</v>
          </cell>
        </row>
        <row r="667">
          <cell r="A667" t="str">
            <v xml:space="preserve"> 63.9  Pozostała działalność usługowa w zakresie informacji</v>
          </cell>
        </row>
        <row r="668">
          <cell r="A668" t="str">
            <v xml:space="preserve"> 63.91.Z Działalność agencji informacyjnych</v>
          </cell>
        </row>
        <row r="669">
          <cell r="A669" t="str">
            <v xml:space="preserve"> 63.99.Z Pozostała działalność usługowa w zakresie informacji, gdzie indziej niesklasyfikowana</v>
          </cell>
        </row>
        <row r="670">
          <cell r="A670" t="str">
            <v>SEKCJA K DZIAŁALNOŚĆ FINANSOWA I UBEZPIECZENIOWA</v>
          </cell>
        </row>
        <row r="671">
          <cell r="A671" t="str">
            <v>64   FINANSOWA DZIAŁALNOŚĆ USŁUGOWA, Z WYŁĄCZENIEM UBEZPIECZEŃ I FUNDUSZÓW EMERYTALNYCH</v>
          </cell>
        </row>
        <row r="672">
          <cell r="A672" t="str">
            <v xml:space="preserve"> 64.1  Pośrednictwo pieniężne</v>
          </cell>
        </row>
        <row r="673">
          <cell r="A673" t="str">
            <v xml:space="preserve"> 64.11.Z Działalność banku centralnego</v>
          </cell>
        </row>
        <row r="674">
          <cell r="A674" t="str">
            <v xml:space="preserve"> 64.19.Z Pozostałe pośrednictwo pieniężne</v>
          </cell>
        </row>
        <row r="675">
          <cell r="A675" t="str">
            <v xml:space="preserve"> 64.20.Z Działalność holdingów finansowych</v>
          </cell>
        </row>
        <row r="676">
          <cell r="A676" t="str">
            <v xml:space="preserve"> 64.30.Z Działalność trustów, funduszów i podobnych instytucji finansowych</v>
          </cell>
        </row>
        <row r="677">
          <cell r="A677" t="str">
            <v xml:space="preserve"> 64.9  Pozostała finansowa działalność usługowa, z wyłączeniem ubezpieczeń i funduszów emerytalnych</v>
          </cell>
        </row>
        <row r="678">
          <cell r="A678" t="str">
            <v xml:space="preserve"> 64.91.Z Leasing finansowy</v>
          </cell>
        </row>
        <row r="679">
          <cell r="A679" t="str">
            <v xml:space="preserve"> 64.92.Z Pozostałe formy udzielania kredytów</v>
          </cell>
        </row>
        <row r="680">
          <cell r="A680" t="str">
            <v xml:space="preserve"> 64.99.Z Pozostała finansowa działalność usługowa, gdzie indziej niesklasyfikowana, z wyłączeniem ubezpieczeń i funduszów emerytalnych</v>
          </cell>
        </row>
        <row r="681">
          <cell r="A681" t="str">
            <v>65   UBEZPIECZENIA, REASEKURACJA ORAZ FUNDUSZE EMERYTALNE, Z WYŁĄCZENIEM OBOWIĄZKOWEGO UBEZPIECZENIA SPOŁECZNEGO</v>
          </cell>
        </row>
        <row r="682">
          <cell r="A682" t="str">
            <v xml:space="preserve"> 65.1  Ubezpieczenia</v>
          </cell>
        </row>
        <row r="683">
          <cell r="A683" t="str">
            <v xml:space="preserve"> 65.11.Z Ubezpieczenia na życie</v>
          </cell>
        </row>
        <row r="684">
          <cell r="A684" t="str">
            <v xml:space="preserve"> 65.12.Z Pozostałe ubezpieczenia osobowe oraz ubezpieczenia majątkowe</v>
          </cell>
        </row>
        <row r="685">
          <cell r="A685" t="str">
            <v xml:space="preserve"> 65.20.Z Reasekuracja</v>
          </cell>
        </row>
        <row r="686">
          <cell r="A686" t="str">
            <v xml:space="preserve"> 65.30.Z Fundusze emerytalne</v>
          </cell>
        </row>
        <row r="687">
          <cell r="A687" t="str">
            <v>66   DZIAŁALNOŚĆ WSPOMAGAJĄCA USŁUGI FINANSOWE ORAZ UBEZPIECZENIA I FUNDUSZE EMERYTALNE</v>
          </cell>
        </row>
        <row r="688">
          <cell r="A688" t="str">
            <v xml:space="preserve"> 66.1  Działalność wspomagająca usługi finansowe, z wyłączeniem ubezpieczeń i funduszów emerytalnych</v>
          </cell>
        </row>
        <row r="689">
          <cell r="A689" t="str">
            <v xml:space="preserve"> 66.11.Z Zarządzanie rynkami finansowymi</v>
          </cell>
        </row>
        <row r="690">
          <cell r="A690" t="str">
            <v xml:space="preserve"> 66.12.Z Działalność maklerska związana z rynkiem papierów wartościowych i towarów giełdowych</v>
          </cell>
        </row>
        <row r="691">
          <cell r="A691" t="str">
            <v xml:space="preserve"> 66.19.Z Pozostała działalność wspomagająca usługi finansowe, z wyłączeniem ubezpieczeń i funduszów emerytalnych</v>
          </cell>
        </row>
        <row r="692">
          <cell r="A692" t="str">
            <v xml:space="preserve"> 66.2  Działalność wspomagająca ubezpieczenia i fundusze emerytalne</v>
          </cell>
        </row>
        <row r="693">
          <cell r="A693" t="str">
            <v xml:space="preserve"> 66.21.Z Działalność związana z oceną ryzyka i szacowaniem poniesionych strat</v>
          </cell>
        </row>
        <row r="694">
          <cell r="A694" t="str">
            <v xml:space="preserve"> 66.22.Z Działalność agentów i brokerów ubezpieczeniowych</v>
          </cell>
        </row>
        <row r="695">
          <cell r="A695" t="str">
            <v xml:space="preserve"> 66.29.Z Pozostała działalność wspomagająca ubezpieczenia i fundusze emerytalne</v>
          </cell>
        </row>
        <row r="696">
          <cell r="A696" t="str">
            <v xml:space="preserve"> 66.30.Z Działalność związana z zarządzaniem funduszami</v>
          </cell>
        </row>
        <row r="697">
          <cell r="A697" t="str">
            <v>SEKCJA L DZIAŁALNOŚĆ ZWIĄZANA Z OBSŁUGĄ RYNKU NIERUCHOMOŚCI</v>
          </cell>
        </row>
        <row r="698">
          <cell r="A698" t="str">
            <v>68   DZIAŁALNOŚĆ ZWIĄZANA Z OBSŁUGĄ RYNKU NIERUCHOMOŚCI</v>
          </cell>
        </row>
        <row r="699">
          <cell r="A699" t="str">
            <v xml:space="preserve"> 68.10.Z Kupno i sprzedaż nieruchomości na własny rachunek</v>
          </cell>
        </row>
        <row r="700">
          <cell r="A700" t="str">
            <v xml:space="preserve"> 68.20.Z Wynajem i zarządzanie nieruchomościami własnymi lub dzierżawionymi</v>
          </cell>
        </row>
        <row r="701">
          <cell r="A701" t="str">
            <v xml:space="preserve"> 68.3  Działalność związana z obsługą rynku nieruchomości wykonywana na zlecenie</v>
          </cell>
        </row>
        <row r="702">
          <cell r="A702" t="str">
            <v xml:space="preserve"> 68.31.Z Pośrednictwo w obrocie nieruchomościami</v>
          </cell>
        </row>
        <row r="703">
          <cell r="A703" t="str">
            <v xml:space="preserve"> 68.32.Z Zarządzanie nieruchomościami wykonywane na zlecenie</v>
          </cell>
        </row>
        <row r="704">
          <cell r="A704" t="str">
            <v>SEKCJA M DZIAŁALNOŚĆ PROFESJONALNA, NAUKOWA I TECHNICZNA</v>
          </cell>
        </row>
        <row r="705">
          <cell r="A705" t="str">
            <v>69   DZIAŁALNOŚĆ PRAWNICZA, RACHUNKOWO-KSIĘGOWA I DORADZTWO PODATKOWE</v>
          </cell>
        </row>
        <row r="706">
          <cell r="A706" t="str">
            <v xml:space="preserve"> 69.10.Z Działalność prawnicza</v>
          </cell>
        </row>
        <row r="707">
          <cell r="A707" t="str">
            <v xml:space="preserve"> 69.20.Z Działalność rachunkowo-księgowa; doradztwo podatkowe</v>
          </cell>
        </row>
        <row r="708">
          <cell r="A708" t="str">
            <v>70   DZIAŁALNOŚĆ FIRM CENTRALNYCH (HEAD OFFICES); DORADZTWO ZWIĄZANE Z ZARZĄDZANIEM</v>
          </cell>
        </row>
        <row r="709">
          <cell r="A709" t="str">
            <v xml:space="preserve"> 70.10.Z Działalność firm centralnych (head offices) i holdingów, z wyłączeniem holdingów finansowych</v>
          </cell>
        </row>
        <row r="710">
          <cell r="A710" t="str">
            <v xml:space="preserve"> 70.2  Doradztwo związane z zarządzaniem</v>
          </cell>
        </row>
        <row r="711">
          <cell r="A711" t="str">
            <v xml:space="preserve"> 70.21.Z Stosunki międzyludzkie (public relations) i komunikacja</v>
          </cell>
        </row>
        <row r="712">
          <cell r="A712" t="str">
            <v xml:space="preserve"> 70.22.Z Pozostałe doradztwo w zakresie prowadzenia działalności gospodarczej i zarządzania</v>
          </cell>
        </row>
        <row r="713">
          <cell r="A713" t="str">
            <v>71   DZIAŁALNOŚĆ W ZAKRESIE ARCHITEKTURY I INŻYNIERII; BADANIA I ANALIZY TECHNICZNE</v>
          </cell>
        </row>
        <row r="714">
          <cell r="A714" t="str">
            <v xml:space="preserve"> 71.1  Działalność w zakresie architektury i inżynierii oraz związane z nią doradztwo techniczne</v>
          </cell>
        </row>
        <row r="715">
          <cell r="A715" t="str">
            <v xml:space="preserve"> 71.11.Z Działalność w zakresie architektury</v>
          </cell>
        </row>
        <row r="716">
          <cell r="A716" t="str">
            <v xml:space="preserve"> 71.12.Z Działalność w zakresie inżynierii i związane z nią doradztwo techniczne</v>
          </cell>
        </row>
        <row r="717">
          <cell r="A717" t="str">
            <v xml:space="preserve"> 71.2 71.20 Badania i analizy techniczne</v>
          </cell>
        </row>
        <row r="718">
          <cell r="A718" t="str">
            <v xml:space="preserve"> 71.20.A Badania i analizy związane z jakością żywności</v>
          </cell>
        </row>
        <row r="719">
          <cell r="A719" t="str">
            <v xml:space="preserve"> 71.20.B Pozostałe badania i analizy techniczne</v>
          </cell>
        </row>
        <row r="720">
          <cell r="A720" t="str">
            <v>72   BADANIA NAUKOWE I PRACE ROZWOJOWE</v>
          </cell>
        </row>
        <row r="721">
          <cell r="A721" t="str">
            <v xml:space="preserve"> 72.1  Badania naukowe i prace rozwojowe w dziedzinie nauk przyrodniczych i technicznych</v>
          </cell>
        </row>
        <row r="722">
          <cell r="A722" t="str">
            <v xml:space="preserve"> 72.11.Z Badania naukowe i prace rozwojowe w dziedzinie biotechnologii</v>
          </cell>
        </row>
        <row r="723">
          <cell r="A723" t="str">
            <v xml:space="preserve"> 72.19.Z Badania naukowe i prace rozwojowe w dziedzinie pozostałych nauk przyrodniczych i technicznych</v>
          </cell>
        </row>
        <row r="724">
          <cell r="A724" t="str">
            <v xml:space="preserve"> 72.20.Z Badania naukowe i prace rozwojowe w dziedzinie nauk społecznych i humanistycznych</v>
          </cell>
        </row>
        <row r="725">
          <cell r="A725" t="str">
            <v>73   REKLAMA, BADANIE RYNKU I OPINII PUBLICZNEJ</v>
          </cell>
        </row>
        <row r="726">
          <cell r="A726" t="str">
            <v xml:space="preserve"> 73.1  Reklama</v>
          </cell>
        </row>
        <row r="727">
          <cell r="A727" t="str">
            <v xml:space="preserve"> 73.11.Z Działalność agencji reklamowych</v>
          </cell>
        </row>
        <row r="728">
          <cell r="A728" t="str">
            <v xml:space="preserve">  73.12 Działalność związana z reprezentowaniem mediów</v>
          </cell>
        </row>
        <row r="729">
          <cell r="A729" t="str">
            <v xml:space="preserve"> 73.12.A Pośrednictwo w sprzedaży czasu i miejsca na cele reklamowe w radio i telewizji</v>
          </cell>
        </row>
        <row r="730">
          <cell r="A730" t="str">
            <v xml:space="preserve"> 73.12.B Pośrednictwo w sprzedaży miejsca na cele reklamowe w mediach drukowanych</v>
          </cell>
        </row>
        <row r="731">
          <cell r="A731" t="str">
            <v xml:space="preserve"> 73.12.C Pośrednictwo w sprzedaży miejsca na cele reklamowe w mediach elektronicznych (Internet) </v>
          </cell>
        </row>
        <row r="732">
          <cell r="A732" t="str">
            <v xml:space="preserve"> 73.12.D Pośrednictwo w sprzedaży miejsca na cele reklamowe w pozostałych mediach</v>
          </cell>
        </row>
        <row r="733">
          <cell r="A733" t="str">
            <v xml:space="preserve"> 73.20.Z Badanie rynku i opinii publicznej</v>
          </cell>
        </row>
        <row r="734">
          <cell r="A734" t="str">
            <v>74   POZOSTAŁA DZIAŁALNOŚĆ PROFESJONALNA, NAUKOWA I TECHNICZNA</v>
          </cell>
        </row>
        <row r="735">
          <cell r="A735" t="str">
            <v xml:space="preserve"> 74.10.Z Działalność w zakresie specjalistycznego projektowania</v>
          </cell>
        </row>
        <row r="736">
          <cell r="A736" t="str">
            <v xml:space="preserve"> 74.20.Z Działalność fotograficzna</v>
          </cell>
        </row>
        <row r="737">
          <cell r="A737" t="str">
            <v xml:space="preserve"> 74.30.Z Działalność związana z tłumaczeniami</v>
          </cell>
        </row>
        <row r="738">
          <cell r="A738" t="str">
            <v xml:space="preserve"> 74.90.Z Pozostała działalność profesjonalna, naukowa i techniczna, gdzie indziej niesklasyfikowana</v>
          </cell>
        </row>
        <row r="739">
          <cell r="A739" t="str">
            <v xml:space="preserve"> 75.00.Z DZIAŁALNOŚĆ WETERYNARYJNA</v>
          </cell>
        </row>
        <row r="740">
          <cell r="A740" t="str">
            <v>SEKCJA N DZIAŁALNOŚĆ W ZAKRESIE USŁUG ADMINISTROWANIA I DZIAŁALNOŚĆ WSPIERAJĄCA</v>
          </cell>
        </row>
        <row r="741">
          <cell r="A741" t="str">
            <v>77   WYNAJEM I DZIERŻAWA</v>
          </cell>
        </row>
        <row r="742">
          <cell r="A742" t="str">
            <v xml:space="preserve"> 77.1  Wynajem i dzierżawa pojazdów samochodowych, z wyłączeniem motocykli</v>
          </cell>
        </row>
        <row r="743">
          <cell r="A743" t="str">
            <v xml:space="preserve"> 77.11.Z Wynajem i dzierżawa samochodów osobowych i furgonetek</v>
          </cell>
        </row>
        <row r="744">
          <cell r="A744" t="str">
            <v xml:space="preserve"> 77.12.Z Wynajem i dzierżawa pozostałych pojazdów samochodowych, z wyłączeniem motocykli</v>
          </cell>
        </row>
        <row r="745">
          <cell r="A745" t="str">
            <v xml:space="preserve"> 77.2  Wypożyczanie i dzierżawa artykułów użytku osobistego i domowego</v>
          </cell>
        </row>
        <row r="746">
          <cell r="A746" t="str">
            <v xml:space="preserve"> 77.21.Z Wypożyczanie i dzierżawa sprzętu rekreacyjnego i sportowego</v>
          </cell>
        </row>
        <row r="747">
          <cell r="A747" t="str">
            <v xml:space="preserve"> 77.22.Z Wypożyczanie kaset wideo, płyt CD, DVD itp.</v>
          </cell>
        </row>
        <row r="748">
          <cell r="A748" t="str">
            <v xml:space="preserve"> 77.29.Z Wypożyczanie i dzierżawa pozostałych artykułów użytku osobistego i domowego</v>
          </cell>
        </row>
        <row r="749">
          <cell r="A749" t="str">
            <v xml:space="preserve"> 77.3  Wynajem i dzierżawa pozostałych maszyn, urządzeń oraz dóbr materialnych</v>
          </cell>
        </row>
        <row r="750">
          <cell r="A750" t="str">
            <v xml:space="preserve"> 77.31.Z Wynajem i dzierżawa maszyn i urządzeń rolniczych</v>
          </cell>
        </row>
        <row r="751">
          <cell r="A751" t="str">
            <v xml:space="preserve"> 77.32.Z Wynajem i dzierżawa maszyn i urządzeń budowlanych</v>
          </cell>
        </row>
        <row r="752">
          <cell r="A752" t="str">
            <v xml:space="preserve"> 77.33.Z Wynajem i dzierżawa maszyn i urządzeń biurowych, włączając komputery</v>
          </cell>
        </row>
        <row r="753">
          <cell r="A753" t="str">
            <v xml:space="preserve"> 77.34.Z Wynajem i dzierżawa środków transportu wodnego</v>
          </cell>
        </row>
        <row r="754">
          <cell r="A754" t="str">
            <v xml:space="preserve"> 77.35.Z Wynajem i dzierżawa środków transportu lotniczego</v>
          </cell>
        </row>
        <row r="755">
          <cell r="A755" t="str">
            <v xml:space="preserve"> 77.39.Z Wynajem i dzierżawa pozostałych maszyn, urządzeń oraz dóbr materialnych, gdzie indziej niesklasyfikowane</v>
          </cell>
        </row>
        <row r="756">
          <cell r="A756" t="str">
            <v xml:space="preserve"> 77.40.Z Dzierżawa własności intelektualnej i podobnych produktów, z wyłączeniem prac chronionych prawem autorskim</v>
          </cell>
        </row>
        <row r="757">
          <cell r="A757" t="str">
            <v>78   DZIAŁALNOŚĆ ZWIĄZANA Z ZATRUDNIENIEM</v>
          </cell>
        </row>
        <row r="758">
          <cell r="A758" t="str">
            <v xml:space="preserve"> 78.10.Z Działalność związana z wyszukiwaniem miejsc pracy i pozyskiwaniem pracowników</v>
          </cell>
        </row>
        <row r="759">
          <cell r="A759" t="str">
            <v xml:space="preserve"> 78.20.Z Działalność agencji pracy tymczasowej</v>
          </cell>
        </row>
        <row r="760">
          <cell r="A760" t="str">
            <v xml:space="preserve"> 78.30.Z Pozostała działalność związana z udostępnianiem pracowników</v>
          </cell>
        </row>
        <row r="761">
          <cell r="A761" t="str">
            <v>79   DZIAŁALNOŚĆ ORGANIZATORÓW TURYSTYKI, POŚREDNIKÓW I AGENTÓW TURYSTYCZNYCH ORAZ POZOSTAŁA DZIAŁALNOŚĆ USŁUGOWA W ZAKRESIE REZERWACJI I DZIAŁALNOŚCI Z NIĄ ZWIĄZANE</v>
          </cell>
        </row>
        <row r="762">
          <cell r="A762" t="str">
            <v xml:space="preserve"> 79.1  Działalność agentów i pośredników turystycznych oraz organizatorów turystyki</v>
          </cell>
        </row>
        <row r="763">
          <cell r="A763" t="str">
            <v xml:space="preserve">  79.11 Działalność agentów i pośredników turystycznych</v>
          </cell>
        </row>
        <row r="764">
          <cell r="A764" t="str">
            <v xml:space="preserve"> 79.11.A Działalność agentów turystycznych</v>
          </cell>
        </row>
        <row r="765">
          <cell r="A765" t="str">
            <v xml:space="preserve"> 79.11.B Działalność pośredników turystycznych</v>
          </cell>
        </row>
        <row r="766">
          <cell r="A766" t="str">
            <v xml:space="preserve"> 79.12.Z Działalność organizatorów turystyki</v>
          </cell>
        </row>
        <row r="767">
          <cell r="A767" t="str">
            <v xml:space="preserve"> 79.9 79.90 Pozostała działalność usługowa w zakresie rezerwacji i działalności z nią związane</v>
          </cell>
        </row>
        <row r="768">
          <cell r="A768" t="str">
            <v xml:space="preserve"> 79.90.A Działalność pilotów wycieczek i przewodników turystycznych</v>
          </cell>
        </row>
        <row r="769">
          <cell r="A769" t="str">
            <v xml:space="preserve"> 79.90.B Działalność w zakresie informacji turystycznej</v>
          </cell>
        </row>
        <row r="770">
          <cell r="A770" t="str">
            <v xml:space="preserve"> 79.90.C Pozostała działalność usługowa w zakresie rezerwacji, gdzie indziej niesklasyfikowana</v>
          </cell>
        </row>
        <row r="771">
          <cell r="A771" t="str">
            <v>80   DZIAŁALNOŚĆ DETEKTYWISTYCZNA I OCHRONIARSKA</v>
          </cell>
        </row>
        <row r="772">
          <cell r="A772" t="str">
            <v xml:space="preserve"> 80.10.Z Działalność ochroniarska, z wyłączeniem obsługi systemów bezpieczeństwa</v>
          </cell>
        </row>
        <row r="773">
          <cell r="A773" t="str">
            <v xml:space="preserve"> 80.20.Z Działalność ochroniarska w zakresie obsługi systemów bezpieczeństwa</v>
          </cell>
        </row>
        <row r="774">
          <cell r="A774" t="str">
            <v xml:space="preserve"> 80.30.Z Działalność detektywistyczna</v>
          </cell>
        </row>
        <row r="775">
          <cell r="A775" t="str">
            <v>81   DZIAŁALNOŚĆ USŁUGOWA ZWIĄZANA Z UTRZYMANIEM PORZĄDKU W BUDYNKACH I ZAGOSPODAROWANIEM TERENÓW ZIELENI</v>
          </cell>
        </row>
        <row r="776">
          <cell r="A776" t="str">
            <v xml:space="preserve"> 81.10.Z Działalność pomocnicza związana z utrzymaniem porządku w budynkach</v>
          </cell>
        </row>
        <row r="777">
          <cell r="A777" t="str">
            <v xml:space="preserve"> 81.2  Sprzątanie obiektów</v>
          </cell>
        </row>
        <row r="778">
          <cell r="A778" t="str">
            <v xml:space="preserve"> 81.21.Z Niespecjalistyczne sprzątanie budynków i obiektów przemysłowych</v>
          </cell>
        </row>
        <row r="779">
          <cell r="A779" t="str">
            <v xml:space="preserve"> 81.22.Z Specjalistyczne sprzątanie budynków i obiektów przemysłowych</v>
          </cell>
        </row>
        <row r="780">
          <cell r="A780" t="str">
            <v xml:space="preserve"> 81.29.Z Pozostałe sprzątanie</v>
          </cell>
        </row>
        <row r="781">
          <cell r="A781" t="str">
            <v xml:space="preserve"> 81.30.Z Działalność usługowa związana z zagospodarowaniem terenów zieleni</v>
          </cell>
        </row>
        <row r="782">
          <cell r="A782" t="str">
            <v>82   DZIAŁALNOŚĆ ZWIĄZANA Z ADMINISTRACYJNĄ OBSŁUGĄ BIURA I POZOSTAŁA DZIAŁALNOŚĆ WSPOMAGAJĄCA PROWADZENIE DZIAŁALNOŚCI GOSPODARCZEJ</v>
          </cell>
        </row>
        <row r="783">
          <cell r="A783" t="str">
            <v xml:space="preserve"> 82.1  Działalność związana z administracyjną obsługą biura, włączając działalność wspomagającą</v>
          </cell>
        </row>
        <row r="784">
          <cell r="A784" t="str">
            <v xml:space="preserve"> 82.11.Z Działalność usługowa związana z administracyjną obsługą biura</v>
          </cell>
        </row>
        <row r="785">
          <cell r="A785" t="str">
            <v xml:space="preserve"> 82.19.Z Wykonywanie fotokopii, przygotowywanie dokumentów i pozostała specjalistyczna działalność wspomagająca prowadzenie biura</v>
          </cell>
        </row>
        <row r="786">
          <cell r="A786" t="str">
            <v xml:space="preserve"> 82.20.Z Działalność centrów telefonicznych (call center) </v>
          </cell>
        </row>
        <row r="787">
          <cell r="A787" t="str">
            <v xml:space="preserve"> 82.30.Z Działalność związana z organizacją targów, wystaw i kongresów</v>
          </cell>
        </row>
        <row r="788">
          <cell r="A788" t="str">
            <v xml:space="preserve"> 82.9  Działalność komercyjna, gdzie indziej niesklasyfikowana</v>
          </cell>
        </row>
        <row r="789">
          <cell r="A789" t="str">
            <v xml:space="preserve"> 82.91.Z Działalność świadczona przez agencje inkasa i biura kredytowe</v>
          </cell>
        </row>
        <row r="790">
          <cell r="A790" t="str">
            <v xml:space="preserve"> 82.92.Z Działalność związana z pakowaniem</v>
          </cell>
        </row>
        <row r="791">
          <cell r="A791" t="str">
            <v xml:space="preserve"> 82.99.Z Pozostała działalność wspomagająca prowadzenie działalności gospodarczej, gdzie indziej niesklasyfikowana</v>
          </cell>
        </row>
        <row r="792">
          <cell r="A792" t="str">
            <v>SEKCJA O ADMINISTRACJA PUBLICZNA I OBRONA NARODOWA; OBOWIĄZKOWE ZABEZPIECZENIA SPOŁECZNE</v>
          </cell>
        </row>
        <row r="793">
          <cell r="A793" t="str">
            <v>84   ADMINISTRACJA PUBLICZNA I OBRONA NARODOWA; OBOWIĄZKOWE ZABEZPIECZENIA SPOŁECZNE</v>
          </cell>
        </row>
        <row r="794">
          <cell r="A794" t="str">
            <v xml:space="preserve"> 84.1  Administracja publiczna oraz polityka gospodarcza i społeczna</v>
          </cell>
        </row>
        <row r="795">
          <cell r="A795" t="str">
            <v xml:space="preserve"> 84.11.Z Kierowanie podstawowymi rodzajami działalności publicznej</v>
          </cell>
        </row>
        <row r="796">
          <cell r="A796" t="str">
            <v xml:space="preserve"> 84.12.Z Kierowanie w zakresie działalności związanej z ochroną zdrowia, edukacją, kulturą oraz pozostałymi usługami społecznymi, z wyłączeniem zabezpieczeń społecznych</v>
          </cell>
        </row>
        <row r="797">
          <cell r="A797" t="str">
            <v xml:space="preserve"> 84.13.Z Kierowanie w zakresie efektywności gospodarowania</v>
          </cell>
        </row>
        <row r="798">
          <cell r="A798" t="str">
            <v xml:space="preserve"> 84.2  Usługi na rzecz całego społeczeństwa</v>
          </cell>
        </row>
        <row r="799">
          <cell r="A799" t="str">
            <v xml:space="preserve"> 84.21.Z Sprawy zagraniczne</v>
          </cell>
        </row>
        <row r="800">
          <cell r="A800" t="str">
            <v xml:space="preserve"> 84.22.Z Obrona narodowa</v>
          </cell>
        </row>
        <row r="801">
          <cell r="A801" t="str">
            <v xml:space="preserve"> 84.23.Z Wymiar sprawiedliwości</v>
          </cell>
        </row>
        <row r="802">
          <cell r="A802" t="str">
            <v xml:space="preserve"> 84.24.Z Bezpieczeństwo państwa, porządek i bezpieczeństwo publiczne</v>
          </cell>
        </row>
        <row r="803">
          <cell r="A803" t="str">
            <v xml:space="preserve"> 84.25.Z Ochrona przeciwpożarowa</v>
          </cell>
        </row>
        <row r="804">
          <cell r="A804" t="str">
            <v xml:space="preserve"> 84.30.Z Obowiązkowe zabezpieczenia społeczne</v>
          </cell>
        </row>
        <row r="805">
          <cell r="A805" t="str">
            <v>SEKCJA P EDUKACJA</v>
          </cell>
        </row>
        <row r="806">
          <cell r="A806" t="str">
            <v>85   EDUKACJA</v>
          </cell>
        </row>
        <row r="807">
          <cell r="A807" t="str">
            <v xml:space="preserve"> 85.10.Z Wychowanie przedszkolne</v>
          </cell>
        </row>
        <row r="808">
          <cell r="A808" t="str">
            <v xml:space="preserve"> 85.20.Z Szkoły podstawowe</v>
          </cell>
        </row>
        <row r="809">
          <cell r="A809" t="str">
            <v xml:space="preserve"> 85.3  Gimnazja i szkoły ponadgimnazjalne, z wyłączeniem szkół policealnych</v>
          </cell>
        </row>
        <row r="810">
          <cell r="A810" t="str">
            <v xml:space="preserve">  85.31 Gimnazja, licea ogólnokształcące i profilowane</v>
          </cell>
        </row>
        <row r="811">
          <cell r="A811" t="str">
            <v xml:space="preserve"> 85.31.A Gimnazja</v>
          </cell>
        </row>
        <row r="812">
          <cell r="A812" t="str">
            <v xml:space="preserve"> 85.31.B Licea ogólnokształcące</v>
          </cell>
        </row>
        <row r="813">
          <cell r="A813" t="str">
            <v xml:space="preserve"> 85.31.C Licea profilowane</v>
          </cell>
        </row>
        <row r="814">
          <cell r="A814" t="str">
            <v xml:space="preserve">  85.32 Szkoły zawodowe, z wyłączeniem szkół policealnych</v>
          </cell>
        </row>
        <row r="815">
          <cell r="A815" t="str">
            <v xml:space="preserve"> 85.32.A Technika</v>
          </cell>
        </row>
        <row r="816">
          <cell r="A816" t="str">
            <v xml:space="preserve"> 85.32.B Zasadnicze szkoły zawodowe</v>
          </cell>
        </row>
        <row r="817">
          <cell r="A817" t="str">
            <v xml:space="preserve"> 85.32.C Szkoły specjalne przysposabiające do pracy</v>
          </cell>
        </row>
        <row r="818">
          <cell r="A818" t="str">
            <v xml:space="preserve"> 85.4  Szkoły policealne oraz wyższe</v>
          </cell>
        </row>
        <row r="819">
          <cell r="A819" t="str">
            <v xml:space="preserve"> 85.41.Z Szkoły policealne</v>
          </cell>
        </row>
        <row r="820">
          <cell r="A820" t="str">
            <v xml:space="preserve">  85.42 Zakłady kształcenia nauczycieli, kolegia pracowników służb społecznych oraz szkoły wyższe</v>
          </cell>
        </row>
        <row r="821">
          <cell r="A821" t="str">
            <v xml:space="preserve"> 85.42.A Zakłady kształcenia nauczycieli i kolegia pracowników służb społecznych</v>
          </cell>
        </row>
        <row r="822">
          <cell r="A822" t="str">
            <v xml:space="preserve"> 85.42.B Szkoły wyższe</v>
          </cell>
        </row>
        <row r="823">
          <cell r="A823" t="str">
            <v xml:space="preserve"> 85.5  Pozaszkolne formy edukacji</v>
          </cell>
        </row>
        <row r="824">
          <cell r="A824" t="str">
            <v xml:space="preserve"> 85.51.Z Pozaszkolne formy edukacji sportowej oraz zajęć sportowych i rekreacyjnych</v>
          </cell>
        </row>
        <row r="825">
          <cell r="A825" t="str">
            <v xml:space="preserve"> 85.52.Z Pozaszkolne formy edukacji artystycznej</v>
          </cell>
        </row>
        <row r="826">
          <cell r="A826" t="str">
            <v xml:space="preserve"> 85.53.Z Pozaszkolne formy edukacji z zakresu nauki jazdy i pilotażu</v>
          </cell>
        </row>
        <row r="827">
          <cell r="A827" t="str">
            <v xml:space="preserve">  85.59 Pozaszkolne formy edukacji, gdzie indziej niesklasyfikowane</v>
          </cell>
        </row>
        <row r="828">
          <cell r="A828" t="str">
            <v xml:space="preserve"> 85.59.A Nauka języków obcych</v>
          </cell>
        </row>
        <row r="829">
          <cell r="A829" t="str">
            <v xml:space="preserve"> 85.59.B Pozostałe pozaszkolne formy edukacji, gdzie indziej niesklasyfikowane</v>
          </cell>
        </row>
        <row r="830">
          <cell r="A830" t="str">
            <v xml:space="preserve"> 85.60.Z Działalność wspomagająca edukację</v>
          </cell>
        </row>
        <row r="831">
          <cell r="A831" t="str">
            <v>SEKCJA Q OPIEKA ZDROWOTNA I POMOC SPOŁECZNA</v>
          </cell>
        </row>
        <row r="832">
          <cell r="A832" t="str">
            <v>86   OPIEKA ZDROWOTNA</v>
          </cell>
        </row>
        <row r="833">
          <cell r="A833" t="str">
            <v xml:space="preserve"> 86.10.Z Działalność szpitali</v>
          </cell>
        </row>
        <row r="834">
          <cell r="A834" t="str">
            <v xml:space="preserve"> 86.2  Praktyka lekarska</v>
          </cell>
        </row>
        <row r="835">
          <cell r="A835" t="str">
            <v xml:space="preserve"> 86.21.Z Praktyka lekarska ogólna</v>
          </cell>
        </row>
        <row r="836">
          <cell r="A836" t="str">
            <v xml:space="preserve"> 86.22.Z Praktyka lekarska specjalistyczna</v>
          </cell>
        </row>
        <row r="837">
          <cell r="A837" t="str">
            <v xml:space="preserve"> 86.23.Z Praktyka lekarska dentystyczna</v>
          </cell>
        </row>
        <row r="838">
          <cell r="A838" t="str">
            <v xml:space="preserve"> 86.9 86.90 Pozostała działalność w zakresie opieki zdrowotnej</v>
          </cell>
        </row>
        <row r="839">
          <cell r="A839" t="str">
            <v xml:space="preserve"> 86.90.A Działalność fizjoterapeutyczna</v>
          </cell>
        </row>
        <row r="840">
          <cell r="A840" t="str">
            <v xml:space="preserve"> 86.90.B Działalność pogotowia ratunkowego</v>
          </cell>
        </row>
        <row r="841">
          <cell r="A841" t="str">
            <v xml:space="preserve"> 86.90.C Praktyka pielęgniarek i położnych</v>
          </cell>
        </row>
        <row r="842">
          <cell r="A842" t="str">
            <v xml:space="preserve"> 86.90.D Działalność paramedyczna</v>
          </cell>
        </row>
        <row r="843">
          <cell r="A843" t="str">
            <v xml:space="preserve"> 86.90.E Pozostała działalność w zakresie opieki zdrowotnej, gdzie indziej niesklasyfikowana</v>
          </cell>
        </row>
        <row r="844">
          <cell r="A844" t="str">
            <v>87   POMOC SPOŁECZNA Z ZAKWATEROWANIEM</v>
          </cell>
        </row>
        <row r="845">
          <cell r="A845" t="str">
            <v xml:space="preserve"> 87.10.Z Pomoc społeczna z zakwaterowaniem zapewniająca opiekę pielęgniarską</v>
          </cell>
        </row>
        <row r="846">
          <cell r="A846" t="str">
            <v xml:space="preserve"> 87.20.Z Pomoc społeczna z zakwaterowaniem dla osób z zaburzeniami psychicznymi</v>
          </cell>
        </row>
        <row r="847">
          <cell r="A847" t="str">
            <v xml:space="preserve"> 87.30.Z Pomoc społeczna z zakwaterowaniem dla osób w podeszłym wieku i osób niepełnosprawnych</v>
          </cell>
        </row>
        <row r="848">
          <cell r="A848" t="str">
            <v xml:space="preserve"> 87.90.Z Pozostała pomoc społeczna z zakwaterowaniem</v>
          </cell>
        </row>
        <row r="849">
          <cell r="A849" t="str">
            <v>88   POMOC SPOŁECZNA BEZ ZAKWATEROWANIA</v>
          </cell>
        </row>
        <row r="850">
          <cell r="A850" t="str">
            <v xml:space="preserve"> 88.10.Z Pomoc społeczna bez zakwaterowania dla osób w podeszłym wieku i osób niepełnosprawnych</v>
          </cell>
        </row>
        <row r="851">
          <cell r="A851" t="str">
            <v xml:space="preserve"> 88.9  Pozostała pomoc społeczna bez zakwaterowania</v>
          </cell>
        </row>
        <row r="852">
          <cell r="A852" t="str">
            <v xml:space="preserve"> 88.91.Z Opieka dzienna nad dziećmi</v>
          </cell>
        </row>
        <row r="853">
          <cell r="A853" t="str">
            <v xml:space="preserve"> 88.99.Z Pozostała pomoc społeczna bez zakwaterowania, gdzie indziej niesklasyfikowana</v>
          </cell>
        </row>
        <row r="854">
          <cell r="A854" t="str">
            <v>SEKCJA R DZIAŁALNOŚĆ ZWIĄZANA Z KULTURĄ, ROZRYWKĄ I REKREACJĄ</v>
          </cell>
        </row>
        <row r="855">
          <cell r="A855" t="str">
            <v>90 90.0  DZIAŁALNOŚĆ TWÓRCZA ZWIĄZANA Z KULTURĄ I ROZRYWKĄ</v>
          </cell>
        </row>
        <row r="856">
          <cell r="A856" t="str">
            <v xml:space="preserve"> 90.01.Z Działalność związana z wystawianiem przedstawień artystycznych</v>
          </cell>
        </row>
        <row r="857">
          <cell r="A857" t="str">
            <v xml:space="preserve"> 90.02.Z Działalność wspomagająca wystawianie przedstawień artystycznych</v>
          </cell>
        </row>
        <row r="858">
          <cell r="A858" t="str">
            <v xml:space="preserve"> 90.03.Z Artystyczna i literacka działalność twórcza</v>
          </cell>
        </row>
        <row r="859">
          <cell r="A859" t="str">
            <v xml:space="preserve"> 90.04.Z Działalność obiektów kulturalnych</v>
          </cell>
        </row>
        <row r="860">
          <cell r="A860" t="str">
            <v>91 91.0  DZIAŁALNOŚĆ BIBLIOTEK, ARCHIWÓW, MUZEÓW ORAZ POZOSTAŁA DZIAŁALNOŚĆ ZWIĄZANA Z KULTURĄ</v>
          </cell>
        </row>
        <row r="861">
          <cell r="A861" t="str">
            <v xml:space="preserve">  91.01 Działalność bibliotek i archiwów</v>
          </cell>
        </row>
        <row r="862">
          <cell r="A862" t="str">
            <v xml:space="preserve"> 91.01.A Działalność bibliotek</v>
          </cell>
        </row>
        <row r="863">
          <cell r="A863" t="str">
            <v xml:space="preserve"> 91.01.B Działalność archiwów</v>
          </cell>
        </row>
        <row r="864">
          <cell r="A864" t="str">
            <v xml:space="preserve"> 91.02.Z Działalność muzeów</v>
          </cell>
        </row>
        <row r="865">
          <cell r="A865" t="str">
            <v xml:space="preserve"> 91.03.Z Działalność historycznych miejsc i budynków oraz podobnych atrakcji turystycznych</v>
          </cell>
        </row>
        <row r="866">
          <cell r="A866" t="str">
            <v xml:space="preserve"> 91.04.Z Działalność ogrodów botanicznych i zoologicznych oraz obszarów i obiektów ochrony przyrody</v>
          </cell>
        </row>
        <row r="867">
          <cell r="A867" t="str">
            <v xml:space="preserve"> 92.00.Z DZIAŁALNOŚĆ ZWIĄZANA Z GRAMI LOSOWYMI I ZAKŁADAMI WZAJEMNYMI</v>
          </cell>
        </row>
        <row r="868">
          <cell r="A868" t="str">
            <v>93   DZIAŁALNOŚĆ SPORTOWA, ROZRYWKOWA I REKREACYJNA</v>
          </cell>
        </row>
        <row r="869">
          <cell r="A869" t="str">
            <v xml:space="preserve"> 93.1  Działalność związana ze sportem</v>
          </cell>
        </row>
        <row r="870">
          <cell r="A870" t="str">
            <v xml:space="preserve"> 93.11.Z Działalność obiektów sportowych</v>
          </cell>
        </row>
        <row r="871">
          <cell r="A871" t="str">
            <v xml:space="preserve"> 93.12.Z Działalność klubów sportowych</v>
          </cell>
        </row>
        <row r="872">
          <cell r="A872" t="str">
            <v xml:space="preserve"> 93.13.Z Działalność obiektów służących poprawie kondycji fizycznej</v>
          </cell>
        </row>
        <row r="873">
          <cell r="A873" t="str">
            <v xml:space="preserve"> 93.19.Z Pozostała działalność związana ze sportem</v>
          </cell>
        </row>
        <row r="874">
          <cell r="A874" t="str">
            <v xml:space="preserve"> 93.2  Działalność rozrywkowa i rekreacyjna</v>
          </cell>
        </row>
        <row r="875">
          <cell r="A875" t="str">
            <v xml:space="preserve"> 93.21.Z Działalność wesołych miasteczek i parków rozrywki</v>
          </cell>
        </row>
        <row r="876">
          <cell r="A876" t="str">
            <v xml:space="preserve"> 93.29.Z Pozostała działalność rozrywkowa i rekreacyjna</v>
          </cell>
        </row>
        <row r="877">
          <cell r="A877" t="str">
            <v>SEKCJA S POZOSTAŁA DZIAŁALNOŚĆ USŁUGOWA</v>
          </cell>
        </row>
        <row r="878">
          <cell r="A878" t="str">
            <v>94   DZIAŁALNOŚĆ ORGANIZACJI CZŁONKOWSKICH</v>
          </cell>
        </row>
        <row r="879">
          <cell r="A879" t="str">
            <v xml:space="preserve"> 94.1  Działalność organizacji komercyjnych, pracodawców oraz organizacji profesjonalnych</v>
          </cell>
        </row>
        <row r="880">
          <cell r="A880" t="str">
            <v xml:space="preserve"> 94.11.Z Działalność organizacji komercyjnych i pracodawców</v>
          </cell>
        </row>
        <row r="881">
          <cell r="A881" t="str">
            <v xml:space="preserve"> 94.12.Z Działalność organizacji profesjonalnych</v>
          </cell>
        </row>
        <row r="882">
          <cell r="A882" t="str">
            <v xml:space="preserve"> 94.20.Z Działalność związków zawodowych</v>
          </cell>
        </row>
        <row r="883">
          <cell r="A883" t="str">
            <v xml:space="preserve"> 94.9  Działalność pozostałych organizacji członkowskich</v>
          </cell>
        </row>
        <row r="884">
          <cell r="A884" t="str">
            <v xml:space="preserve"> 94.91.Z Działalność organizacji religijnych</v>
          </cell>
        </row>
        <row r="885">
          <cell r="A885" t="str">
            <v xml:space="preserve"> 94.92.Z Działalność organizacji politycznych</v>
          </cell>
        </row>
        <row r="886">
          <cell r="A886" t="str">
            <v xml:space="preserve"> 94.99.Z Działalność pozostałych organizacji członkowskich, gdzie indziej niesklasyfikowana</v>
          </cell>
        </row>
        <row r="887">
          <cell r="A887" t="str">
            <v>95   NAPRAWA I KONSERWACJA KOMPUTERÓW I ARTYKUŁÓW UŻYTKU OSOBISTEGO I DOMOWEGO</v>
          </cell>
        </row>
        <row r="888">
          <cell r="A888" t="str">
            <v xml:space="preserve"> 95.1  Naprawa i konserwacja komputerów i sprzętu komunikacyjnego</v>
          </cell>
        </row>
        <row r="889">
          <cell r="A889" t="str">
            <v xml:space="preserve"> 95.11.Z Naprawa i konserwacja komputerów i urządzeń peryferyjnych</v>
          </cell>
        </row>
        <row r="890">
          <cell r="A890" t="str">
            <v xml:space="preserve"> 95.12.Z Naprawa i konserwacja sprzętu (tele)komunikacyjnego</v>
          </cell>
        </row>
        <row r="891">
          <cell r="A891" t="str">
            <v xml:space="preserve"> 95.2  Naprawa i konserwacja artykułów użytku osobistego i domowego</v>
          </cell>
        </row>
        <row r="892">
          <cell r="A892" t="str">
            <v xml:space="preserve"> 95.21.Z Naprawa i konserwacja elektronicznego sprzętu powszechnego użytku</v>
          </cell>
        </row>
        <row r="893">
          <cell r="A893" t="str">
            <v xml:space="preserve"> 95.22.Z Naprawa i konserwacja urządzeń gospodarstwa domowego oraz sprzętu użytku domowego i ogrodniczego</v>
          </cell>
        </row>
        <row r="894">
          <cell r="A894" t="str">
            <v xml:space="preserve"> 95.23.Z Naprawa obuwia i wyrobów skórzanych</v>
          </cell>
        </row>
        <row r="895">
          <cell r="A895" t="str">
            <v xml:space="preserve"> 95.24.Z Naprawa i konserwacja mebli i wyposażenia domowego</v>
          </cell>
        </row>
        <row r="896">
          <cell r="A896" t="str">
            <v xml:space="preserve"> 95.25.Z Naprawa zegarów, zegarków oraz biżuterii</v>
          </cell>
        </row>
        <row r="897">
          <cell r="A897" t="str">
            <v xml:space="preserve"> 95.29.Z Naprawa pozostałych artykułów użytku osobistego i domowego</v>
          </cell>
        </row>
        <row r="898">
          <cell r="A898" t="str">
            <v>96 96.0  POZOSTAŁA INDYWIDUALNA DZIAŁALNOŚĆ USŁUGOWA</v>
          </cell>
        </row>
        <row r="899">
          <cell r="A899" t="str">
            <v xml:space="preserve"> 96.01.Z Pranie i czyszczenie wyrobów włókienniczych i futrzarskich</v>
          </cell>
        </row>
        <row r="900">
          <cell r="A900" t="str">
            <v xml:space="preserve"> 96.02.Z Fryzjerstwo i pozostałe zabiegi kosmetyczne</v>
          </cell>
        </row>
        <row r="901">
          <cell r="A901" t="str">
            <v xml:space="preserve"> 96.03.Z Pogrzeby i działalność pokrewna</v>
          </cell>
        </row>
        <row r="902">
          <cell r="A902" t="str">
            <v xml:space="preserve"> 96.04.Z Działalność usługowa związana z poprawą kondycji fizycznej</v>
          </cell>
        </row>
        <row r="903">
          <cell r="A903" t="str">
            <v xml:space="preserve"> 96.09.Z Pozostała działalność usługowa, gdzie indziej niesklasyfikowana</v>
          </cell>
        </row>
        <row r="904">
          <cell r="A904" t="str">
            <v>SEKCJA T GOSPODARSTWA DOMOWE ZATRUDNIAJĄCE PRACOWNIKÓW; GOSPODARSTWA DOMOWE PRODUKUJĄCE WYROBY I ŚWIADCZĄCE USŁUGI NA WŁASNE POTRZEBY</v>
          </cell>
        </row>
        <row r="905">
          <cell r="A905" t="str">
            <v xml:space="preserve"> 97.00.Z GOSPODARSTWA DOMOWE ZATRUDNIAJĄCE PRACOWNIKÓW</v>
          </cell>
        </row>
        <row r="906">
          <cell r="A906" t="str">
            <v>98   GOSPODARSTWA DOMOWE PRODUKUJĄCE WYROBY I ŚWIADCZĄCE USŁUGI NA WŁASNE POTRZEBY</v>
          </cell>
        </row>
        <row r="907">
          <cell r="A907" t="str">
            <v xml:space="preserve"> 98.10.Z Gospodarstwa domowe produkujące wyroby na własne potrzeby</v>
          </cell>
        </row>
        <row r="908">
          <cell r="A908" t="str">
            <v xml:space="preserve"> 98.20.Z Gospodarstwa domowe świadczące usługi na własne potrzeby</v>
          </cell>
        </row>
        <row r="909">
          <cell r="A909" t="str">
            <v>SEKCJA U ORGANIZACJE I ZESPOŁY EKSTERYTORIALNE</v>
          </cell>
        </row>
        <row r="910">
          <cell r="A910" t="str">
            <v xml:space="preserve"> 99.00.Z ORGANIZACJE I ZESPOŁY EKSTERYTORIALNE</v>
          </cell>
        </row>
      </sheetData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  <sheetName val="krosno -&gt; grupę, amortyzację"/>
    </sheetNames>
    <sheetDataSet>
      <sheetData sheetId="0" refreshError="1">
        <row r="1">
          <cell r="A1" t="str">
            <v>Wydział</v>
          </cell>
          <cell r="B1" t="str">
            <v>Konto</v>
          </cell>
          <cell r="C1" t="str">
            <v>Nazwa</v>
          </cell>
          <cell r="D1" t="str">
            <v>BO Wn</v>
          </cell>
          <cell r="E1" t="str">
            <v>BO Ma</v>
          </cell>
          <cell r="F1" t="str">
            <v>S Wn</v>
          </cell>
          <cell r="G1" t="str">
            <v>S Ma</v>
          </cell>
          <cell r="H1" t="str">
            <v>SS 1</v>
          </cell>
          <cell r="I1" t="str">
            <v>Klasa</v>
          </cell>
          <cell r="J1" t="str">
            <v>Rodzaj</v>
          </cell>
        </row>
        <row r="2">
          <cell r="A2" t="str">
            <v>14</v>
          </cell>
          <cell r="B2" t="str">
            <v>500 /1-14-000</v>
          </cell>
          <cell r="C2" t="str">
            <v>Tkalnia, Roboty w toku</v>
          </cell>
          <cell r="D2">
            <v>465488.36</v>
          </cell>
          <cell r="E2">
            <v>0</v>
          </cell>
          <cell r="F2">
            <v>492407.59</v>
          </cell>
          <cell r="G2">
            <v>0</v>
          </cell>
          <cell r="H2">
            <v>-26919.23000000004</v>
          </cell>
          <cell r="I2" t="str">
            <v>Bezpośrednie</v>
          </cell>
          <cell r="J2" t="str">
            <v>Produkcja w toku</v>
          </cell>
        </row>
        <row r="3">
          <cell r="A3" t="str">
            <v>14</v>
          </cell>
          <cell r="B3" t="str">
            <v>500 /1-14-112</v>
          </cell>
          <cell r="C3" t="str">
            <v>Tkalnia, Zu§.prz‘dzy</v>
          </cell>
          <cell r="D3">
            <v>0</v>
          </cell>
          <cell r="E3">
            <v>0</v>
          </cell>
          <cell r="F3">
            <v>2977213.29</v>
          </cell>
          <cell r="G3">
            <v>37831.599999999999</v>
          </cell>
          <cell r="H3">
            <v>2939381.69</v>
          </cell>
          <cell r="I3" t="str">
            <v>Bezpośrednie</v>
          </cell>
          <cell r="J3" t="str">
            <v>Przędza z zakupu</v>
          </cell>
        </row>
        <row r="4">
          <cell r="A4" t="str">
            <v>14</v>
          </cell>
          <cell r="B4" t="str">
            <v>500 /1-14-113</v>
          </cell>
          <cell r="C4" t="str">
            <v>Tkalnia, Odpady</v>
          </cell>
          <cell r="D4">
            <v>0</v>
          </cell>
          <cell r="E4">
            <v>0</v>
          </cell>
          <cell r="F4">
            <v>-1148.18</v>
          </cell>
          <cell r="G4">
            <v>0</v>
          </cell>
          <cell r="H4">
            <v>-1148.18</v>
          </cell>
          <cell r="I4" t="str">
            <v>Bezpośrednie</v>
          </cell>
          <cell r="J4" t="str">
            <v>Odpady</v>
          </cell>
        </row>
        <row r="5">
          <cell r="A5" t="str">
            <v>14</v>
          </cell>
          <cell r="B5" t="str">
            <v>500 /1-14-122</v>
          </cell>
          <cell r="C5" t="str">
            <v>Tkalnia, Zu§.žr.pomocn.</v>
          </cell>
          <cell r="D5">
            <v>0</v>
          </cell>
          <cell r="E5">
            <v>0</v>
          </cell>
          <cell r="F5">
            <v>1830</v>
          </cell>
          <cell r="G5">
            <v>0</v>
          </cell>
          <cell r="H5">
            <v>1830</v>
          </cell>
          <cell r="I5" t="str">
            <v>Bezpośrednie</v>
          </cell>
          <cell r="J5" t="str">
            <v>Barwniki i środki pomocnicze</v>
          </cell>
        </row>
        <row r="6">
          <cell r="A6" t="str">
            <v>14</v>
          </cell>
          <cell r="B6" t="str">
            <v>500 /1-14-301</v>
          </cell>
          <cell r="C6" t="str">
            <v>Tkalnia, Zu§.prz.w’.-zgrz.</v>
          </cell>
          <cell r="D6">
            <v>0</v>
          </cell>
          <cell r="E6">
            <v>0</v>
          </cell>
          <cell r="F6">
            <v>236281.3</v>
          </cell>
          <cell r="G6">
            <v>4412.37</v>
          </cell>
          <cell r="H6">
            <v>231868.93</v>
          </cell>
          <cell r="I6" t="str">
            <v>Bezpośrednie</v>
          </cell>
          <cell r="J6" t="str">
            <v>Przędza własna</v>
          </cell>
        </row>
        <row r="7">
          <cell r="A7" t="str">
            <v>14</v>
          </cell>
          <cell r="B7" t="str">
            <v>500 /1-14-302</v>
          </cell>
          <cell r="C7" t="str">
            <v>Tkalnia, Zu§.prz.w’.-p˘’cz.</v>
          </cell>
          <cell r="D7">
            <v>0</v>
          </cell>
          <cell r="E7">
            <v>0</v>
          </cell>
          <cell r="F7">
            <v>1048927.51</v>
          </cell>
          <cell r="G7">
            <v>14972.09</v>
          </cell>
          <cell r="H7">
            <v>1033955.42</v>
          </cell>
          <cell r="I7" t="str">
            <v>Bezpośrednie</v>
          </cell>
          <cell r="J7" t="str">
            <v>Przędza własna</v>
          </cell>
        </row>
        <row r="8">
          <cell r="A8" t="str">
            <v>14</v>
          </cell>
          <cell r="B8" t="str">
            <v>500 /1-14-303</v>
          </cell>
          <cell r="C8" t="str">
            <v>Tkalnia, Zu§.prz.w’.-baw.</v>
          </cell>
          <cell r="D8">
            <v>0</v>
          </cell>
          <cell r="E8">
            <v>0</v>
          </cell>
          <cell r="F8">
            <v>755104.93</v>
          </cell>
          <cell r="G8">
            <v>12963.65</v>
          </cell>
          <cell r="H8">
            <v>742141.28</v>
          </cell>
          <cell r="I8" t="str">
            <v>Bezpośrednie</v>
          </cell>
          <cell r="J8" t="str">
            <v>Przędza własna</v>
          </cell>
        </row>
        <row r="9">
          <cell r="A9" t="str">
            <v>14</v>
          </cell>
          <cell r="B9" t="str">
            <v>500 /1-14-304</v>
          </cell>
          <cell r="C9" t="str">
            <v>Tkalnia, Zu§.prz.w’.-poz.</v>
          </cell>
          <cell r="D9">
            <v>0</v>
          </cell>
          <cell r="E9">
            <v>0</v>
          </cell>
          <cell r="F9">
            <v>800.33</v>
          </cell>
          <cell r="G9">
            <v>193.68</v>
          </cell>
          <cell r="H9">
            <v>606.65000000000009</v>
          </cell>
          <cell r="I9" t="str">
            <v>Bezpośrednie</v>
          </cell>
          <cell r="J9" t="str">
            <v>Przędza własna</v>
          </cell>
        </row>
        <row r="10">
          <cell r="A10" t="str">
            <v>14</v>
          </cell>
          <cell r="B10" t="str">
            <v>500 /1-14-410</v>
          </cell>
          <cell r="C10" t="str">
            <v>Tkalnia, Wynagr.-osobowy f.p’a</v>
          </cell>
          <cell r="D10">
            <v>0</v>
          </cell>
          <cell r="E10">
            <v>0</v>
          </cell>
          <cell r="F10">
            <v>578040.57999999996</v>
          </cell>
          <cell r="G10">
            <v>10639.66</v>
          </cell>
          <cell r="H10">
            <v>567400.91999999993</v>
          </cell>
          <cell r="I10" t="str">
            <v>Bezpośrednie</v>
          </cell>
          <cell r="J10" t="str">
            <v>Wynagrodzenia bezp. z narz.</v>
          </cell>
        </row>
        <row r="11">
          <cell r="A11" t="str">
            <v>14</v>
          </cell>
          <cell r="B11" t="str">
            <v>500 /1-14-522</v>
          </cell>
          <cell r="C11" t="str">
            <v>Tkalnia, Narzuty na p’ace</v>
          </cell>
          <cell r="D11">
            <v>0</v>
          </cell>
          <cell r="E11">
            <v>0</v>
          </cell>
          <cell r="F11">
            <v>255327.72</v>
          </cell>
          <cell r="G11">
            <v>7015.83</v>
          </cell>
          <cell r="H11">
            <v>248311.89</v>
          </cell>
          <cell r="I11" t="str">
            <v>Bezpośrednie</v>
          </cell>
          <cell r="J11" t="str">
            <v>Wynagrodzenia bezp. z narz.</v>
          </cell>
        </row>
        <row r="12">
          <cell r="A12" t="str">
            <v>14</v>
          </cell>
          <cell r="B12" t="str">
            <v>500 /1-14-800</v>
          </cell>
          <cell r="C12" t="str">
            <v>Tkalnia, koszty zakupu</v>
          </cell>
          <cell r="D12">
            <v>0</v>
          </cell>
          <cell r="E12">
            <v>0</v>
          </cell>
          <cell r="F12">
            <v>26975.85</v>
          </cell>
          <cell r="G12">
            <v>570.94000000000005</v>
          </cell>
          <cell r="H12">
            <v>26404.91</v>
          </cell>
          <cell r="I12" t="str">
            <v>Bezpośrednie</v>
          </cell>
          <cell r="J12" t="str">
            <v>Koszty zakupu</v>
          </cell>
        </row>
        <row r="13">
          <cell r="A13" t="str">
            <v>14</v>
          </cell>
          <cell r="B13" t="str">
            <v>500 /1-14-813</v>
          </cell>
          <cell r="C13" t="str">
            <v>Tkalnia, Us’ugi Farb.</v>
          </cell>
          <cell r="D13">
            <v>0</v>
          </cell>
          <cell r="E13">
            <v>0</v>
          </cell>
          <cell r="F13">
            <v>459499.06</v>
          </cell>
          <cell r="G13">
            <v>0</v>
          </cell>
          <cell r="H13">
            <v>459499.06</v>
          </cell>
          <cell r="I13" t="str">
            <v>Bezpośrednie</v>
          </cell>
          <cell r="J13" t="str">
            <v>Usługi Farbiarni</v>
          </cell>
        </row>
        <row r="14">
          <cell r="A14" t="str">
            <v>15</v>
          </cell>
          <cell r="B14" t="str">
            <v>500 /1-15-000</v>
          </cell>
          <cell r="C14" t="str">
            <v>Wyko¤czalnia, Roboty w toku</v>
          </cell>
          <cell r="D14">
            <v>162743.78</v>
          </cell>
          <cell r="E14">
            <v>0</v>
          </cell>
          <cell r="F14">
            <v>261230.19</v>
          </cell>
          <cell r="G14">
            <v>0</v>
          </cell>
          <cell r="H14">
            <v>-98486.41</v>
          </cell>
          <cell r="I14" t="str">
            <v>Bezpośrednie</v>
          </cell>
          <cell r="J14" t="str">
            <v>Produkcja w toku</v>
          </cell>
        </row>
        <row r="15">
          <cell r="A15" t="str">
            <v>15</v>
          </cell>
          <cell r="B15" t="str">
            <v>500 /1-15-112</v>
          </cell>
          <cell r="C15" t="str">
            <v>Wyko¤czalnia, Zu§.prz‘dzy z za</v>
          </cell>
          <cell r="D15">
            <v>0</v>
          </cell>
          <cell r="E15">
            <v>0</v>
          </cell>
          <cell r="F15">
            <v>27335.4</v>
          </cell>
          <cell r="G15">
            <v>0</v>
          </cell>
          <cell r="H15">
            <v>27335.4</v>
          </cell>
          <cell r="I15" t="str">
            <v>Bezpośrednie</v>
          </cell>
          <cell r="J15" t="str">
            <v>Przędza z zakupu</v>
          </cell>
        </row>
        <row r="16">
          <cell r="A16" t="str">
            <v>15</v>
          </cell>
          <cell r="B16" t="str">
            <v>500 /1-15-113</v>
          </cell>
          <cell r="C16" t="str">
            <v>Wyko¤czalnia, Odpady</v>
          </cell>
          <cell r="D16">
            <v>0</v>
          </cell>
          <cell r="E16">
            <v>0</v>
          </cell>
          <cell r="F16">
            <v>-15303.9</v>
          </cell>
          <cell r="G16">
            <v>0</v>
          </cell>
          <cell r="H16">
            <v>-15303.9</v>
          </cell>
          <cell r="I16" t="str">
            <v>Bezpośrednie</v>
          </cell>
          <cell r="J16" t="str">
            <v>Odpady</v>
          </cell>
        </row>
        <row r="17">
          <cell r="A17" t="str">
            <v>15</v>
          </cell>
          <cell r="B17" t="str">
            <v>500 /1-15-114</v>
          </cell>
          <cell r="C17" t="str">
            <v>Wyko¤czalnia, Tkanina</v>
          </cell>
          <cell r="D17">
            <v>0</v>
          </cell>
          <cell r="E17">
            <v>0</v>
          </cell>
          <cell r="F17">
            <v>70614.7</v>
          </cell>
          <cell r="G17">
            <v>0</v>
          </cell>
          <cell r="H17">
            <v>70614.7</v>
          </cell>
          <cell r="I17" t="str">
            <v>Bezpośrednie</v>
          </cell>
          <cell r="J17" t="str">
            <v>Tkanina</v>
          </cell>
        </row>
        <row r="18">
          <cell r="A18" t="str">
            <v>15</v>
          </cell>
          <cell r="B18" t="str">
            <v>500 /1-15-121</v>
          </cell>
          <cell r="C18" t="str">
            <v>Wyko¤czalnia, Zu§.barwnik˘w</v>
          </cell>
          <cell r="D18">
            <v>0</v>
          </cell>
          <cell r="E18">
            <v>0</v>
          </cell>
          <cell r="F18">
            <v>122.5</v>
          </cell>
          <cell r="G18">
            <v>0</v>
          </cell>
          <cell r="H18">
            <v>122.5</v>
          </cell>
          <cell r="I18" t="str">
            <v>Bezpośrednie</v>
          </cell>
          <cell r="J18" t="str">
            <v>Barwniki i środki pomocnicze</v>
          </cell>
        </row>
        <row r="19">
          <cell r="A19" t="str">
            <v>15</v>
          </cell>
          <cell r="B19" t="str">
            <v>500 /1-15-122</v>
          </cell>
          <cell r="C19" t="str">
            <v>Wyko¤czalnia, Zu§.žr.pomocn.</v>
          </cell>
          <cell r="D19">
            <v>0</v>
          </cell>
          <cell r="E19">
            <v>0</v>
          </cell>
          <cell r="F19">
            <v>136607.45000000001</v>
          </cell>
          <cell r="G19">
            <v>478.93</v>
          </cell>
          <cell r="H19">
            <v>136128.52000000002</v>
          </cell>
          <cell r="I19" t="str">
            <v>Bezpośrednie</v>
          </cell>
          <cell r="J19" t="str">
            <v>Barwniki i środki pomocnicze</v>
          </cell>
        </row>
        <row r="20">
          <cell r="A20" t="str">
            <v>15</v>
          </cell>
          <cell r="B20" t="str">
            <v>500 /1-15-123</v>
          </cell>
          <cell r="C20" t="str">
            <v>Wyko¤czalnia, Zu§.papieru tran</v>
          </cell>
          <cell r="D20">
            <v>0</v>
          </cell>
          <cell r="E20">
            <v>0</v>
          </cell>
          <cell r="F20">
            <v>2295</v>
          </cell>
          <cell r="G20">
            <v>0</v>
          </cell>
          <cell r="H20">
            <v>2295</v>
          </cell>
          <cell r="I20" t="str">
            <v>Bezpośrednie</v>
          </cell>
          <cell r="J20" t="str">
            <v>Barwniki i środki pomocnicze</v>
          </cell>
        </row>
        <row r="21">
          <cell r="A21" t="str">
            <v>15</v>
          </cell>
          <cell r="B21" t="str">
            <v>500 /1-15-142</v>
          </cell>
          <cell r="C21" t="str">
            <v>Wyko¤czalnia, Mater.pozost.</v>
          </cell>
          <cell r="D21">
            <v>0</v>
          </cell>
          <cell r="E21">
            <v>0</v>
          </cell>
          <cell r="F21">
            <v>1154.29</v>
          </cell>
          <cell r="G21">
            <v>0</v>
          </cell>
          <cell r="H21">
            <v>1154.29</v>
          </cell>
          <cell r="I21" t="str">
            <v>Bezpośrednie</v>
          </cell>
          <cell r="J21" t="str">
            <v>Pozostałe materiały</v>
          </cell>
        </row>
        <row r="22">
          <cell r="A22" t="str">
            <v>15</v>
          </cell>
          <cell r="B22" t="str">
            <v>500 /1-15-231</v>
          </cell>
          <cell r="C22" t="str">
            <v>Wyko¤czalnia, Obr.obca-druk.tk</v>
          </cell>
          <cell r="D22">
            <v>0</v>
          </cell>
          <cell r="E22">
            <v>0</v>
          </cell>
          <cell r="F22">
            <v>1086.49</v>
          </cell>
          <cell r="G22">
            <v>0</v>
          </cell>
          <cell r="H22">
            <v>1086.49</v>
          </cell>
          <cell r="I22" t="str">
            <v>Bezpośrednie</v>
          </cell>
          <cell r="J22" t="str">
            <v>Obróbka obca</v>
          </cell>
        </row>
        <row r="23">
          <cell r="A23" t="str">
            <v>15</v>
          </cell>
          <cell r="B23" t="str">
            <v>500 /1-15-233</v>
          </cell>
          <cell r="C23" t="str">
            <v>Wyko¤czalnia, Obr.obca-drapani</v>
          </cell>
          <cell r="D23">
            <v>0</v>
          </cell>
          <cell r="E23">
            <v>0</v>
          </cell>
          <cell r="F23">
            <v>2995.85</v>
          </cell>
          <cell r="G23">
            <v>0</v>
          </cell>
          <cell r="H23">
            <v>2995.85</v>
          </cell>
          <cell r="I23" t="str">
            <v>Bezpośrednie</v>
          </cell>
          <cell r="J23" t="str">
            <v>Obróbka obca</v>
          </cell>
        </row>
        <row r="24">
          <cell r="A24" t="str">
            <v>15</v>
          </cell>
          <cell r="B24" t="str">
            <v>500 /1-15-410</v>
          </cell>
          <cell r="C24" t="str">
            <v>Wyko¤czalnia, Wynagr.-osobowy</v>
          </cell>
          <cell r="D24">
            <v>0</v>
          </cell>
          <cell r="E24">
            <v>0</v>
          </cell>
          <cell r="F24">
            <v>100604.43</v>
          </cell>
          <cell r="G24">
            <v>257.49</v>
          </cell>
          <cell r="H24">
            <v>100346.93999999999</v>
          </cell>
          <cell r="I24" t="str">
            <v>Bezpośrednie</v>
          </cell>
          <cell r="J24" t="str">
            <v>Wynagrodzenia bezp. z narz.</v>
          </cell>
        </row>
        <row r="25">
          <cell r="A25" t="str">
            <v>15</v>
          </cell>
          <cell r="B25" t="str">
            <v>500 /1-15-522</v>
          </cell>
          <cell r="C25" t="str">
            <v>Wyko¤czalnia, Narzuty na p’ace</v>
          </cell>
          <cell r="D25">
            <v>0</v>
          </cell>
          <cell r="E25">
            <v>0</v>
          </cell>
          <cell r="F25">
            <v>44430.09</v>
          </cell>
          <cell r="G25">
            <v>110.53</v>
          </cell>
          <cell r="H25">
            <v>44319.56</v>
          </cell>
          <cell r="I25" t="str">
            <v>Bezpośrednie</v>
          </cell>
          <cell r="J25" t="str">
            <v>Wynagrodzenia bezp. z narz.</v>
          </cell>
        </row>
        <row r="26">
          <cell r="A26" t="str">
            <v>15</v>
          </cell>
          <cell r="B26" t="str">
            <v>500 /1-15-800</v>
          </cell>
          <cell r="C26" t="str">
            <v>Wyko¤czalnia, K-ty zakupu</v>
          </cell>
          <cell r="D26">
            <v>0</v>
          </cell>
          <cell r="E26">
            <v>0</v>
          </cell>
          <cell r="F26">
            <v>4547.95</v>
          </cell>
          <cell r="G26">
            <v>22.81</v>
          </cell>
          <cell r="H26">
            <v>4525.1399999999994</v>
          </cell>
          <cell r="I26" t="str">
            <v>Bezpośrednie</v>
          </cell>
          <cell r="J26" t="str">
            <v>Koszty zakupu</v>
          </cell>
        </row>
        <row r="27">
          <cell r="A27" t="str">
            <v>15</v>
          </cell>
          <cell r="B27" t="str">
            <v>500 /1-15-813</v>
          </cell>
          <cell r="C27" t="str">
            <v>Wyko¤czalnia, Us’.Farb.</v>
          </cell>
          <cell r="D27">
            <v>0</v>
          </cell>
          <cell r="E27">
            <v>0</v>
          </cell>
          <cell r="F27">
            <v>1001086.93</v>
          </cell>
          <cell r="G27">
            <v>0</v>
          </cell>
          <cell r="H27">
            <v>1001086.93</v>
          </cell>
          <cell r="I27" t="str">
            <v>Bezpośrednie</v>
          </cell>
          <cell r="J27" t="str">
            <v>Usługi Farbiarni</v>
          </cell>
        </row>
        <row r="28">
          <cell r="A28" t="str">
            <v>14</v>
          </cell>
          <cell r="B28" t="str">
            <v>505 /1-14-122</v>
          </cell>
          <cell r="C28" t="str">
            <v>Tkalnia, Zu§.žr.pomocn.</v>
          </cell>
          <cell r="D28">
            <v>0</v>
          </cell>
          <cell r="E28">
            <v>0</v>
          </cell>
          <cell r="F28">
            <v>945</v>
          </cell>
          <cell r="G28">
            <v>0</v>
          </cell>
          <cell r="H28">
            <v>945</v>
          </cell>
          <cell r="I28" t="str">
            <v>Pośrednie</v>
          </cell>
          <cell r="J28" t="str">
            <v>Pozostałe koszty</v>
          </cell>
        </row>
        <row r="29">
          <cell r="A29" t="str">
            <v>14</v>
          </cell>
          <cell r="B29" t="str">
            <v>505 /1-14-142</v>
          </cell>
          <cell r="C29" t="str">
            <v>Tkalnia, Mater.pozost.</v>
          </cell>
          <cell r="D29">
            <v>0</v>
          </cell>
          <cell r="E29">
            <v>0</v>
          </cell>
          <cell r="F29">
            <v>8332.0499999999993</v>
          </cell>
          <cell r="G29">
            <v>0</v>
          </cell>
          <cell r="H29">
            <v>8332.0499999999993</v>
          </cell>
          <cell r="I29" t="str">
            <v>Pośrednie</v>
          </cell>
          <cell r="J29" t="str">
            <v>Pozostałe materiały</v>
          </cell>
        </row>
        <row r="30">
          <cell r="A30" t="str">
            <v>14</v>
          </cell>
          <cell r="B30" t="str">
            <v>505 /1-14-151</v>
          </cell>
          <cell r="C30" t="str">
            <v>Tkalnia, Zu§.energ.elektr.</v>
          </cell>
          <cell r="D30">
            <v>0</v>
          </cell>
          <cell r="E30">
            <v>0</v>
          </cell>
          <cell r="F30">
            <v>69721.850000000006</v>
          </cell>
          <cell r="G30">
            <v>0</v>
          </cell>
          <cell r="H30">
            <v>69721.850000000006</v>
          </cell>
          <cell r="I30" t="str">
            <v>Pośrednie</v>
          </cell>
          <cell r="J30" t="str">
            <v>Energia elektryczna</v>
          </cell>
        </row>
        <row r="31">
          <cell r="A31" t="str">
            <v>14</v>
          </cell>
          <cell r="B31" t="str">
            <v>505 /1-14-255</v>
          </cell>
          <cell r="C31" t="str">
            <v>Tkalnia, Us’.poz.-kopiow.desen</v>
          </cell>
          <cell r="D31">
            <v>0</v>
          </cell>
          <cell r="E31">
            <v>0</v>
          </cell>
          <cell r="F31">
            <v>5919.9</v>
          </cell>
          <cell r="G31">
            <v>0</v>
          </cell>
          <cell r="H31">
            <v>5919.9</v>
          </cell>
          <cell r="I31" t="str">
            <v>Pośrednie</v>
          </cell>
          <cell r="J31" t="str">
            <v>Kopiowanie deseni</v>
          </cell>
        </row>
        <row r="32">
          <cell r="A32" t="str">
            <v>14</v>
          </cell>
          <cell r="B32" t="str">
            <v>505 /1-14-259</v>
          </cell>
          <cell r="C32" t="str">
            <v>Tkalnia, Us’.poz.-inne</v>
          </cell>
          <cell r="D32">
            <v>0</v>
          </cell>
          <cell r="E32">
            <v>0</v>
          </cell>
          <cell r="F32">
            <v>3</v>
          </cell>
          <cell r="G32">
            <v>0</v>
          </cell>
          <cell r="H32">
            <v>3</v>
          </cell>
          <cell r="I32" t="str">
            <v>Pośrednie</v>
          </cell>
          <cell r="J32" t="str">
            <v>Pozostałe koszty</v>
          </cell>
        </row>
        <row r="33">
          <cell r="A33" t="str">
            <v>14</v>
          </cell>
          <cell r="B33" t="str">
            <v>505 /1-14-800</v>
          </cell>
          <cell r="C33" t="str">
            <v>Tkalnia, Koszty zakupu.</v>
          </cell>
          <cell r="D33">
            <v>0</v>
          </cell>
          <cell r="E33">
            <v>0</v>
          </cell>
          <cell r="F33">
            <v>199.5</v>
          </cell>
          <cell r="G33">
            <v>0</v>
          </cell>
          <cell r="H33">
            <v>199.5</v>
          </cell>
          <cell r="I33" t="str">
            <v>Pośrednie</v>
          </cell>
          <cell r="J33" t="str">
            <v>Pozostałe koszty</v>
          </cell>
        </row>
        <row r="34">
          <cell r="A34" t="str">
            <v>15</v>
          </cell>
          <cell r="B34" t="str">
            <v>505 /1-15-112</v>
          </cell>
          <cell r="C34" t="str">
            <v>Wyko¤czalnia, Zu§.prz‘dzy</v>
          </cell>
          <cell r="D34">
            <v>0</v>
          </cell>
          <cell r="E34">
            <v>0</v>
          </cell>
          <cell r="F34">
            <v>471.01</v>
          </cell>
          <cell r="G34">
            <v>0</v>
          </cell>
          <cell r="H34">
            <v>471.01</v>
          </cell>
          <cell r="I34" t="str">
            <v>Pośrednie</v>
          </cell>
          <cell r="J34" t="str">
            <v>Pozostałe koszty</v>
          </cell>
        </row>
        <row r="35">
          <cell r="A35" t="str">
            <v>15</v>
          </cell>
          <cell r="B35" t="str">
            <v>505 /1-15-122</v>
          </cell>
          <cell r="C35" t="str">
            <v>Wyko¤czalnia, Zu§.žr.pomocn.</v>
          </cell>
          <cell r="D35">
            <v>0</v>
          </cell>
          <cell r="E35">
            <v>0</v>
          </cell>
          <cell r="F35">
            <v>309.60000000000002</v>
          </cell>
          <cell r="G35">
            <v>0</v>
          </cell>
          <cell r="H35">
            <v>309.60000000000002</v>
          </cell>
          <cell r="I35" t="str">
            <v>Pośrednie</v>
          </cell>
          <cell r="J35" t="str">
            <v>Pozostałe koszty</v>
          </cell>
        </row>
        <row r="36">
          <cell r="A36" t="str">
            <v>15</v>
          </cell>
          <cell r="B36" t="str">
            <v>505 /1-15-142</v>
          </cell>
          <cell r="C36" t="str">
            <v>Wyko¤czalnia, Mater.pozost.</v>
          </cell>
          <cell r="D36">
            <v>0</v>
          </cell>
          <cell r="E36">
            <v>0</v>
          </cell>
          <cell r="F36">
            <v>49432.63</v>
          </cell>
          <cell r="G36">
            <v>0</v>
          </cell>
          <cell r="H36">
            <v>49432.63</v>
          </cell>
          <cell r="I36" t="str">
            <v>Pośrednie</v>
          </cell>
          <cell r="J36" t="str">
            <v>Pozostałe materiały</v>
          </cell>
        </row>
        <row r="37">
          <cell r="A37" t="str">
            <v>15</v>
          </cell>
          <cell r="B37" t="str">
            <v>505 /1-15-151</v>
          </cell>
          <cell r="C37" t="str">
            <v>Wyko¤czalnia, Zu§.energ.elektr</v>
          </cell>
          <cell r="D37">
            <v>0</v>
          </cell>
          <cell r="E37">
            <v>0</v>
          </cell>
          <cell r="F37">
            <v>44289.63</v>
          </cell>
          <cell r="G37">
            <v>0</v>
          </cell>
          <cell r="H37">
            <v>44289.63</v>
          </cell>
          <cell r="I37" t="str">
            <v>Pośrednie</v>
          </cell>
          <cell r="J37" t="str">
            <v>Energia elektryczna</v>
          </cell>
        </row>
        <row r="38">
          <cell r="A38" t="str">
            <v>15</v>
          </cell>
          <cell r="B38" t="str">
            <v>505 /1-15-153</v>
          </cell>
          <cell r="C38" t="str">
            <v>Wyko¤czalnia, Zu§.energ.ciepl.</v>
          </cell>
          <cell r="D38">
            <v>0</v>
          </cell>
          <cell r="E38">
            <v>0</v>
          </cell>
          <cell r="F38">
            <v>143954.82</v>
          </cell>
          <cell r="G38">
            <v>0</v>
          </cell>
          <cell r="H38">
            <v>143954.82</v>
          </cell>
          <cell r="I38" t="str">
            <v>Pośrednie</v>
          </cell>
          <cell r="J38" t="str">
            <v>Energia cieplna-techn.</v>
          </cell>
        </row>
        <row r="39">
          <cell r="A39" t="str">
            <v>15</v>
          </cell>
          <cell r="B39" t="str">
            <v>505 /1-15-800</v>
          </cell>
          <cell r="C39" t="str">
            <v>Wyko¤czalnia, k-ty zakupu</v>
          </cell>
          <cell r="D39">
            <v>0</v>
          </cell>
          <cell r="E39">
            <v>0</v>
          </cell>
          <cell r="F39">
            <v>736.38</v>
          </cell>
          <cell r="G39">
            <v>0</v>
          </cell>
          <cell r="H39">
            <v>736.38</v>
          </cell>
          <cell r="I39" t="str">
            <v>Pośrednie</v>
          </cell>
          <cell r="J39" t="str">
            <v>Pozostałe koszty</v>
          </cell>
        </row>
        <row r="40">
          <cell r="A40" t="str">
            <v>14</v>
          </cell>
          <cell r="B40" t="str">
            <v>506 /1-14-010</v>
          </cell>
          <cell r="C40" t="str">
            <v>Tkalnia, Amortyz.žr.trwa’ych</v>
          </cell>
          <cell r="D40">
            <v>0</v>
          </cell>
          <cell r="E40">
            <v>0</v>
          </cell>
          <cell r="F40">
            <v>284086.55</v>
          </cell>
          <cell r="G40">
            <v>0</v>
          </cell>
          <cell r="H40">
            <v>284086.55</v>
          </cell>
          <cell r="I40" t="str">
            <v>Pośrednie</v>
          </cell>
          <cell r="J40" t="str">
            <v>Amortyzacja środków trwałych</v>
          </cell>
        </row>
        <row r="41">
          <cell r="A41" t="str">
            <v>14</v>
          </cell>
          <cell r="B41" t="str">
            <v>506 /1-14-020</v>
          </cell>
          <cell r="C41" t="str">
            <v>Tkalnia, Amortyz.wart.niem.</v>
          </cell>
          <cell r="D41">
            <v>0</v>
          </cell>
          <cell r="E41">
            <v>0</v>
          </cell>
          <cell r="F41">
            <v>7120.08</v>
          </cell>
          <cell r="G41">
            <v>0</v>
          </cell>
          <cell r="H41">
            <v>7120.08</v>
          </cell>
          <cell r="I41" t="str">
            <v>Pośrednie</v>
          </cell>
          <cell r="J41" t="str">
            <v>Pozostałe koszty</v>
          </cell>
        </row>
        <row r="42">
          <cell r="A42" t="str">
            <v>14</v>
          </cell>
          <cell r="B42" t="str">
            <v>506 /1-14-114</v>
          </cell>
          <cell r="C42" t="str">
            <v>Tkalnia, Tkanina z zak.</v>
          </cell>
          <cell r="D42">
            <v>0</v>
          </cell>
          <cell r="E42">
            <v>0</v>
          </cell>
          <cell r="F42">
            <v>934</v>
          </cell>
          <cell r="G42">
            <v>0</v>
          </cell>
          <cell r="H42">
            <v>934</v>
          </cell>
          <cell r="I42" t="str">
            <v>Pośrednie</v>
          </cell>
          <cell r="J42" t="str">
            <v>Pozostałe koszty</v>
          </cell>
        </row>
        <row r="43">
          <cell r="A43" t="str">
            <v>14</v>
          </cell>
          <cell r="B43" t="str">
            <v>506 /1-14-122</v>
          </cell>
          <cell r="C43" t="str">
            <v>Tkalnia, Zu§.žr.pomocn.</v>
          </cell>
          <cell r="D43">
            <v>0</v>
          </cell>
          <cell r="E43">
            <v>0</v>
          </cell>
          <cell r="F43">
            <v>47.57</v>
          </cell>
          <cell r="G43">
            <v>0</v>
          </cell>
          <cell r="H43">
            <v>47.57</v>
          </cell>
          <cell r="I43" t="str">
            <v>Pośrednie</v>
          </cell>
          <cell r="J43" t="str">
            <v>Pozostałe koszty</v>
          </cell>
        </row>
        <row r="44">
          <cell r="A44" t="str">
            <v>14</v>
          </cell>
          <cell r="B44" t="str">
            <v>506 /1-14-141</v>
          </cell>
          <cell r="C44" t="str">
            <v>Tkalnia, Mater.biurowe</v>
          </cell>
          <cell r="D44">
            <v>0</v>
          </cell>
          <cell r="E44">
            <v>0</v>
          </cell>
          <cell r="F44">
            <v>809.94</v>
          </cell>
          <cell r="G44">
            <v>0</v>
          </cell>
          <cell r="H44">
            <v>809.94</v>
          </cell>
          <cell r="I44" t="str">
            <v>Pośrednie</v>
          </cell>
          <cell r="J44" t="str">
            <v>Pozostałe koszty</v>
          </cell>
        </row>
        <row r="45">
          <cell r="A45" t="str">
            <v>14</v>
          </cell>
          <cell r="B45" t="str">
            <v>506 /1-14-142</v>
          </cell>
          <cell r="C45" t="str">
            <v>Tkalnia, Mater.pozost.</v>
          </cell>
          <cell r="D45">
            <v>0</v>
          </cell>
          <cell r="E45">
            <v>0</v>
          </cell>
          <cell r="F45">
            <v>152381.03</v>
          </cell>
          <cell r="G45">
            <v>0</v>
          </cell>
          <cell r="H45">
            <v>152381.03</v>
          </cell>
          <cell r="I45" t="str">
            <v>Pośrednie</v>
          </cell>
          <cell r="J45" t="str">
            <v>Pozostałe materiały</v>
          </cell>
        </row>
        <row r="46">
          <cell r="A46" t="str">
            <v>14</v>
          </cell>
          <cell r="B46" t="str">
            <v>506 /1-14-152</v>
          </cell>
          <cell r="C46" t="str">
            <v>Tkalnia, Zu§.wody</v>
          </cell>
          <cell r="D46">
            <v>0</v>
          </cell>
          <cell r="E46">
            <v>0</v>
          </cell>
          <cell r="F46">
            <v>7973.32</v>
          </cell>
          <cell r="G46">
            <v>0</v>
          </cell>
          <cell r="H46">
            <v>7973.32</v>
          </cell>
          <cell r="I46" t="str">
            <v>Pośrednie</v>
          </cell>
          <cell r="J46" t="str">
            <v>Woda-socjal.</v>
          </cell>
        </row>
        <row r="47">
          <cell r="A47" t="str">
            <v>14</v>
          </cell>
          <cell r="B47" t="str">
            <v>506 /1-14-153</v>
          </cell>
          <cell r="C47" t="str">
            <v>Tkalnia, Zu§.energ.ciepl.</v>
          </cell>
          <cell r="D47">
            <v>0</v>
          </cell>
          <cell r="E47">
            <v>0</v>
          </cell>
          <cell r="F47">
            <v>59661.77</v>
          </cell>
          <cell r="G47">
            <v>0</v>
          </cell>
          <cell r="H47">
            <v>59661.77</v>
          </cell>
          <cell r="I47" t="str">
            <v>Pośrednie</v>
          </cell>
          <cell r="J47" t="str">
            <v>Energia cieplna-ogrzew.</v>
          </cell>
        </row>
        <row r="48">
          <cell r="A48" t="str">
            <v>14</v>
          </cell>
          <cell r="B48" t="str">
            <v>506 /1-14-215</v>
          </cell>
          <cell r="C48" t="str">
            <v>Tkalnia, Us’.transp.w’.</v>
          </cell>
          <cell r="D48">
            <v>0</v>
          </cell>
          <cell r="E48">
            <v>0</v>
          </cell>
          <cell r="F48">
            <v>1511.35</v>
          </cell>
          <cell r="G48">
            <v>0</v>
          </cell>
          <cell r="H48">
            <v>1511.35</v>
          </cell>
          <cell r="I48" t="str">
            <v>Pośrednie</v>
          </cell>
          <cell r="J48" t="str">
            <v>Pozostałe koszty</v>
          </cell>
        </row>
        <row r="49">
          <cell r="A49" t="str">
            <v>14</v>
          </cell>
          <cell r="B49" t="str">
            <v>506 /1-14-221</v>
          </cell>
          <cell r="C49" t="str">
            <v>Tkalnia, Us’.rem.-budynki</v>
          </cell>
          <cell r="D49">
            <v>0</v>
          </cell>
          <cell r="E49">
            <v>0</v>
          </cell>
          <cell r="F49">
            <v>73722.350000000006</v>
          </cell>
          <cell r="G49">
            <v>0</v>
          </cell>
          <cell r="H49">
            <v>73722.350000000006</v>
          </cell>
          <cell r="I49" t="str">
            <v>Pośrednie</v>
          </cell>
          <cell r="J49" t="str">
            <v>Remonty budynków i budowli</v>
          </cell>
        </row>
        <row r="50">
          <cell r="A50" t="str">
            <v>14</v>
          </cell>
          <cell r="B50" t="str">
            <v>506 /1-14-224</v>
          </cell>
          <cell r="C50" t="str">
            <v>Tkalnia, Us’.rem.-masz.i urz.p</v>
          </cell>
          <cell r="D50">
            <v>0</v>
          </cell>
          <cell r="E50">
            <v>0</v>
          </cell>
          <cell r="F50">
            <v>11028.9</v>
          </cell>
          <cell r="G50">
            <v>0</v>
          </cell>
          <cell r="H50">
            <v>11028.9</v>
          </cell>
          <cell r="I50" t="str">
            <v>Pośrednie</v>
          </cell>
          <cell r="J50" t="str">
            <v>Remonty maszyn i urządzeń</v>
          </cell>
        </row>
        <row r="51">
          <cell r="A51" t="str">
            <v>14</v>
          </cell>
          <cell r="B51" t="str">
            <v>506 /1-14-225</v>
          </cell>
          <cell r="C51" t="str">
            <v>Tkalnia, Us’.rem.-poz.masz.i u</v>
          </cell>
          <cell r="D51">
            <v>0</v>
          </cell>
          <cell r="E51">
            <v>0</v>
          </cell>
          <cell r="F51">
            <v>297.8</v>
          </cell>
          <cell r="G51">
            <v>0</v>
          </cell>
          <cell r="H51">
            <v>297.8</v>
          </cell>
          <cell r="I51" t="str">
            <v>Pośrednie</v>
          </cell>
          <cell r="J51" t="str">
            <v>Remonty maszyn i urządzeń</v>
          </cell>
        </row>
        <row r="52">
          <cell r="A52" t="str">
            <v>14</v>
          </cell>
          <cell r="B52" t="str">
            <v>506 /1-14-228</v>
          </cell>
          <cell r="C52" t="str">
            <v>Tkalnia, Us’.rem.-narz. i przy</v>
          </cell>
          <cell r="D52">
            <v>0</v>
          </cell>
          <cell r="E52">
            <v>0</v>
          </cell>
          <cell r="F52">
            <v>1277</v>
          </cell>
          <cell r="G52">
            <v>0</v>
          </cell>
          <cell r="H52">
            <v>1277</v>
          </cell>
          <cell r="I52" t="str">
            <v>Pośrednie</v>
          </cell>
          <cell r="J52" t="str">
            <v>Remonty pozostałe</v>
          </cell>
        </row>
        <row r="53">
          <cell r="A53" t="str">
            <v>14</v>
          </cell>
          <cell r="B53" t="str">
            <v>506 /1-14-229</v>
          </cell>
          <cell r="C53" t="str">
            <v>Tkalnia, Us’.rem.-pozost.</v>
          </cell>
          <cell r="D53">
            <v>0</v>
          </cell>
          <cell r="E53">
            <v>0</v>
          </cell>
          <cell r="F53">
            <v>17.5</v>
          </cell>
          <cell r="G53">
            <v>0</v>
          </cell>
          <cell r="H53">
            <v>17.5</v>
          </cell>
          <cell r="I53" t="str">
            <v>Pośrednie</v>
          </cell>
          <cell r="J53" t="str">
            <v>Remonty pozostałe</v>
          </cell>
        </row>
        <row r="54">
          <cell r="A54" t="str">
            <v>14</v>
          </cell>
          <cell r="B54" t="str">
            <v>506 /1-14-241</v>
          </cell>
          <cell r="C54" t="str">
            <v>Tkalnia, Us’.’†czn.-rozmowy</v>
          </cell>
          <cell r="D54">
            <v>0</v>
          </cell>
          <cell r="E54">
            <v>0</v>
          </cell>
          <cell r="F54">
            <v>66.599999999999994</v>
          </cell>
          <cell r="G54">
            <v>0</v>
          </cell>
          <cell r="H54">
            <v>66.599999999999994</v>
          </cell>
          <cell r="I54" t="str">
            <v>Pośrednie</v>
          </cell>
          <cell r="J54" t="str">
            <v>Pozostałe koszty</v>
          </cell>
        </row>
        <row r="55">
          <cell r="A55" t="str">
            <v>14</v>
          </cell>
          <cell r="B55" t="str">
            <v>506 /1-14-254</v>
          </cell>
          <cell r="C55" t="str">
            <v>Tkalnia, Us’.poz.-komunalne</v>
          </cell>
          <cell r="D55">
            <v>0</v>
          </cell>
          <cell r="E55">
            <v>0</v>
          </cell>
          <cell r="F55">
            <v>6667.47</v>
          </cell>
          <cell r="G55">
            <v>0</v>
          </cell>
          <cell r="H55">
            <v>6667.47</v>
          </cell>
          <cell r="I55" t="str">
            <v>Pośrednie</v>
          </cell>
          <cell r="J55" t="str">
            <v>Odbiór ścieków</v>
          </cell>
        </row>
        <row r="56">
          <cell r="A56" t="str">
            <v>14</v>
          </cell>
          <cell r="B56" t="str">
            <v>506 /1-14-255</v>
          </cell>
          <cell r="C56" t="str">
            <v>Tkalnia, Us’.poz.-kopiow.desen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>Pośrednie</v>
          </cell>
          <cell r="J56" t="str">
            <v>Kopiowanie deseni</v>
          </cell>
        </row>
        <row r="57">
          <cell r="A57" t="str">
            <v>14</v>
          </cell>
          <cell r="B57" t="str">
            <v>506 /1-14-257</v>
          </cell>
          <cell r="C57" t="str">
            <v>Tkalnia, Us’.poz.-"Leasing"</v>
          </cell>
          <cell r="D57">
            <v>0</v>
          </cell>
          <cell r="E57">
            <v>0</v>
          </cell>
          <cell r="F57">
            <v>3110.43</v>
          </cell>
          <cell r="G57">
            <v>0</v>
          </cell>
          <cell r="H57">
            <v>3110.43</v>
          </cell>
          <cell r="I57" t="str">
            <v>Pośrednie</v>
          </cell>
          <cell r="J57" t="str">
            <v>Pozostałe koszty</v>
          </cell>
        </row>
        <row r="58">
          <cell r="A58" t="str">
            <v>14</v>
          </cell>
          <cell r="B58" t="str">
            <v>506 /1-14-259</v>
          </cell>
          <cell r="C58" t="str">
            <v>Tkalnia, Us’.poz.-inne</v>
          </cell>
          <cell r="D58">
            <v>0</v>
          </cell>
          <cell r="E58">
            <v>0</v>
          </cell>
          <cell r="F58">
            <v>1532.94</v>
          </cell>
          <cell r="G58">
            <v>0</v>
          </cell>
          <cell r="H58">
            <v>1532.94</v>
          </cell>
          <cell r="I58" t="str">
            <v>Pośrednie</v>
          </cell>
          <cell r="J58" t="str">
            <v>Pozostałe koszty</v>
          </cell>
        </row>
        <row r="59">
          <cell r="A59" t="str">
            <v>14</v>
          </cell>
          <cell r="B59" t="str">
            <v>506 /1-14-261</v>
          </cell>
          <cell r="C59" t="str">
            <v>Tkalnia, Rem.w’.-budynki</v>
          </cell>
          <cell r="D59">
            <v>0</v>
          </cell>
          <cell r="E59">
            <v>0</v>
          </cell>
          <cell r="F59">
            <v>29267.47</v>
          </cell>
          <cell r="G59">
            <v>0</v>
          </cell>
          <cell r="H59">
            <v>29267.47</v>
          </cell>
          <cell r="I59" t="str">
            <v>Pośrednie</v>
          </cell>
          <cell r="J59" t="str">
            <v>Remonty budynków i budowli</v>
          </cell>
        </row>
        <row r="60">
          <cell r="A60" t="str">
            <v>14</v>
          </cell>
          <cell r="B60" t="str">
            <v>506 /1-14-262</v>
          </cell>
          <cell r="C60" t="str">
            <v>Tkalnia, Rem.w’.- budowle</v>
          </cell>
          <cell r="D60">
            <v>0</v>
          </cell>
          <cell r="E60">
            <v>0</v>
          </cell>
          <cell r="F60">
            <v>2051.5300000000002</v>
          </cell>
          <cell r="G60">
            <v>0</v>
          </cell>
          <cell r="H60">
            <v>2051.5300000000002</v>
          </cell>
          <cell r="I60" t="str">
            <v>Pośrednie</v>
          </cell>
          <cell r="J60" t="str">
            <v>Remonty budynków i budowli</v>
          </cell>
        </row>
        <row r="61">
          <cell r="A61" t="str">
            <v>14</v>
          </cell>
          <cell r="B61" t="str">
            <v>506 /1-14-264</v>
          </cell>
          <cell r="C61" t="str">
            <v>Tkalnia, Rem.w’.-masz.i urz.pr</v>
          </cell>
          <cell r="D61">
            <v>0</v>
          </cell>
          <cell r="E61">
            <v>0</v>
          </cell>
          <cell r="F61">
            <v>58322.28</v>
          </cell>
          <cell r="G61">
            <v>0</v>
          </cell>
          <cell r="H61">
            <v>58322.28</v>
          </cell>
          <cell r="I61" t="str">
            <v>Pośrednie</v>
          </cell>
          <cell r="J61" t="str">
            <v>Remonty maszyn i urządzeń</v>
          </cell>
        </row>
        <row r="62">
          <cell r="A62" t="str">
            <v>14</v>
          </cell>
          <cell r="B62" t="str">
            <v>506 /1-14-265</v>
          </cell>
          <cell r="C62" t="str">
            <v>Tkalnia, Rem.w’.-masz.i urz.te</v>
          </cell>
          <cell r="D62">
            <v>0</v>
          </cell>
          <cell r="E62">
            <v>0</v>
          </cell>
          <cell r="F62">
            <v>2895.89</v>
          </cell>
          <cell r="G62">
            <v>0</v>
          </cell>
          <cell r="H62">
            <v>2895.89</v>
          </cell>
          <cell r="I62" t="str">
            <v>Pośrednie</v>
          </cell>
          <cell r="J62" t="str">
            <v>Remonty maszyn i urządzeń</v>
          </cell>
        </row>
        <row r="63">
          <cell r="A63" t="str">
            <v>14</v>
          </cell>
          <cell r="B63" t="str">
            <v>506 /1-14-267</v>
          </cell>
          <cell r="C63" t="str">
            <v>Tkalnia, Rem.w’.-poj.mech.</v>
          </cell>
          <cell r="D63">
            <v>0</v>
          </cell>
          <cell r="E63">
            <v>0</v>
          </cell>
          <cell r="F63">
            <v>586.91</v>
          </cell>
          <cell r="G63">
            <v>0</v>
          </cell>
          <cell r="H63">
            <v>586.91</v>
          </cell>
          <cell r="I63" t="str">
            <v>Pośrednie</v>
          </cell>
          <cell r="J63" t="str">
            <v>Remonty pozostałe</v>
          </cell>
        </row>
        <row r="64">
          <cell r="A64" t="str">
            <v>14</v>
          </cell>
          <cell r="B64" t="str">
            <v>506 /1-14-268</v>
          </cell>
          <cell r="C64" t="str">
            <v>Tkalnia, Rem.w’.-narz.i przyrz</v>
          </cell>
          <cell r="D64">
            <v>0</v>
          </cell>
          <cell r="E64">
            <v>0</v>
          </cell>
          <cell r="F64">
            <v>3564.65</v>
          </cell>
          <cell r="G64">
            <v>0</v>
          </cell>
          <cell r="H64">
            <v>3564.65</v>
          </cell>
          <cell r="I64" t="str">
            <v>Pośrednie</v>
          </cell>
          <cell r="J64" t="str">
            <v>Remonty pozostałe</v>
          </cell>
        </row>
        <row r="65">
          <cell r="A65" t="str">
            <v>14</v>
          </cell>
          <cell r="B65" t="str">
            <v>506 /1-14-311</v>
          </cell>
          <cell r="C65" t="str">
            <v>Tkalnia, Podatek od nieruch.</v>
          </cell>
          <cell r="D65">
            <v>0</v>
          </cell>
          <cell r="E65">
            <v>0</v>
          </cell>
          <cell r="F65">
            <v>55738.98</v>
          </cell>
          <cell r="G65">
            <v>0</v>
          </cell>
          <cell r="H65">
            <v>55738.98</v>
          </cell>
          <cell r="I65" t="str">
            <v>Pośrednie</v>
          </cell>
          <cell r="J65" t="str">
            <v>Podatek od nieruchomości</v>
          </cell>
        </row>
        <row r="66">
          <cell r="A66" t="str">
            <v>14</v>
          </cell>
          <cell r="B66" t="str">
            <v>506 /1-14-312</v>
          </cell>
          <cell r="C66" t="str">
            <v>Tkalnia, Podatek gruntowy</v>
          </cell>
          <cell r="D66">
            <v>0</v>
          </cell>
          <cell r="E66">
            <v>0</v>
          </cell>
          <cell r="F66">
            <v>1403</v>
          </cell>
          <cell r="G66">
            <v>0</v>
          </cell>
          <cell r="H66">
            <v>1403</v>
          </cell>
          <cell r="I66" t="str">
            <v>Pośrednie</v>
          </cell>
          <cell r="J66" t="str">
            <v>Pozostałe koszty</v>
          </cell>
        </row>
        <row r="67">
          <cell r="A67" t="str">
            <v>14</v>
          </cell>
          <cell r="B67" t="str">
            <v>506 /1-14-322</v>
          </cell>
          <cell r="C67" t="str">
            <v>Tkalnia, Op’aty pozosta’e</v>
          </cell>
          <cell r="D67">
            <v>0</v>
          </cell>
          <cell r="E67">
            <v>0</v>
          </cell>
          <cell r="F67">
            <v>147.79</v>
          </cell>
          <cell r="G67">
            <v>0</v>
          </cell>
          <cell r="H67">
            <v>147.79</v>
          </cell>
          <cell r="I67" t="str">
            <v>Pośrednie</v>
          </cell>
          <cell r="J67" t="str">
            <v>Pozostałe koszty</v>
          </cell>
        </row>
        <row r="68">
          <cell r="A68" t="str">
            <v>14</v>
          </cell>
          <cell r="B68" t="str">
            <v>506 /1-14-410</v>
          </cell>
          <cell r="C68" t="str">
            <v>Tkalnia, Wynagr.-osobowy f.p’a</v>
          </cell>
          <cell r="D68">
            <v>0</v>
          </cell>
          <cell r="E68">
            <v>0</v>
          </cell>
          <cell r="F68">
            <v>343396.29</v>
          </cell>
          <cell r="G68">
            <v>0</v>
          </cell>
          <cell r="H68">
            <v>343396.29</v>
          </cell>
          <cell r="I68" t="str">
            <v>Pośrednie</v>
          </cell>
          <cell r="J68" t="str">
            <v>Wynagrodzenia pośr. z narz.</v>
          </cell>
        </row>
        <row r="69">
          <cell r="A69" t="str">
            <v>14</v>
          </cell>
          <cell r="B69" t="str">
            <v>506 /1-14-420</v>
          </cell>
          <cell r="C69" t="str">
            <v>Tkalnia, Wynagr.-bezosob.f.p’a</v>
          </cell>
          <cell r="D69">
            <v>0</v>
          </cell>
          <cell r="E69">
            <v>0</v>
          </cell>
          <cell r="F69">
            <v>3190</v>
          </cell>
          <cell r="G69">
            <v>0</v>
          </cell>
          <cell r="H69">
            <v>3190</v>
          </cell>
          <cell r="I69" t="str">
            <v>Pośrednie</v>
          </cell>
          <cell r="J69" t="str">
            <v>Wynagrodzenia pośr. z narz.</v>
          </cell>
        </row>
        <row r="70">
          <cell r="A70" t="str">
            <v>14</v>
          </cell>
          <cell r="B70" t="str">
            <v>506 /1-14-511</v>
          </cell>
          <cell r="C70" t="str">
            <v>Tkalnia, w.na rz.prac.-BHP</v>
          </cell>
          <cell r="D70">
            <v>0</v>
          </cell>
          <cell r="E70">
            <v>0</v>
          </cell>
          <cell r="F70">
            <v>13706.78</v>
          </cell>
          <cell r="G70">
            <v>0</v>
          </cell>
          <cell r="H70">
            <v>13706.78</v>
          </cell>
          <cell r="I70" t="str">
            <v>Pośrednie</v>
          </cell>
          <cell r="J70" t="str">
            <v>Pozostałe świad. na rzecz prac.</v>
          </cell>
        </row>
        <row r="71">
          <cell r="A71" t="str">
            <v>14</v>
          </cell>
          <cell r="B71" t="str">
            <v>506 /1-14-521</v>
          </cell>
          <cell r="C71" t="str">
            <v>Tkalnia, w.na rz.prac.-nal.f.</v>
          </cell>
          <cell r="D71">
            <v>0</v>
          </cell>
          <cell r="E71">
            <v>0</v>
          </cell>
          <cell r="F71">
            <v>45347.4</v>
          </cell>
          <cell r="G71">
            <v>0</v>
          </cell>
          <cell r="H71">
            <v>45347.4</v>
          </cell>
          <cell r="I71" t="str">
            <v>Pośrednie</v>
          </cell>
          <cell r="J71" t="str">
            <v>Pozostałe świad. na rzecz prac.</v>
          </cell>
        </row>
        <row r="72">
          <cell r="A72" t="str">
            <v>14</v>
          </cell>
          <cell r="B72" t="str">
            <v>506 /1-14-522</v>
          </cell>
          <cell r="C72" t="str">
            <v>Tkalnia, w.na rz.prac.-narz.n</v>
          </cell>
          <cell r="D72">
            <v>0</v>
          </cell>
          <cell r="E72">
            <v>0</v>
          </cell>
          <cell r="F72">
            <v>151710.93</v>
          </cell>
          <cell r="G72">
            <v>0</v>
          </cell>
          <cell r="H72">
            <v>151710.93</v>
          </cell>
          <cell r="I72" t="str">
            <v>Pośrednie</v>
          </cell>
          <cell r="J72" t="str">
            <v>Wynagrodzenia pośr. z narz.</v>
          </cell>
        </row>
        <row r="73">
          <cell r="A73" t="str">
            <v>14</v>
          </cell>
          <cell r="B73" t="str">
            <v>506 /1-14-531</v>
          </cell>
          <cell r="C73" t="str">
            <v>Tkalnia, w.na rz.prac.-szkole</v>
          </cell>
          <cell r="D73">
            <v>0</v>
          </cell>
          <cell r="E73">
            <v>0</v>
          </cell>
          <cell r="F73">
            <v>1733</v>
          </cell>
          <cell r="G73">
            <v>0</v>
          </cell>
          <cell r="H73">
            <v>1733</v>
          </cell>
          <cell r="I73" t="str">
            <v>Pośrednie</v>
          </cell>
          <cell r="J73" t="str">
            <v>Pozostałe świad. na rzecz prac.</v>
          </cell>
        </row>
        <row r="74">
          <cell r="A74" t="str">
            <v>14</v>
          </cell>
          <cell r="B74" t="str">
            <v>506 /1-14-532</v>
          </cell>
          <cell r="C74" t="str">
            <v>Tkalnia, w.na rz.prac.-inne</v>
          </cell>
          <cell r="D74">
            <v>0</v>
          </cell>
          <cell r="E74">
            <v>0</v>
          </cell>
          <cell r="F74">
            <v>5099.38</v>
          </cell>
          <cell r="G74">
            <v>0</v>
          </cell>
          <cell r="H74">
            <v>5099.38</v>
          </cell>
          <cell r="I74" t="str">
            <v>Pośrednie</v>
          </cell>
          <cell r="J74" t="str">
            <v>Pozostałe świad. na rzecz prac.</v>
          </cell>
        </row>
        <row r="75">
          <cell r="A75" t="str">
            <v>14</v>
          </cell>
          <cell r="B75" t="str">
            <v>506 /1-14-731</v>
          </cell>
          <cell r="C75" t="str">
            <v>Tkalnia, Wyp’.nie zal.do wynag</v>
          </cell>
          <cell r="D75">
            <v>0</v>
          </cell>
          <cell r="E75">
            <v>0</v>
          </cell>
          <cell r="F75">
            <v>610.14</v>
          </cell>
          <cell r="G75">
            <v>0</v>
          </cell>
          <cell r="H75">
            <v>610.14</v>
          </cell>
          <cell r="I75" t="str">
            <v>Pośrednie</v>
          </cell>
          <cell r="J75" t="str">
            <v>Pozostałe świad. na rzecz prac.</v>
          </cell>
        </row>
        <row r="76">
          <cell r="A76" t="str">
            <v>14</v>
          </cell>
          <cell r="B76" t="str">
            <v>506 /1-14-761</v>
          </cell>
          <cell r="C76" t="str">
            <v>Tkalnia, Ubezp.maj†tkowe</v>
          </cell>
          <cell r="D76">
            <v>0</v>
          </cell>
          <cell r="E76">
            <v>0</v>
          </cell>
          <cell r="F76">
            <v>165.08</v>
          </cell>
          <cell r="G76">
            <v>0</v>
          </cell>
          <cell r="H76">
            <v>165.08</v>
          </cell>
          <cell r="I76" t="str">
            <v>Pośrednie</v>
          </cell>
          <cell r="J76" t="str">
            <v>Pozostałe koszty</v>
          </cell>
        </row>
        <row r="77">
          <cell r="A77" t="str">
            <v>14</v>
          </cell>
          <cell r="B77" t="str">
            <v>506 /1-14-800</v>
          </cell>
          <cell r="C77" t="str">
            <v>Tkalnia, Koszty zakupu.</v>
          </cell>
          <cell r="D77">
            <v>0</v>
          </cell>
          <cell r="E77">
            <v>0</v>
          </cell>
          <cell r="F77">
            <v>5038.4799999999996</v>
          </cell>
          <cell r="G77">
            <v>0</v>
          </cell>
          <cell r="H77">
            <v>5038.4799999999996</v>
          </cell>
          <cell r="I77" t="str">
            <v>Pośrednie</v>
          </cell>
          <cell r="J77" t="str">
            <v>Pozostałe koszty</v>
          </cell>
        </row>
        <row r="78">
          <cell r="A78" t="str">
            <v>15</v>
          </cell>
          <cell r="B78" t="str">
            <v>506 /1-15-010</v>
          </cell>
          <cell r="C78" t="str">
            <v>Wyko¤czalnia, Amortyz.žr.trwa’</v>
          </cell>
          <cell r="D78">
            <v>0</v>
          </cell>
          <cell r="E78">
            <v>0</v>
          </cell>
          <cell r="F78">
            <v>51645.96</v>
          </cell>
          <cell r="G78">
            <v>0</v>
          </cell>
          <cell r="H78">
            <v>51645.96</v>
          </cell>
          <cell r="I78" t="str">
            <v>Pośrednie</v>
          </cell>
          <cell r="J78" t="str">
            <v>Amortyzacja środków trwałych</v>
          </cell>
        </row>
        <row r="79">
          <cell r="A79" t="str">
            <v>15</v>
          </cell>
          <cell r="B79" t="str">
            <v>506 /1-15-141</v>
          </cell>
          <cell r="C79" t="str">
            <v>Wyko¤czalnia, Mater.biurowe</v>
          </cell>
          <cell r="D79">
            <v>0</v>
          </cell>
          <cell r="E79">
            <v>0</v>
          </cell>
          <cell r="F79">
            <v>486.74</v>
          </cell>
          <cell r="G79">
            <v>0</v>
          </cell>
          <cell r="H79">
            <v>486.74</v>
          </cell>
          <cell r="I79" t="str">
            <v>Pośrednie</v>
          </cell>
          <cell r="J79" t="str">
            <v>Pozostałe koszty</v>
          </cell>
        </row>
        <row r="80">
          <cell r="A80" t="str">
            <v>15</v>
          </cell>
          <cell r="B80" t="str">
            <v>506 /1-15-142</v>
          </cell>
          <cell r="C80" t="str">
            <v>Wyko¤czalnia, Mater.pozost.</v>
          </cell>
          <cell r="D80">
            <v>0</v>
          </cell>
          <cell r="E80">
            <v>0</v>
          </cell>
          <cell r="F80">
            <v>21515.26</v>
          </cell>
          <cell r="G80">
            <v>0</v>
          </cell>
          <cell r="H80">
            <v>21515.26</v>
          </cell>
          <cell r="I80" t="str">
            <v>Pośrednie</v>
          </cell>
          <cell r="J80" t="str">
            <v>Pozostałe materiały</v>
          </cell>
        </row>
        <row r="81">
          <cell r="A81" t="str">
            <v>15</v>
          </cell>
          <cell r="B81" t="str">
            <v>506 /1-15-152</v>
          </cell>
          <cell r="C81" t="str">
            <v>Wyko¤czalnia, Zu§.wody</v>
          </cell>
          <cell r="D81">
            <v>0</v>
          </cell>
          <cell r="E81">
            <v>0</v>
          </cell>
          <cell r="F81">
            <v>1324.65</v>
          </cell>
          <cell r="G81">
            <v>0</v>
          </cell>
          <cell r="H81">
            <v>1324.65</v>
          </cell>
          <cell r="I81" t="str">
            <v>Pośrednie</v>
          </cell>
          <cell r="J81" t="str">
            <v>Woda-socjal.</v>
          </cell>
        </row>
        <row r="82">
          <cell r="A82" t="str">
            <v>15</v>
          </cell>
          <cell r="B82" t="str">
            <v>506 /1-15-153</v>
          </cell>
          <cell r="C82" t="str">
            <v>Wyko¤czalnia, Zu§.energ.ciepl.</v>
          </cell>
          <cell r="D82">
            <v>0</v>
          </cell>
          <cell r="E82">
            <v>0</v>
          </cell>
          <cell r="F82">
            <v>24805.65</v>
          </cell>
          <cell r="G82">
            <v>0</v>
          </cell>
          <cell r="H82">
            <v>24805.65</v>
          </cell>
          <cell r="I82" t="str">
            <v>Pośrednie</v>
          </cell>
          <cell r="J82" t="str">
            <v>Energia cieplna-ogrzew.</v>
          </cell>
        </row>
        <row r="83">
          <cell r="A83" t="str">
            <v>15</v>
          </cell>
          <cell r="B83" t="str">
            <v>506 /1-15-215</v>
          </cell>
          <cell r="C83" t="str">
            <v>Wyko¤czalnia, Us’.tr.w’asne</v>
          </cell>
          <cell r="D83">
            <v>0</v>
          </cell>
          <cell r="E83">
            <v>0</v>
          </cell>
          <cell r="F83">
            <v>69.75</v>
          </cell>
          <cell r="G83">
            <v>0</v>
          </cell>
          <cell r="H83">
            <v>69.75</v>
          </cell>
          <cell r="I83" t="str">
            <v>Pośrednie</v>
          </cell>
          <cell r="J83" t="str">
            <v>Pozostałe koszty</v>
          </cell>
        </row>
        <row r="84">
          <cell r="A84" t="str">
            <v>15</v>
          </cell>
          <cell r="B84" t="str">
            <v>506 /1-15-221</v>
          </cell>
          <cell r="C84" t="str">
            <v>Wyko¤czalnia, Us’.rem.-budynki</v>
          </cell>
          <cell r="D84">
            <v>0</v>
          </cell>
          <cell r="E84">
            <v>0</v>
          </cell>
          <cell r="F84">
            <v>592.44000000000005</v>
          </cell>
          <cell r="G84">
            <v>0</v>
          </cell>
          <cell r="H84">
            <v>592.44000000000005</v>
          </cell>
          <cell r="I84" t="str">
            <v>Pośrednie</v>
          </cell>
          <cell r="J84" t="str">
            <v>Remonty budynków i budowli</v>
          </cell>
        </row>
        <row r="85">
          <cell r="A85" t="str">
            <v>15</v>
          </cell>
          <cell r="B85" t="str">
            <v>506 /1-15-224</v>
          </cell>
          <cell r="C85" t="str">
            <v>Wyko¤czalnia, Us’.rem.-masz.i</v>
          </cell>
          <cell r="D85">
            <v>0</v>
          </cell>
          <cell r="E85">
            <v>0</v>
          </cell>
          <cell r="F85">
            <v>503.04</v>
          </cell>
          <cell r="G85">
            <v>0</v>
          </cell>
          <cell r="H85">
            <v>503.04</v>
          </cell>
          <cell r="I85" t="str">
            <v>Pośrednie</v>
          </cell>
          <cell r="J85" t="str">
            <v>Remonty maszyn i urządzeń</v>
          </cell>
        </row>
        <row r="86">
          <cell r="A86" t="str">
            <v>15</v>
          </cell>
          <cell r="B86" t="str">
            <v>506 /1-15-225</v>
          </cell>
          <cell r="C86" t="str">
            <v>Wyko¤czalnia, Us’.rem.-poz.mas</v>
          </cell>
          <cell r="D86">
            <v>0</v>
          </cell>
          <cell r="E86">
            <v>0</v>
          </cell>
          <cell r="F86">
            <v>2048.69</v>
          </cell>
          <cell r="G86">
            <v>0</v>
          </cell>
          <cell r="H86">
            <v>2048.69</v>
          </cell>
          <cell r="I86" t="str">
            <v>Pośrednie</v>
          </cell>
          <cell r="J86" t="str">
            <v>Remonty maszyn i urządzeń</v>
          </cell>
        </row>
        <row r="87">
          <cell r="A87" t="str">
            <v>15</v>
          </cell>
          <cell r="B87" t="str">
            <v>506 /1-15-229</v>
          </cell>
          <cell r="C87" t="str">
            <v>Wyko¤czalnia, Us’.rem.-pozost.</v>
          </cell>
          <cell r="D87">
            <v>0</v>
          </cell>
          <cell r="E87">
            <v>0</v>
          </cell>
          <cell r="F87">
            <v>73.5</v>
          </cell>
          <cell r="G87">
            <v>0</v>
          </cell>
          <cell r="H87">
            <v>73.5</v>
          </cell>
          <cell r="I87" t="str">
            <v>Pośrednie</v>
          </cell>
          <cell r="J87" t="str">
            <v>Remonty pozostałe</v>
          </cell>
        </row>
        <row r="88">
          <cell r="A88" t="str">
            <v>15</v>
          </cell>
          <cell r="B88" t="str">
            <v>506 /1-15-254</v>
          </cell>
          <cell r="C88" t="str">
            <v>Wyko¤czalnia, Us’.poz.-komunal</v>
          </cell>
          <cell r="D88">
            <v>0</v>
          </cell>
          <cell r="E88">
            <v>0</v>
          </cell>
          <cell r="F88">
            <v>1152.5999999999999</v>
          </cell>
          <cell r="G88">
            <v>0</v>
          </cell>
          <cell r="H88">
            <v>1152.5999999999999</v>
          </cell>
          <cell r="I88" t="str">
            <v>Pośrednie</v>
          </cell>
          <cell r="J88" t="str">
            <v>Odbiór ścieków</v>
          </cell>
        </row>
        <row r="89">
          <cell r="A89" t="str">
            <v>15</v>
          </cell>
          <cell r="B89" t="str">
            <v>506 /1-15-259</v>
          </cell>
          <cell r="C89" t="str">
            <v>Wyko¤czalnia, Us’.poz.-inne</v>
          </cell>
          <cell r="D89">
            <v>0</v>
          </cell>
          <cell r="E89">
            <v>0</v>
          </cell>
          <cell r="F89">
            <v>1443.5</v>
          </cell>
          <cell r="G89">
            <v>0</v>
          </cell>
          <cell r="H89">
            <v>1443.5</v>
          </cell>
          <cell r="I89" t="str">
            <v>Pośrednie</v>
          </cell>
          <cell r="J89" t="str">
            <v>Pozostałe koszty</v>
          </cell>
        </row>
        <row r="90">
          <cell r="A90" t="str">
            <v>15</v>
          </cell>
          <cell r="B90" t="str">
            <v>506 /1-15-261</v>
          </cell>
          <cell r="C90" t="str">
            <v>Wyko¤czalnia, Rem.w’.-budynki</v>
          </cell>
          <cell r="D90">
            <v>0</v>
          </cell>
          <cell r="E90">
            <v>0</v>
          </cell>
          <cell r="F90">
            <v>13365.54</v>
          </cell>
          <cell r="G90">
            <v>0</v>
          </cell>
          <cell r="H90">
            <v>13365.54</v>
          </cell>
          <cell r="I90" t="str">
            <v>Pośrednie</v>
          </cell>
          <cell r="J90" t="str">
            <v>Remonty budynków i budowli</v>
          </cell>
        </row>
        <row r="91">
          <cell r="A91" t="str">
            <v>15</v>
          </cell>
          <cell r="B91" t="str">
            <v>506 /1-15-264</v>
          </cell>
          <cell r="C91" t="str">
            <v>Wyko¤czalnia, Rem.w’.-masz.i u</v>
          </cell>
          <cell r="D91">
            <v>0</v>
          </cell>
          <cell r="E91">
            <v>0</v>
          </cell>
          <cell r="F91">
            <v>4772.76</v>
          </cell>
          <cell r="G91">
            <v>0</v>
          </cell>
          <cell r="H91">
            <v>4772.76</v>
          </cell>
          <cell r="I91" t="str">
            <v>Pośrednie</v>
          </cell>
          <cell r="J91" t="str">
            <v>Remonty maszyn i urządzeń</v>
          </cell>
        </row>
        <row r="92">
          <cell r="A92" t="str">
            <v>15</v>
          </cell>
          <cell r="B92" t="str">
            <v>506 /1-15-265</v>
          </cell>
          <cell r="C92" t="str">
            <v>Wyko¤czalnia, Rem.w’.-poz.masz</v>
          </cell>
          <cell r="D92">
            <v>0</v>
          </cell>
          <cell r="E92">
            <v>0</v>
          </cell>
          <cell r="F92">
            <v>3155.91</v>
          </cell>
          <cell r="G92">
            <v>0</v>
          </cell>
          <cell r="H92">
            <v>3155.91</v>
          </cell>
          <cell r="I92" t="str">
            <v>Pośrednie</v>
          </cell>
          <cell r="J92" t="str">
            <v>Remonty maszyn i urządzeń</v>
          </cell>
        </row>
        <row r="93">
          <cell r="A93" t="str">
            <v>15</v>
          </cell>
          <cell r="B93" t="str">
            <v>506 /1-15-267</v>
          </cell>
          <cell r="C93" t="str">
            <v>Wyko¤czalnia, Rem.w’.-poj.mech</v>
          </cell>
          <cell r="D93">
            <v>0</v>
          </cell>
          <cell r="E93">
            <v>0</v>
          </cell>
          <cell r="F93">
            <v>559.58000000000004</v>
          </cell>
          <cell r="G93">
            <v>0</v>
          </cell>
          <cell r="H93">
            <v>559.58000000000004</v>
          </cell>
          <cell r="I93" t="str">
            <v>Pośrednie</v>
          </cell>
          <cell r="J93" t="str">
            <v>Remonty pozostałe</v>
          </cell>
        </row>
        <row r="94">
          <cell r="A94" t="str">
            <v>15</v>
          </cell>
          <cell r="B94" t="str">
            <v>506 /1-15-311</v>
          </cell>
          <cell r="C94" t="str">
            <v>Wyko¤czalnia, Podatek od nieru</v>
          </cell>
          <cell r="D94">
            <v>0</v>
          </cell>
          <cell r="E94">
            <v>0</v>
          </cell>
          <cell r="F94">
            <v>14865.3</v>
          </cell>
          <cell r="G94">
            <v>0</v>
          </cell>
          <cell r="H94">
            <v>14865.3</v>
          </cell>
          <cell r="I94" t="str">
            <v>Pośrednie</v>
          </cell>
          <cell r="J94" t="str">
            <v>Podatek od nieruchomości</v>
          </cell>
        </row>
        <row r="95">
          <cell r="A95" t="str">
            <v>15</v>
          </cell>
          <cell r="B95" t="str">
            <v>506 /1-15-312</v>
          </cell>
          <cell r="C95" t="str">
            <v>Wyko¤czalnia, Podatek gruntowy</v>
          </cell>
          <cell r="D95">
            <v>0</v>
          </cell>
          <cell r="E95">
            <v>0</v>
          </cell>
          <cell r="F95">
            <v>373.91</v>
          </cell>
          <cell r="G95">
            <v>0</v>
          </cell>
          <cell r="H95">
            <v>373.91</v>
          </cell>
          <cell r="I95" t="str">
            <v>Pośrednie</v>
          </cell>
          <cell r="J95" t="str">
            <v>Pozostałe koszty</v>
          </cell>
        </row>
        <row r="96">
          <cell r="A96" t="str">
            <v>15</v>
          </cell>
          <cell r="B96" t="str">
            <v>506 /1-15-322</v>
          </cell>
          <cell r="C96" t="str">
            <v>Wyko¤czalnia, Op’aty pozosta’e</v>
          </cell>
          <cell r="D96">
            <v>0</v>
          </cell>
          <cell r="E96">
            <v>0</v>
          </cell>
          <cell r="F96">
            <v>270</v>
          </cell>
          <cell r="G96">
            <v>0</v>
          </cell>
          <cell r="H96">
            <v>270</v>
          </cell>
          <cell r="I96" t="str">
            <v>Pośrednie</v>
          </cell>
          <cell r="J96" t="str">
            <v>Pozostałe koszty</v>
          </cell>
        </row>
        <row r="97">
          <cell r="A97" t="str">
            <v>15</v>
          </cell>
          <cell r="B97" t="str">
            <v>506 /1-15-410</v>
          </cell>
          <cell r="C97" t="str">
            <v>Wyko¤czalnia, Wynagr.-osobowy</v>
          </cell>
          <cell r="D97">
            <v>0</v>
          </cell>
          <cell r="E97">
            <v>0</v>
          </cell>
          <cell r="F97">
            <v>99211.62</v>
          </cell>
          <cell r="G97">
            <v>0</v>
          </cell>
          <cell r="H97">
            <v>99211.62</v>
          </cell>
          <cell r="I97" t="str">
            <v>Pośrednie</v>
          </cell>
          <cell r="J97" t="str">
            <v>Wynagrodzenia pośr. z narz.</v>
          </cell>
        </row>
        <row r="98">
          <cell r="A98" t="str">
            <v>15</v>
          </cell>
          <cell r="B98" t="str">
            <v>506 /1-15-511</v>
          </cell>
          <cell r="C98" t="str">
            <v>Wyko¤czalnia, w.na rz.prac.-B</v>
          </cell>
          <cell r="D98">
            <v>0</v>
          </cell>
          <cell r="E98">
            <v>0</v>
          </cell>
          <cell r="F98">
            <v>2847.83</v>
          </cell>
          <cell r="G98">
            <v>0</v>
          </cell>
          <cell r="H98">
            <v>2847.83</v>
          </cell>
          <cell r="I98" t="str">
            <v>Pośrednie</v>
          </cell>
          <cell r="J98" t="str">
            <v>Pozostałe świad. na rzecz prac.</v>
          </cell>
        </row>
        <row r="99">
          <cell r="A99" t="str">
            <v>15</v>
          </cell>
          <cell r="B99" t="str">
            <v>506 /1-15-521</v>
          </cell>
          <cell r="C99" t="str">
            <v>Wyko¤czalnia, w.na rz.prac.-n</v>
          </cell>
          <cell r="D99">
            <v>0</v>
          </cell>
          <cell r="E99">
            <v>0</v>
          </cell>
          <cell r="F99">
            <v>10276.11</v>
          </cell>
          <cell r="G99">
            <v>0</v>
          </cell>
          <cell r="H99">
            <v>10276.11</v>
          </cell>
          <cell r="I99" t="str">
            <v>Pośrednie</v>
          </cell>
          <cell r="J99" t="str">
            <v>Pozostałe świad. na rzecz prac.</v>
          </cell>
        </row>
        <row r="100">
          <cell r="A100" t="str">
            <v>15</v>
          </cell>
          <cell r="B100" t="str">
            <v>506 /1-15-522</v>
          </cell>
          <cell r="C100" t="str">
            <v>Wyko¤czalnia, w.na rz.prac.-n</v>
          </cell>
          <cell r="D100">
            <v>0</v>
          </cell>
          <cell r="E100">
            <v>0</v>
          </cell>
          <cell r="F100">
            <v>43724.63</v>
          </cell>
          <cell r="G100">
            <v>0</v>
          </cell>
          <cell r="H100">
            <v>43724.63</v>
          </cell>
          <cell r="I100" t="str">
            <v>Pośrednie</v>
          </cell>
          <cell r="J100" t="str">
            <v>Wynagrodzenia pośr. z narz.</v>
          </cell>
        </row>
        <row r="101">
          <cell r="A101" t="str">
            <v>15</v>
          </cell>
          <cell r="B101" t="str">
            <v>506 /1-15-531</v>
          </cell>
          <cell r="C101" t="str">
            <v>Wyko¤czalnia, w.na rz.prac.-s</v>
          </cell>
          <cell r="D101">
            <v>0</v>
          </cell>
          <cell r="E101">
            <v>0</v>
          </cell>
          <cell r="F101">
            <v>1287</v>
          </cell>
          <cell r="G101">
            <v>0</v>
          </cell>
          <cell r="H101">
            <v>1287</v>
          </cell>
          <cell r="I101" t="str">
            <v>Pośrednie</v>
          </cell>
          <cell r="J101" t="str">
            <v>Pozostałe świad. na rzecz prac.</v>
          </cell>
        </row>
        <row r="102">
          <cell r="A102" t="str">
            <v>15</v>
          </cell>
          <cell r="B102" t="str">
            <v>506 /1-15-532</v>
          </cell>
          <cell r="C102" t="str">
            <v>Wyko¤czalnia, Sw.na rz.prac.-i</v>
          </cell>
          <cell r="D102">
            <v>0</v>
          </cell>
          <cell r="E102">
            <v>0</v>
          </cell>
          <cell r="F102">
            <v>2226.92</v>
          </cell>
          <cell r="G102">
            <v>0</v>
          </cell>
          <cell r="H102">
            <v>2226.92</v>
          </cell>
          <cell r="I102" t="str">
            <v>Pośrednie</v>
          </cell>
          <cell r="J102" t="str">
            <v>Pozostałe świad. na rzecz prac.</v>
          </cell>
        </row>
        <row r="103">
          <cell r="A103" t="str">
            <v>15</v>
          </cell>
          <cell r="B103" t="str">
            <v>506 /1-15-800</v>
          </cell>
          <cell r="C103" t="str">
            <v>Wyko¤czalnia, Koszty zakupu.</v>
          </cell>
          <cell r="D103">
            <v>0</v>
          </cell>
          <cell r="E103">
            <v>0</v>
          </cell>
          <cell r="F103">
            <v>371.23</v>
          </cell>
          <cell r="G103">
            <v>0</v>
          </cell>
          <cell r="H103">
            <v>371.23</v>
          </cell>
          <cell r="I103" t="str">
            <v>Pośrednie</v>
          </cell>
          <cell r="J103" t="str">
            <v>Pozostałe koszty</v>
          </cell>
        </row>
        <row r="104">
          <cell r="A104" t="str">
            <v>11</v>
          </cell>
          <cell r="B104" t="str">
            <v>500 /1-11-000</v>
          </cell>
          <cell r="C104" t="str">
            <v>Prz‘dzalnia, Roboty w toku</v>
          </cell>
          <cell r="D104">
            <v>41693.089999999997</v>
          </cell>
          <cell r="E104">
            <v>0</v>
          </cell>
          <cell r="F104">
            <v>46129.37</v>
          </cell>
          <cell r="G104">
            <v>0</v>
          </cell>
          <cell r="H104">
            <v>-4436.2800000000061</v>
          </cell>
          <cell r="I104" t="str">
            <v>Bezpośrednie</v>
          </cell>
          <cell r="J104" t="str">
            <v>Produkcja w toku</v>
          </cell>
        </row>
        <row r="105">
          <cell r="A105" t="str">
            <v>11</v>
          </cell>
          <cell r="B105" t="str">
            <v>500 /1-11-111</v>
          </cell>
          <cell r="C105" t="str">
            <v>Prz‘dzalnia, Zu§.surowca</v>
          </cell>
          <cell r="D105">
            <v>0</v>
          </cell>
          <cell r="E105">
            <v>0</v>
          </cell>
          <cell r="F105">
            <v>1627284.61</v>
          </cell>
          <cell r="G105">
            <v>0</v>
          </cell>
          <cell r="H105">
            <v>1627284.61</v>
          </cell>
          <cell r="I105" t="str">
            <v>Bezpośrednie</v>
          </cell>
          <cell r="J105" t="str">
            <v>Surowiec</v>
          </cell>
        </row>
        <row r="106">
          <cell r="A106" t="str">
            <v>11</v>
          </cell>
          <cell r="B106" t="str">
            <v>500 /1-11-112</v>
          </cell>
          <cell r="C106" t="str">
            <v>Prz‘dzalnia, Zu§.prz‘dzy</v>
          </cell>
          <cell r="D106">
            <v>0</v>
          </cell>
          <cell r="E106">
            <v>0</v>
          </cell>
          <cell r="F106">
            <v>634036.67000000004</v>
          </cell>
          <cell r="G106">
            <v>0</v>
          </cell>
          <cell r="H106">
            <v>634036.67000000004</v>
          </cell>
          <cell r="I106" t="str">
            <v>Bezpośrednie</v>
          </cell>
          <cell r="J106" t="str">
            <v>Przędza z zakupu</v>
          </cell>
        </row>
        <row r="107">
          <cell r="A107" t="str">
            <v>11</v>
          </cell>
          <cell r="B107" t="str">
            <v>500 /1-11-113</v>
          </cell>
          <cell r="C107" t="str">
            <v>Prz‘dzalnia, Odpady</v>
          </cell>
          <cell r="D107">
            <v>0</v>
          </cell>
          <cell r="E107">
            <v>0</v>
          </cell>
          <cell r="F107">
            <v>-4966</v>
          </cell>
          <cell r="G107">
            <v>0</v>
          </cell>
          <cell r="H107">
            <v>-4966</v>
          </cell>
          <cell r="I107" t="str">
            <v>Bezpośrednie</v>
          </cell>
          <cell r="J107" t="str">
            <v>Odpady</v>
          </cell>
        </row>
        <row r="108">
          <cell r="A108" t="str">
            <v>11</v>
          </cell>
          <cell r="B108" t="str">
            <v>500 /1-11-122</v>
          </cell>
          <cell r="C108" t="str">
            <v>Prz‘dzalnia, Zu§.žr.pomocn.</v>
          </cell>
          <cell r="D108">
            <v>0</v>
          </cell>
          <cell r="E108">
            <v>0</v>
          </cell>
          <cell r="F108">
            <v>4792.8</v>
          </cell>
          <cell r="G108">
            <v>0</v>
          </cell>
          <cell r="H108">
            <v>4792.8</v>
          </cell>
          <cell r="I108" t="str">
            <v>Bezpośrednie</v>
          </cell>
          <cell r="J108" t="str">
            <v>Barwniki i środki pomocnicze</v>
          </cell>
        </row>
        <row r="109">
          <cell r="A109" t="str">
            <v>11</v>
          </cell>
          <cell r="B109" t="str">
            <v>500 /1-11-302</v>
          </cell>
          <cell r="C109" t="str">
            <v>Prz‘dzalnia, Zu§.prz.w’.-p˘’cz</v>
          </cell>
          <cell r="D109">
            <v>0</v>
          </cell>
          <cell r="E109">
            <v>0</v>
          </cell>
          <cell r="F109">
            <v>2047.28</v>
          </cell>
          <cell r="G109">
            <v>0</v>
          </cell>
          <cell r="H109">
            <v>2047.28</v>
          </cell>
          <cell r="I109" t="str">
            <v>Bezpośrednie</v>
          </cell>
          <cell r="J109" t="str">
            <v>Przędza własna</v>
          </cell>
        </row>
        <row r="110">
          <cell r="A110" t="str">
            <v>11</v>
          </cell>
          <cell r="B110" t="str">
            <v>500 /1-11-410</v>
          </cell>
          <cell r="C110" t="str">
            <v>Prz‘dzalnia, Wynagr.-osobowy f</v>
          </cell>
          <cell r="D110">
            <v>0</v>
          </cell>
          <cell r="E110">
            <v>0</v>
          </cell>
          <cell r="F110">
            <v>426593.99</v>
          </cell>
          <cell r="G110">
            <v>0</v>
          </cell>
          <cell r="H110">
            <v>426593.99</v>
          </cell>
          <cell r="I110" t="str">
            <v>Bezpośrednie</v>
          </cell>
          <cell r="J110" t="str">
            <v>Wynagrodzenia bezp. z narz.</v>
          </cell>
        </row>
        <row r="111">
          <cell r="A111" t="str">
            <v>11</v>
          </cell>
          <cell r="B111" t="str">
            <v>500 /1-11-522</v>
          </cell>
          <cell r="C111" t="str">
            <v>Prz‘dzalnia, Narzuty na p’ace</v>
          </cell>
          <cell r="D111">
            <v>0</v>
          </cell>
          <cell r="E111">
            <v>0</v>
          </cell>
          <cell r="F111">
            <v>188493.71</v>
          </cell>
          <cell r="G111">
            <v>0</v>
          </cell>
          <cell r="H111">
            <v>188493.71</v>
          </cell>
          <cell r="I111" t="str">
            <v>Bezpośrednie</v>
          </cell>
          <cell r="J111" t="str">
            <v>Wynagrodzenia bezp. z narz.</v>
          </cell>
        </row>
        <row r="112">
          <cell r="A112" t="str">
            <v>11</v>
          </cell>
          <cell r="B112" t="str">
            <v>500 /1-11-800</v>
          </cell>
          <cell r="C112" t="str">
            <v>Prz‘dzalnia, Koszty zakupu</v>
          </cell>
          <cell r="D112">
            <v>0</v>
          </cell>
          <cell r="E112">
            <v>0</v>
          </cell>
          <cell r="F112">
            <v>20695.55</v>
          </cell>
          <cell r="G112">
            <v>0</v>
          </cell>
          <cell r="H112">
            <v>20695.55</v>
          </cell>
          <cell r="I112" t="str">
            <v>Bezpośrednie</v>
          </cell>
          <cell r="J112" t="str">
            <v>Koszty zakupu</v>
          </cell>
        </row>
        <row r="113">
          <cell r="A113" t="str">
            <v>11</v>
          </cell>
          <cell r="B113" t="str">
            <v>500 /1-11-813</v>
          </cell>
          <cell r="C113" t="str">
            <v>Prz‘dzalnia, Us’ugi Farb.</v>
          </cell>
          <cell r="D113">
            <v>0</v>
          </cell>
          <cell r="E113">
            <v>0</v>
          </cell>
          <cell r="F113">
            <v>276618.83</v>
          </cell>
          <cell r="G113">
            <v>0</v>
          </cell>
          <cell r="H113">
            <v>276618.83</v>
          </cell>
          <cell r="I113" t="str">
            <v>Bezpośrednie</v>
          </cell>
          <cell r="J113" t="str">
            <v>Usługi Farbiarni</v>
          </cell>
        </row>
        <row r="114">
          <cell r="A114" t="str">
            <v>11</v>
          </cell>
          <cell r="B114" t="str">
            <v>505 /1-11-122</v>
          </cell>
          <cell r="C114" t="str">
            <v>Prz‘dzalnia, Zu§.žr.pomocn.</v>
          </cell>
          <cell r="D114">
            <v>0</v>
          </cell>
          <cell r="E114">
            <v>0</v>
          </cell>
          <cell r="F114">
            <v>3404</v>
          </cell>
          <cell r="G114">
            <v>0</v>
          </cell>
          <cell r="H114">
            <v>3404</v>
          </cell>
          <cell r="I114" t="str">
            <v>Pośrednie</v>
          </cell>
          <cell r="J114" t="str">
            <v>Pozostałe koszty</v>
          </cell>
        </row>
        <row r="115">
          <cell r="A115" t="str">
            <v>11</v>
          </cell>
          <cell r="B115" t="str">
            <v>505 /1-11-142</v>
          </cell>
          <cell r="C115" t="str">
            <v>Prz‘dzalnia, Mater.pozost.</v>
          </cell>
          <cell r="D115">
            <v>0</v>
          </cell>
          <cell r="E115">
            <v>0</v>
          </cell>
          <cell r="F115">
            <v>836.04</v>
          </cell>
          <cell r="G115">
            <v>0</v>
          </cell>
          <cell r="H115">
            <v>836.04</v>
          </cell>
          <cell r="I115" t="str">
            <v>Pośrednie</v>
          </cell>
          <cell r="J115" t="str">
            <v>Pozostałe materiały</v>
          </cell>
        </row>
        <row r="116">
          <cell r="A116" t="str">
            <v>11</v>
          </cell>
          <cell r="B116" t="str">
            <v>505 /1-11-151</v>
          </cell>
          <cell r="C116" t="str">
            <v>Prz‘dzalnia, Zu§.energ.elektr.</v>
          </cell>
          <cell r="D116">
            <v>0</v>
          </cell>
          <cell r="E116">
            <v>0</v>
          </cell>
          <cell r="F116">
            <v>242209.29</v>
          </cell>
          <cell r="G116">
            <v>0</v>
          </cell>
          <cell r="H116">
            <v>242209.29</v>
          </cell>
          <cell r="I116" t="str">
            <v>Pośrednie</v>
          </cell>
          <cell r="J116" t="str">
            <v>Energia elektryczna</v>
          </cell>
        </row>
        <row r="117">
          <cell r="A117" t="str">
            <v>11</v>
          </cell>
          <cell r="B117" t="str">
            <v>505 /1-11-800</v>
          </cell>
          <cell r="C117" t="str">
            <v>Prz‘dzalnia, Koszty zakupu.</v>
          </cell>
          <cell r="D117">
            <v>0</v>
          </cell>
          <cell r="E117">
            <v>0</v>
          </cell>
          <cell r="F117">
            <v>-81.41</v>
          </cell>
          <cell r="G117">
            <v>0</v>
          </cell>
          <cell r="H117">
            <v>-81.41</v>
          </cell>
          <cell r="I117" t="str">
            <v>Pośrednie</v>
          </cell>
          <cell r="J117" t="str">
            <v>Pozostałe koszty</v>
          </cell>
        </row>
        <row r="118">
          <cell r="A118" t="str">
            <v>11</v>
          </cell>
          <cell r="B118" t="str">
            <v>506 /1-11-010</v>
          </cell>
          <cell r="C118" t="str">
            <v>Prz‘dzalnia, Amortyz.žr.trwa’y</v>
          </cell>
          <cell r="D118">
            <v>0</v>
          </cell>
          <cell r="E118">
            <v>0</v>
          </cell>
          <cell r="F118">
            <v>344667.88</v>
          </cell>
          <cell r="G118">
            <v>0</v>
          </cell>
          <cell r="H118">
            <v>344667.88</v>
          </cell>
          <cell r="I118" t="str">
            <v>Pośrednie</v>
          </cell>
          <cell r="J118" t="str">
            <v>Amortyzacja środków trwałych</v>
          </cell>
        </row>
        <row r="119">
          <cell r="A119" t="str">
            <v>11</v>
          </cell>
          <cell r="B119" t="str">
            <v>506 /1-11-020</v>
          </cell>
          <cell r="C119" t="str">
            <v>Prz‘dzalnia, Amortyz.wart.niem</v>
          </cell>
          <cell r="D119">
            <v>0</v>
          </cell>
          <cell r="E119">
            <v>0</v>
          </cell>
          <cell r="F119">
            <v>13.41</v>
          </cell>
          <cell r="G119">
            <v>0</v>
          </cell>
          <cell r="H119">
            <v>13.41</v>
          </cell>
          <cell r="I119" t="str">
            <v>Pośrednie</v>
          </cell>
          <cell r="J119" t="str">
            <v>Pozostałe koszty</v>
          </cell>
        </row>
        <row r="120">
          <cell r="A120" t="str">
            <v>11</v>
          </cell>
          <cell r="B120" t="str">
            <v>506 /1-11-141</v>
          </cell>
          <cell r="C120" t="str">
            <v>Prz‘dzalnia, Mater.biurowe</v>
          </cell>
          <cell r="D120">
            <v>0</v>
          </cell>
          <cell r="E120">
            <v>0</v>
          </cell>
          <cell r="F120">
            <v>263.02</v>
          </cell>
          <cell r="G120">
            <v>0</v>
          </cell>
          <cell r="H120">
            <v>263.02</v>
          </cell>
          <cell r="I120" t="str">
            <v>Pośrednie</v>
          </cell>
          <cell r="J120" t="str">
            <v>Pozostałe koszty</v>
          </cell>
        </row>
        <row r="121">
          <cell r="A121" t="str">
            <v>11</v>
          </cell>
          <cell r="B121" t="str">
            <v>506 /1-11-142</v>
          </cell>
          <cell r="C121" t="str">
            <v>Prz‘dzalnia, Mater.pozost.</v>
          </cell>
          <cell r="D121">
            <v>0</v>
          </cell>
          <cell r="E121">
            <v>0</v>
          </cell>
          <cell r="F121">
            <v>55773.31</v>
          </cell>
          <cell r="G121">
            <v>0</v>
          </cell>
          <cell r="H121">
            <v>55773.31</v>
          </cell>
          <cell r="I121" t="str">
            <v>Pośrednie</v>
          </cell>
          <cell r="J121" t="str">
            <v>Pozostałe materiały</v>
          </cell>
        </row>
        <row r="122">
          <cell r="A122" t="str">
            <v>11</v>
          </cell>
          <cell r="B122" t="str">
            <v>506 /1-11-152</v>
          </cell>
          <cell r="C122" t="str">
            <v>Prz‘dzalnia, Zu§.wody</v>
          </cell>
          <cell r="D122">
            <v>0</v>
          </cell>
          <cell r="E122">
            <v>0</v>
          </cell>
          <cell r="F122">
            <v>13197.45</v>
          </cell>
          <cell r="G122">
            <v>0</v>
          </cell>
          <cell r="H122">
            <v>13197.45</v>
          </cell>
          <cell r="I122" t="str">
            <v>Pośrednie</v>
          </cell>
          <cell r="J122" t="str">
            <v>Woda-socjal.</v>
          </cell>
        </row>
        <row r="123">
          <cell r="A123" t="str">
            <v>11</v>
          </cell>
          <cell r="B123" t="str">
            <v>506 /1-11-153</v>
          </cell>
          <cell r="C123" t="str">
            <v>Prz‘dzalnia, Zu§.energ.ciepl.</v>
          </cell>
          <cell r="D123">
            <v>0</v>
          </cell>
          <cell r="E123">
            <v>0</v>
          </cell>
          <cell r="F123">
            <v>59861.02</v>
          </cell>
          <cell r="G123">
            <v>0</v>
          </cell>
          <cell r="H123">
            <v>59861.02</v>
          </cell>
          <cell r="I123" t="str">
            <v>Pośrednie</v>
          </cell>
          <cell r="J123" t="str">
            <v>Energia cieplna-ogrzew.</v>
          </cell>
        </row>
        <row r="124">
          <cell r="A124" t="str">
            <v>11</v>
          </cell>
          <cell r="B124" t="str">
            <v>506 /1-11-215</v>
          </cell>
          <cell r="C124" t="str">
            <v>Prz‘dzalnia, Us’.transp.w’.</v>
          </cell>
          <cell r="D124">
            <v>0</v>
          </cell>
          <cell r="E124">
            <v>0</v>
          </cell>
          <cell r="F124">
            <v>811.98</v>
          </cell>
          <cell r="G124">
            <v>0</v>
          </cell>
          <cell r="H124">
            <v>811.98</v>
          </cell>
          <cell r="I124" t="str">
            <v>Pośrednie</v>
          </cell>
          <cell r="J124" t="str">
            <v>Pozostałe koszty</v>
          </cell>
        </row>
        <row r="125">
          <cell r="A125" t="str">
            <v>11</v>
          </cell>
          <cell r="B125" t="str">
            <v>506 /1-11-221</v>
          </cell>
          <cell r="C125" t="str">
            <v>Prz‘dzalnia, Us’.rem.-budynki</v>
          </cell>
          <cell r="D125">
            <v>0</v>
          </cell>
          <cell r="E125">
            <v>0</v>
          </cell>
          <cell r="F125">
            <v>21188.6</v>
          </cell>
          <cell r="G125">
            <v>0</v>
          </cell>
          <cell r="H125">
            <v>21188.6</v>
          </cell>
          <cell r="I125" t="str">
            <v>Pośrednie</v>
          </cell>
          <cell r="J125" t="str">
            <v>Remonty budynków i budowli</v>
          </cell>
        </row>
        <row r="126">
          <cell r="A126" t="str">
            <v>11</v>
          </cell>
          <cell r="B126" t="str">
            <v>506 /1-11-224</v>
          </cell>
          <cell r="C126" t="str">
            <v>Prz‘dzalnia, Us’.rem.-masz.i u</v>
          </cell>
          <cell r="D126">
            <v>0</v>
          </cell>
          <cell r="E126">
            <v>0</v>
          </cell>
          <cell r="F126">
            <v>11181.44</v>
          </cell>
          <cell r="G126">
            <v>0</v>
          </cell>
          <cell r="H126">
            <v>11181.44</v>
          </cell>
          <cell r="I126" t="str">
            <v>Pośrednie</v>
          </cell>
          <cell r="J126" t="str">
            <v>Remonty maszyn i urządzeń</v>
          </cell>
        </row>
        <row r="127">
          <cell r="A127" t="str">
            <v>11</v>
          </cell>
          <cell r="B127" t="str">
            <v>506 /1-11-225</v>
          </cell>
          <cell r="C127" t="str">
            <v>Prz‘dzalnia, Us’.rem.-poz.masz</v>
          </cell>
          <cell r="D127">
            <v>0</v>
          </cell>
          <cell r="E127">
            <v>0</v>
          </cell>
          <cell r="F127">
            <v>656.6</v>
          </cell>
          <cell r="G127">
            <v>0</v>
          </cell>
          <cell r="H127">
            <v>656.6</v>
          </cell>
          <cell r="I127" t="str">
            <v>Pośrednie</v>
          </cell>
          <cell r="J127" t="str">
            <v>Remonty maszyn i urządzeń</v>
          </cell>
        </row>
        <row r="128">
          <cell r="A128" t="str">
            <v>11</v>
          </cell>
          <cell r="B128" t="str">
            <v>506 /1-11-226</v>
          </cell>
          <cell r="C128" t="str">
            <v>Prz‘dzalnia, Us’.rem.-žrodki t</v>
          </cell>
          <cell r="D128">
            <v>0</v>
          </cell>
          <cell r="E128">
            <v>0</v>
          </cell>
          <cell r="F128">
            <v>8</v>
          </cell>
          <cell r="G128">
            <v>0</v>
          </cell>
          <cell r="H128">
            <v>8</v>
          </cell>
          <cell r="I128" t="str">
            <v>Pośrednie</v>
          </cell>
          <cell r="J128" t="str">
            <v>Remonty maszyn i urządzeń</v>
          </cell>
        </row>
        <row r="129">
          <cell r="A129" t="str">
            <v>11</v>
          </cell>
          <cell r="B129" t="str">
            <v>506 /1-11-228</v>
          </cell>
          <cell r="C129" t="str">
            <v>Prz‘dzalnia, Us’.rem.-narz. i</v>
          </cell>
          <cell r="D129">
            <v>0</v>
          </cell>
          <cell r="E129">
            <v>0</v>
          </cell>
          <cell r="F129">
            <v>2297</v>
          </cell>
          <cell r="G129">
            <v>0</v>
          </cell>
          <cell r="H129">
            <v>2297</v>
          </cell>
          <cell r="I129" t="str">
            <v>Pośrednie</v>
          </cell>
          <cell r="J129" t="str">
            <v>Remonty pozostałe</v>
          </cell>
        </row>
        <row r="130">
          <cell r="A130" t="str">
            <v>11</v>
          </cell>
          <cell r="B130" t="str">
            <v>506 /1-11-229</v>
          </cell>
          <cell r="C130" t="str">
            <v>Prz‘dzalnia, Us’.rem.-pozost.</v>
          </cell>
          <cell r="D130">
            <v>0</v>
          </cell>
          <cell r="E130">
            <v>0</v>
          </cell>
          <cell r="F130">
            <v>1200</v>
          </cell>
          <cell r="G130">
            <v>0</v>
          </cell>
          <cell r="H130">
            <v>1200</v>
          </cell>
          <cell r="I130" t="str">
            <v>Pośrednie</v>
          </cell>
          <cell r="J130" t="str">
            <v>Remonty pozostałe</v>
          </cell>
        </row>
        <row r="131">
          <cell r="A131" t="str">
            <v>11</v>
          </cell>
          <cell r="B131" t="str">
            <v>506 /1-11-241</v>
          </cell>
          <cell r="C131" t="str">
            <v>Prz‘dzalnia, Us’.’†czn.-rozmow</v>
          </cell>
          <cell r="D131">
            <v>0</v>
          </cell>
          <cell r="E131">
            <v>0</v>
          </cell>
          <cell r="F131">
            <v>63.18</v>
          </cell>
          <cell r="G131">
            <v>0</v>
          </cell>
          <cell r="H131">
            <v>63.18</v>
          </cell>
          <cell r="I131" t="str">
            <v>Pośrednie</v>
          </cell>
          <cell r="J131" t="str">
            <v>Pozostałe koszty</v>
          </cell>
        </row>
        <row r="132">
          <cell r="A132" t="str">
            <v>11</v>
          </cell>
          <cell r="B132" t="str">
            <v>506 /1-11-251</v>
          </cell>
          <cell r="C132" t="str">
            <v>Prz‘dzalnia, Us’.poz.-admin.-b</v>
          </cell>
          <cell r="D132">
            <v>0</v>
          </cell>
          <cell r="E132">
            <v>0</v>
          </cell>
          <cell r="F132">
            <v>19</v>
          </cell>
          <cell r="G132">
            <v>0</v>
          </cell>
          <cell r="H132">
            <v>19</v>
          </cell>
          <cell r="I132" t="str">
            <v>Pośrednie</v>
          </cell>
          <cell r="J132" t="str">
            <v>Pozostałe koszty</v>
          </cell>
        </row>
        <row r="133">
          <cell r="A133" t="str">
            <v>11</v>
          </cell>
          <cell r="B133" t="str">
            <v>506 /1-11-254</v>
          </cell>
          <cell r="C133" t="str">
            <v>Prz‘dzalnia, Us’.poz.-komunaln</v>
          </cell>
          <cell r="D133">
            <v>0</v>
          </cell>
          <cell r="E133">
            <v>0</v>
          </cell>
          <cell r="F133">
            <v>11289.78</v>
          </cell>
          <cell r="G133">
            <v>0</v>
          </cell>
          <cell r="H133">
            <v>11289.78</v>
          </cell>
          <cell r="I133" t="str">
            <v>Pośrednie</v>
          </cell>
          <cell r="J133" t="str">
            <v>Odbiór ścieków</v>
          </cell>
        </row>
        <row r="134">
          <cell r="A134" t="str">
            <v>11</v>
          </cell>
          <cell r="B134" t="str">
            <v>506 /1-11-259</v>
          </cell>
          <cell r="C134" t="str">
            <v>Prz‘dzalnia, Us’.poz.-inne</v>
          </cell>
          <cell r="D134">
            <v>0</v>
          </cell>
          <cell r="E134">
            <v>0</v>
          </cell>
          <cell r="F134">
            <v>1645.1</v>
          </cell>
          <cell r="G134">
            <v>0</v>
          </cell>
          <cell r="H134">
            <v>1645.1</v>
          </cell>
          <cell r="I134" t="str">
            <v>Pośrednie</v>
          </cell>
          <cell r="J134" t="str">
            <v>Pozostałe koszty</v>
          </cell>
        </row>
        <row r="135">
          <cell r="A135" t="str">
            <v>11</v>
          </cell>
          <cell r="B135" t="str">
            <v>506 /1-11-261</v>
          </cell>
          <cell r="C135" t="str">
            <v>Prz‘dzalnia, Rem.w’.-budynki</v>
          </cell>
          <cell r="D135">
            <v>0</v>
          </cell>
          <cell r="E135">
            <v>0</v>
          </cell>
          <cell r="F135">
            <v>57064.11</v>
          </cell>
          <cell r="G135">
            <v>0</v>
          </cell>
          <cell r="H135">
            <v>57064.11</v>
          </cell>
          <cell r="I135" t="str">
            <v>Pośrednie</v>
          </cell>
          <cell r="J135" t="str">
            <v>Remonty budynków i budowli</v>
          </cell>
        </row>
        <row r="136">
          <cell r="A136" t="str">
            <v>11</v>
          </cell>
          <cell r="B136" t="str">
            <v>506 /1-11-262</v>
          </cell>
          <cell r="C136" t="str">
            <v>Prz‘dzalnia, Rem.w’.-budowle</v>
          </cell>
          <cell r="D136">
            <v>0</v>
          </cell>
          <cell r="E136">
            <v>0</v>
          </cell>
          <cell r="F136">
            <v>104.28</v>
          </cell>
          <cell r="G136">
            <v>0</v>
          </cell>
          <cell r="H136">
            <v>104.28</v>
          </cell>
          <cell r="I136" t="str">
            <v>Pośrednie</v>
          </cell>
          <cell r="J136" t="str">
            <v>Remonty budynków i budowli</v>
          </cell>
        </row>
        <row r="137">
          <cell r="A137" t="str">
            <v>11</v>
          </cell>
          <cell r="B137" t="str">
            <v>506 /1-11-264</v>
          </cell>
          <cell r="C137" t="str">
            <v>Prz‘dzalnia, Rem.w’.-masz.i ur</v>
          </cell>
          <cell r="D137">
            <v>0</v>
          </cell>
          <cell r="E137">
            <v>0</v>
          </cell>
          <cell r="F137">
            <v>47571.45</v>
          </cell>
          <cell r="G137">
            <v>0</v>
          </cell>
          <cell r="H137">
            <v>47571.45</v>
          </cell>
          <cell r="I137" t="str">
            <v>Pośrednie</v>
          </cell>
          <cell r="J137" t="str">
            <v>Remonty maszyn i urządzeń</v>
          </cell>
        </row>
        <row r="138">
          <cell r="A138" t="str">
            <v>11</v>
          </cell>
          <cell r="B138" t="str">
            <v>506 /1-11-265</v>
          </cell>
          <cell r="C138" t="str">
            <v>Prz‘dzalnia, Rem w’.-poz.masz.</v>
          </cell>
          <cell r="D138">
            <v>0</v>
          </cell>
          <cell r="E138">
            <v>0</v>
          </cell>
          <cell r="F138">
            <v>9807.7000000000007</v>
          </cell>
          <cell r="G138">
            <v>0</v>
          </cell>
          <cell r="H138">
            <v>9807.7000000000007</v>
          </cell>
          <cell r="I138" t="str">
            <v>Pośrednie</v>
          </cell>
          <cell r="J138" t="str">
            <v>Remonty maszyn i urządzeń</v>
          </cell>
        </row>
        <row r="139">
          <cell r="A139" t="str">
            <v>11</v>
          </cell>
          <cell r="B139" t="str">
            <v>506 /1-11-266</v>
          </cell>
          <cell r="C139" t="str">
            <v>Prz‘dzalnia, Rem.w’.-žrodki tr</v>
          </cell>
          <cell r="D139">
            <v>0</v>
          </cell>
          <cell r="E139">
            <v>0</v>
          </cell>
          <cell r="F139">
            <v>413.52</v>
          </cell>
          <cell r="G139">
            <v>0</v>
          </cell>
          <cell r="H139">
            <v>413.52</v>
          </cell>
          <cell r="I139" t="str">
            <v>Pośrednie</v>
          </cell>
          <cell r="J139" t="str">
            <v>Remonty maszyn i urządzeń</v>
          </cell>
        </row>
        <row r="140">
          <cell r="A140" t="str">
            <v>11</v>
          </cell>
          <cell r="B140" t="str">
            <v>506 /1-11-267</v>
          </cell>
          <cell r="C140" t="str">
            <v>Prz‘dzalnia, Rem.w’.-poj.mecha</v>
          </cell>
          <cell r="D140">
            <v>0</v>
          </cell>
          <cell r="E140">
            <v>0</v>
          </cell>
          <cell r="F140">
            <v>357.96</v>
          </cell>
          <cell r="G140">
            <v>0</v>
          </cell>
          <cell r="H140">
            <v>357.96</v>
          </cell>
          <cell r="I140" t="str">
            <v>Pośrednie</v>
          </cell>
          <cell r="J140" t="str">
            <v>Remonty pozostałe</v>
          </cell>
        </row>
        <row r="141">
          <cell r="A141" t="str">
            <v>11</v>
          </cell>
          <cell r="B141" t="str">
            <v>506 /1-11-268</v>
          </cell>
          <cell r="C141" t="str">
            <v>Prz‘dzalnia, Rem.w’.-narz.i pr</v>
          </cell>
          <cell r="D141">
            <v>0</v>
          </cell>
          <cell r="E141">
            <v>0</v>
          </cell>
          <cell r="F141">
            <v>6371.25</v>
          </cell>
          <cell r="G141">
            <v>0</v>
          </cell>
          <cell r="H141">
            <v>6371.25</v>
          </cell>
          <cell r="I141" t="str">
            <v>Pośrednie</v>
          </cell>
          <cell r="J141" t="str">
            <v>Remonty pozostałe</v>
          </cell>
        </row>
        <row r="142">
          <cell r="A142" t="str">
            <v>11</v>
          </cell>
          <cell r="B142" t="str">
            <v>506 /1-11-311</v>
          </cell>
          <cell r="C142" t="str">
            <v>Prz‘dzalnia, Podatek od nieruc</v>
          </cell>
          <cell r="D142">
            <v>0</v>
          </cell>
          <cell r="E142">
            <v>0</v>
          </cell>
          <cell r="F142">
            <v>79231.05</v>
          </cell>
          <cell r="G142">
            <v>0</v>
          </cell>
          <cell r="H142">
            <v>79231.05</v>
          </cell>
          <cell r="I142" t="str">
            <v>Pośrednie</v>
          </cell>
          <cell r="J142" t="str">
            <v>Podatek od nieruchomości</v>
          </cell>
        </row>
        <row r="143">
          <cell r="A143" t="str">
            <v>11</v>
          </cell>
          <cell r="B143" t="str">
            <v>506 /1-11-312</v>
          </cell>
          <cell r="C143" t="str">
            <v>Prz‘dzalnia, Podatek gruntowy</v>
          </cell>
          <cell r="D143">
            <v>0</v>
          </cell>
          <cell r="E143">
            <v>0</v>
          </cell>
          <cell r="F143">
            <v>1994.53</v>
          </cell>
          <cell r="G143">
            <v>0</v>
          </cell>
          <cell r="H143">
            <v>1994.53</v>
          </cell>
          <cell r="I143" t="str">
            <v>Pośrednie</v>
          </cell>
          <cell r="J143" t="str">
            <v>Pozostałe koszty</v>
          </cell>
        </row>
        <row r="144">
          <cell r="A144" t="str">
            <v>11</v>
          </cell>
          <cell r="B144" t="str">
            <v>506 /1-11-322</v>
          </cell>
          <cell r="C144" t="str">
            <v>Prz‘dzalnia, Op’aty pozosta’e</v>
          </cell>
          <cell r="D144">
            <v>0</v>
          </cell>
          <cell r="E144">
            <v>0</v>
          </cell>
          <cell r="F144">
            <v>215.29</v>
          </cell>
          <cell r="G144">
            <v>0</v>
          </cell>
          <cell r="H144">
            <v>215.29</v>
          </cell>
          <cell r="I144" t="str">
            <v>Pośrednie</v>
          </cell>
          <cell r="J144" t="str">
            <v>Pozostałe koszty</v>
          </cell>
        </row>
        <row r="145">
          <cell r="A145" t="str">
            <v>11</v>
          </cell>
          <cell r="B145" t="str">
            <v>506 /1-11-410</v>
          </cell>
          <cell r="C145" t="str">
            <v>Prz‘dzalnia, Wynagr.-osobowy f</v>
          </cell>
          <cell r="D145">
            <v>0</v>
          </cell>
          <cell r="E145">
            <v>0</v>
          </cell>
          <cell r="F145">
            <v>192435.08</v>
          </cell>
          <cell r="G145">
            <v>0</v>
          </cell>
          <cell r="H145">
            <v>192435.08</v>
          </cell>
          <cell r="I145" t="str">
            <v>Pośrednie</v>
          </cell>
          <cell r="J145" t="str">
            <v>Wynagrodzenia pośr. z narz.</v>
          </cell>
        </row>
        <row r="146">
          <cell r="A146" t="str">
            <v>11</v>
          </cell>
          <cell r="B146" t="str">
            <v>506 /1-11-420</v>
          </cell>
          <cell r="C146" t="str">
            <v>Prz‘dzalnia, Wynagr.-bezosob.f</v>
          </cell>
          <cell r="D146">
            <v>0</v>
          </cell>
          <cell r="E146">
            <v>0</v>
          </cell>
          <cell r="F146">
            <v>1321</v>
          </cell>
          <cell r="G146">
            <v>0</v>
          </cell>
          <cell r="H146">
            <v>1321</v>
          </cell>
          <cell r="I146" t="str">
            <v>Pośrednie</v>
          </cell>
          <cell r="J146" t="str">
            <v>Pozostałe świad. na rzecz prac.</v>
          </cell>
        </row>
        <row r="147">
          <cell r="A147" t="str">
            <v>11</v>
          </cell>
          <cell r="B147" t="str">
            <v>506 /1-11-511</v>
          </cell>
          <cell r="C147" t="str">
            <v>Prz‘dzalnia, w.na rz.prac.-BH</v>
          </cell>
          <cell r="D147">
            <v>0</v>
          </cell>
          <cell r="E147">
            <v>0</v>
          </cell>
          <cell r="F147">
            <v>15782.98</v>
          </cell>
          <cell r="G147">
            <v>0</v>
          </cell>
          <cell r="H147">
            <v>15782.98</v>
          </cell>
          <cell r="I147" t="str">
            <v>Pośrednie</v>
          </cell>
          <cell r="J147" t="str">
            <v>Pozostałe świad. na rzecz prac.</v>
          </cell>
        </row>
        <row r="148">
          <cell r="A148" t="str">
            <v>11</v>
          </cell>
          <cell r="B148" t="str">
            <v>506 /1-11-521</v>
          </cell>
          <cell r="C148" t="str">
            <v>Prz‘dzalnia, w.na rz.prac.-na</v>
          </cell>
          <cell r="D148">
            <v>0</v>
          </cell>
          <cell r="E148">
            <v>0</v>
          </cell>
          <cell r="F148">
            <v>34663.589999999997</v>
          </cell>
          <cell r="G148">
            <v>0</v>
          </cell>
          <cell r="H148">
            <v>34663.589999999997</v>
          </cell>
          <cell r="I148" t="str">
            <v>Pośrednie</v>
          </cell>
          <cell r="J148" t="str">
            <v>Pozostałe świad. na rzecz prac.</v>
          </cell>
        </row>
        <row r="149">
          <cell r="A149" t="str">
            <v>11</v>
          </cell>
          <cell r="B149" t="str">
            <v>506 /1-11-522</v>
          </cell>
          <cell r="C149" t="str">
            <v>Prz‘dzalnia, w.na rz.prac.-na</v>
          </cell>
          <cell r="D149">
            <v>0</v>
          </cell>
          <cell r="E149">
            <v>0</v>
          </cell>
          <cell r="F149">
            <v>85003.8</v>
          </cell>
          <cell r="G149">
            <v>0</v>
          </cell>
          <cell r="H149">
            <v>85003.8</v>
          </cell>
          <cell r="I149" t="str">
            <v>Pośrednie</v>
          </cell>
          <cell r="J149" t="str">
            <v>Wynagrodzenia pośr. z narz.</v>
          </cell>
        </row>
        <row r="150">
          <cell r="A150" t="str">
            <v>11</v>
          </cell>
          <cell r="B150" t="str">
            <v>506 /1-11-531</v>
          </cell>
          <cell r="C150" t="str">
            <v>Prz‘dzalnia, w.na rz.prac.-sz</v>
          </cell>
          <cell r="D150">
            <v>0</v>
          </cell>
          <cell r="E150">
            <v>0</v>
          </cell>
          <cell r="F150">
            <v>2259</v>
          </cell>
          <cell r="G150">
            <v>0</v>
          </cell>
          <cell r="H150">
            <v>2259</v>
          </cell>
          <cell r="I150" t="str">
            <v>Pośrednie</v>
          </cell>
          <cell r="J150" t="str">
            <v>Pozostałe świad. na rzecz prac.</v>
          </cell>
        </row>
        <row r="151">
          <cell r="A151" t="str">
            <v>11</v>
          </cell>
          <cell r="B151" t="str">
            <v>506 /1-11-532</v>
          </cell>
          <cell r="C151" t="str">
            <v>Prz‘dzalnia, Sw.na rz.prac.-in</v>
          </cell>
          <cell r="D151">
            <v>0</v>
          </cell>
          <cell r="E151">
            <v>0</v>
          </cell>
          <cell r="F151">
            <v>7274.44</v>
          </cell>
          <cell r="G151">
            <v>0</v>
          </cell>
          <cell r="H151">
            <v>7274.44</v>
          </cell>
          <cell r="I151" t="str">
            <v>Pośrednie</v>
          </cell>
          <cell r="J151" t="str">
            <v>Pozostałe świad. na rzecz prac.</v>
          </cell>
        </row>
        <row r="152">
          <cell r="A152" t="str">
            <v>11</v>
          </cell>
          <cell r="B152" t="str">
            <v>506 /1-11-800</v>
          </cell>
          <cell r="C152" t="str">
            <v>Prz‘dzalnia, Koszty zakupu.</v>
          </cell>
          <cell r="D152">
            <v>0</v>
          </cell>
          <cell r="E152">
            <v>0</v>
          </cell>
          <cell r="F152">
            <v>1705.15</v>
          </cell>
          <cell r="G152">
            <v>0</v>
          </cell>
          <cell r="H152">
            <v>1705.15</v>
          </cell>
          <cell r="I152" t="str">
            <v>Pośrednie</v>
          </cell>
          <cell r="J152" t="str">
            <v>Pozostałe koszty</v>
          </cell>
        </row>
        <row r="153">
          <cell r="A153" t="str">
            <v>12</v>
          </cell>
          <cell r="B153" t="str">
            <v>500 /1-12-000</v>
          </cell>
          <cell r="C153" t="str">
            <v>Skr‘calnia, Roboty w toku</v>
          </cell>
          <cell r="D153">
            <v>9403.61</v>
          </cell>
          <cell r="E153">
            <v>0</v>
          </cell>
          <cell r="F153">
            <v>23882.42</v>
          </cell>
          <cell r="G153">
            <v>0</v>
          </cell>
          <cell r="H153">
            <v>-14478.809999999998</v>
          </cell>
          <cell r="I153" t="str">
            <v>Bezpośrednie</v>
          </cell>
          <cell r="J153" t="str">
            <v>Produkcja w toku</v>
          </cell>
        </row>
        <row r="154">
          <cell r="A154" t="str">
            <v>12</v>
          </cell>
          <cell r="B154" t="str">
            <v>500 /1-12-112</v>
          </cell>
          <cell r="C154" t="str">
            <v>Skr‘calnia, Zu§.prz‘dzy</v>
          </cell>
          <cell r="D154">
            <v>0</v>
          </cell>
          <cell r="E154">
            <v>0</v>
          </cell>
          <cell r="F154">
            <v>23460.06</v>
          </cell>
          <cell r="G154">
            <v>0</v>
          </cell>
          <cell r="H154">
            <v>23460.06</v>
          </cell>
          <cell r="I154" t="str">
            <v>Bezpośrednie</v>
          </cell>
          <cell r="J154" t="str">
            <v>Przędza z zakupu</v>
          </cell>
        </row>
        <row r="155">
          <cell r="A155" t="str">
            <v>12</v>
          </cell>
          <cell r="B155" t="str">
            <v>500 /1-12-113</v>
          </cell>
          <cell r="C155" t="str">
            <v>Skr‘calnia, Odpady</v>
          </cell>
          <cell r="D155">
            <v>0</v>
          </cell>
          <cell r="E155">
            <v>0</v>
          </cell>
          <cell r="F155">
            <v>-299.42</v>
          </cell>
          <cell r="G155">
            <v>0</v>
          </cell>
          <cell r="H155">
            <v>-299.42</v>
          </cell>
          <cell r="I155" t="str">
            <v>Bezpośrednie</v>
          </cell>
          <cell r="J155" t="str">
            <v>Odpady</v>
          </cell>
        </row>
        <row r="156">
          <cell r="A156" t="str">
            <v>12</v>
          </cell>
          <cell r="B156" t="str">
            <v>500 /1-12-122</v>
          </cell>
          <cell r="C156" t="str">
            <v>Skr‘calnia, Zu§.žr.pomocn.</v>
          </cell>
          <cell r="D156">
            <v>0</v>
          </cell>
          <cell r="E156">
            <v>0</v>
          </cell>
          <cell r="F156">
            <v>746</v>
          </cell>
          <cell r="G156">
            <v>0</v>
          </cell>
          <cell r="H156">
            <v>746</v>
          </cell>
          <cell r="I156" t="str">
            <v>Bezpośrednie</v>
          </cell>
          <cell r="J156" t="str">
            <v>Barwniki i środki pomocnicze</v>
          </cell>
        </row>
        <row r="157">
          <cell r="A157" t="str">
            <v>12</v>
          </cell>
          <cell r="B157" t="str">
            <v>500 /1-12-301</v>
          </cell>
          <cell r="C157" t="str">
            <v>Skr‘calnia, Zu§.prz.w’.-zgrz.</v>
          </cell>
          <cell r="D157">
            <v>0</v>
          </cell>
          <cell r="E157">
            <v>0</v>
          </cell>
          <cell r="F157">
            <v>31623.52</v>
          </cell>
          <cell r="G157">
            <v>0</v>
          </cell>
          <cell r="H157">
            <v>31623.52</v>
          </cell>
          <cell r="I157" t="str">
            <v>Bezpośrednie</v>
          </cell>
          <cell r="J157" t="str">
            <v>Przędza własna</v>
          </cell>
        </row>
        <row r="158">
          <cell r="A158" t="str">
            <v>12</v>
          </cell>
          <cell r="B158" t="str">
            <v>500 /1-12-302</v>
          </cell>
          <cell r="C158" t="str">
            <v>Skr‘calnia, Zu§.prz.w’.-p˘’cz.</v>
          </cell>
          <cell r="D158">
            <v>0</v>
          </cell>
          <cell r="E158">
            <v>0</v>
          </cell>
          <cell r="F158">
            <v>52677.08</v>
          </cell>
          <cell r="G158">
            <v>0</v>
          </cell>
          <cell r="H158">
            <v>52677.08</v>
          </cell>
          <cell r="I158" t="str">
            <v>Bezpośrednie</v>
          </cell>
          <cell r="J158" t="str">
            <v>Przędza własna</v>
          </cell>
        </row>
        <row r="159">
          <cell r="A159" t="str">
            <v>12</v>
          </cell>
          <cell r="B159" t="str">
            <v>500 /1-12-303</v>
          </cell>
          <cell r="C159" t="str">
            <v>Skr‘calnia, Zu§.prz.w’.-baw.</v>
          </cell>
          <cell r="D159">
            <v>0</v>
          </cell>
          <cell r="E159">
            <v>0</v>
          </cell>
          <cell r="F159">
            <v>18554.23</v>
          </cell>
          <cell r="G159">
            <v>0</v>
          </cell>
          <cell r="H159">
            <v>18554.23</v>
          </cell>
          <cell r="I159" t="str">
            <v>Bezpośrednie</v>
          </cell>
          <cell r="J159" t="str">
            <v>Przędza własna</v>
          </cell>
        </row>
        <row r="160">
          <cell r="A160" t="str">
            <v>12</v>
          </cell>
          <cell r="B160" t="str">
            <v>500 /1-12-410</v>
          </cell>
          <cell r="C160" t="str">
            <v>Skr‘calnia, Wynagr.-osobowy f.</v>
          </cell>
          <cell r="D160">
            <v>0</v>
          </cell>
          <cell r="E160">
            <v>0</v>
          </cell>
          <cell r="F160">
            <v>170489.88</v>
          </cell>
          <cell r="G160">
            <v>1297.06</v>
          </cell>
          <cell r="H160">
            <v>169192.82</v>
          </cell>
          <cell r="I160" t="str">
            <v>Bezpośrednie</v>
          </cell>
          <cell r="J160" t="str">
            <v>Wynagrodzenia bezp. z narz.</v>
          </cell>
        </row>
        <row r="161">
          <cell r="A161" t="str">
            <v>12</v>
          </cell>
          <cell r="B161" t="str">
            <v>500 /1-12-522</v>
          </cell>
          <cell r="C161" t="str">
            <v>Skr‘calnia, Narzuty na p’ace</v>
          </cell>
          <cell r="D161">
            <v>0</v>
          </cell>
          <cell r="E161">
            <v>0</v>
          </cell>
          <cell r="F161">
            <v>75210.69</v>
          </cell>
          <cell r="G161">
            <v>628.45000000000005</v>
          </cell>
          <cell r="H161">
            <v>74582.240000000005</v>
          </cell>
          <cell r="I161" t="str">
            <v>Bezpośrednie</v>
          </cell>
          <cell r="J161" t="str">
            <v>Wynagrodzenia bezp. z narz.</v>
          </cell>
        </row>
        <row r="162">
          <cell r="A162" t="str">
            <v>12</v>
          </cell>
          <cell r="B162" t="str">
            <v>500 /1-12-800</v>
          </cell>
          <cell r="C162" t="str">
            <v>Skr‘calnia, koszty zakupu</v>
          </cell>
          <cell r="D162">
            <v>0</v>
          </cell>
          <cell r="E162">
            <v>0</v>
          </cell>
          <cell r="F162">
            <v>191.9</v>
          </cell>
          <cell r="G162">
            <v>0</v>
          </cell>
          <cell r="H162">
            <v>191.9</v>
          </cell>
          <cell r="I162" t="str">
            <v>Bezpośrednie</v>
          </cell>
          <cell r="J162" t="str">
            <v>Koszty zakupu</v>
          </cell>
        </row>
        <row r="163">
          <cell r="A163" t="str">
            <v>12</v>
          </cell>
          <cell r="B163" t="str">
            <v>505 /1-12-142</v>
          </cell>
          <cell r="C163" t="str">
            <v>Skr‘calnia, Mater.pozost.</v>
          </cell>
          <cell r="D163">
            <v>0</v>
          </cell>
          <cell r="E163">
            <v>0</v>
          </cell>
          <cell r="F163">
            <v>1049.6099999999999</v>
          </cell>
          <cell r="G163">
            <v>0</v>
          </cell>
          <cell r="H163">
            <v>1049.6099999999999</v>
          </cell>
          <cell r="I163" t="str">
            <v>Pośrednie</v>
          </cell>
          <cell r="J163" t="str">
            <v>Pozostałe materiały</v>
          </cell>
        </row>
        <row r="164">
          <cell r="A164" t="str">
            <v>12</v>
          </cell>
          <cell r="B164" t="str">
            <v>505 /1-12-151</v>
          </cell>
          <cell r="C164" t="str">
            <v>Skr‘calnia, Zu§.energ.elektr.</v>
          </cell>
          <cell r="D164">
            <v>0</v>
          </cell>
          <cell r="E164">
            <v>0</v>
          </cell>
          <cell r="F164">
            <v>12254.72</v>
          </cell>
          <cell r="G164">
            <v>0</v>
          </cell>
          <cell r="H164">
            <v>12254.72</v>
          </cell>
          <cell r="I164" t="str">
            <v>Pośrednie</v>
          </cell>
          <cell r="J164" t="str">
            <v>Energia elektryczna</v>
          </cell>
        </row>
        <row r="165">
          <cell r="A165" t="str">
            <v>12</v>
          </cell>
          <cell r="B165" t="str">
            <v>505 /1-12-800</v>
          </cell>
          <cell r="C165" t="str">
            <v>Skr‘calnia, Koszty zakupu.</v>
          </cell>
          <cell r="D165">
            <v>0</v>
          </cell>
          <cell r="E165">
            <v>0</v>
          </cell>
          <cell r="F165">
            <v>-36.28</v>
          </cell>
          <cell r="G165">
            <v>0</v>
          </cell>
          <cell r="H165">
            <v>-36.28</v>
          </cell>
          <cell r="I165" t="str">
            <v>Pośrednie</v>
          </cell>
          <cell r="J165" t="str">
            <v>Pozostałe koszty</v>
          </cell>
        </row>
        <row r="166">
          <cell r="A166" t="str">
            <v>12</v>
          </cell>
          <cell r="B166" t="str">
            <v>506 /1-12-010</v>
          </cell>
          <cell r="C166" t="str">
            <v>Skr‘calnia, Amortyz.žr.trwa’yc</v>
          </cell>
          <cell r="D166">
            <v>0</v>
          </cell>
          <cell r="E166">
            <v>0</v>
          </cell>
          <cell r="F166">
            <v>18530.64</v>
          </cell>
          <cell r="G166">
            <v>0</v>
          </cell>
          <cell r="H166">
            <v>18530.64</v>
          </cell>
          <cell r="I166" t="str">
            <v>Pośrednie</v>
          </cell>
          <cell r="J166" t="str">
            <v>Amortyzacja środków trwałych</v>
          </cell>
        </row>
        <row r="167">
          <cell r="A167" t="str">
            <v>12</v>
          </cell>
          <cell r="B167" t="str">
            <v>506 /1-12-142</v>
          </cell>
          <cell r="C167" t="str">
            <v>Skr‘calnia, Mater.pozost.</v>
          </cell>
          <cell r="D167">
            <v>0</v>
          </cell>
          <cell r="E167">
            <v>0</v>
          </cell>
          <cell r="F167">
            <v>16024.83</v>
          </cell>
          <cell r="G167">
            <v>0</v>
          </cell>
          <cell r="H167">
            <v>16024.83</v>
          </cell>
          <cell r="I167" t="str">
            <v>Pośrednie</v>
          </cell>
          <cell r="J167" t="str">
            <v>Pozostałe materiały</v>
          </cell>
        </row>
        <row r="168">
          <cell r="A168" t="str">
            <v>12</v>
          </cell>
          <cell r="B168" t="str">
            <v>506 /1-12-152</v>
          </cell>
          <cell r="C168" t="str">
            <v>Skr‘calnia, Zu§.wody</v>
          </cell>
          <cell r="D168">
            <v>0</v>
          </cell>
          <cell r="E168">
            <v>0</v>
          </cell>
          <cell r="F168">
            <v>2181.1999999999998</v>
          </cell>
          <cell r="G168">
            <v>0</v>
          </cell>
          <cell r="H168">
            <v>2181.1999999999998</v>
          </cell>
          <cell r="I168" t="str">
            <v>Pośrednie</v>
          </cell>
          <cell r="J168" t="str">
            <v>Woda-socjal.</v>
          </cell>
        </row>
        <row r="169">
          <cell r="A169" t="str">
            <v>12</v>
          </cell>
          <cell r="B169" t="str">
            <v>506 /1-12-153</v>
          </cell>
          <cell r="C169" t="str">
            <v>Skr‘calnia, Zu§.energ.ciepl.</v>
          </cell>
          <cell r="D169">
            <v>0</v>
          </cell>
          <cell r="E169">
            <v>0</v>
          </cell>
          <cell r="F169">
            <v>21615.31</v>
          </cell>
          <cell r="G169">
            <v>0</v>
          </cell>
          <cell r="H169">
            <v>21615.31</v>
          </cell>
          <cell r="I169" t="str">
            <v>Pośrednie</v>
          </cell>
          <cell r="J169" t="str">
            <v>Energia cieplna-ogrzew.</v>
          </cell>
        </row>
        <row r="170">
          <cell r="A170" t="str">
            <v>12</v>
          </cell>
          <cell r="B170" t="str">
            <v>506 /1-12-221</v>
          </cell>
          <cell r="C170" t="str">
            <v>Skr‘calnia, Us’.rem.-budynki</v>
          </cell>
          <cell r="D170">
            <v>0</v>
          </cell>
          <cell r="E170">
            <v>0</v>
          </cell>
          <cell r="F170">
            <v>80.88</v>
          </cell>
          <cell r="G170">
            <v>0</v>
          </cell>
          <cell r="H170">
            <v>80.88</v>
          </cell>
          <cell r="I170" t="str">
            <v>Pośrednie</v>
          </cell>
          <cell r="J170" t="str">
            <v>Remonty budynków i budowli</v>
          </cell>
        </row>
        <row r="171">
          <cell r="A171" t="str">
            <v>12</v>
          </cell>
          <cell r="B171" t="str">
            <v>506 /1-12-254</v>
          </cell>
          <cell r="C171" t="str">
            <v>Skr‘calnia, Us’.poz.-komunalne</v>
          </cell>
          <cell r="D171">
            <v>0</v>
          </cell>
          <cell r="E171">
            <v>0</v>
          </cell>
          <cell r="F171">
            <v>1737.14</v>
          </cell>
          <cell r="G171">
            <v>0</v>
          </cell>
          <cell r="H171">
            <v>1737.14</v>
          </cell>
          <cell r="I171" t="str">
            <v>Pośrednie</v>
          </cell>
          <cell r="J171" t="str">
            <v>Odbiór ścieków</v>
          </cell>
        </row>
        <row r="172">
          <cell r="A172" t="str">
            <v>12</v>
          </cell>
          <cell r="B172" t="str">
            <v>506 /1-12-259</v>
          </cell>
          <cell r="C172" t="str">
            <v>Skr‘calnia, Us’.poz.-inne</v>
          </cell>
          <cell r="D172">
            <v>0</v>
          </cell>
          <cell r="E172">
            <v>0</v>
          </cell>
          <cell r="F172">
            <v>300</v>
          </cell>
          <cell r="G172">
            <v>0</v>
          </cell>
          <cell r="H172">
            <v>300</v>
          </cell>
          <cell r="I172" t="str">
            <v>Pośrednie</v>
          </cell>
          <cell r="J172" t="str">
            <v>Pozostałe koszty</v>
          </cell>
        </row>
        <row r="173">
          <cell r="A173" t="str">
            <v>12</v>
          </cell>
          <cell r="B173" t="str">
            <v>506 /1-12-261</v>
          </cell>
          <cell r="C173" t="str">
            <v>Skr‘calnia, Rem.w’.-budynki</v>
          </cell>
          <cell r="D173">
            <v>0</v>
          </cell>
          <cell r="E173">
            <v>0</v>
          </cell>
          <cell r="F173">
            <v>3859.67</v>
          </cell>
          <cell r="G173">
            <v>0</v>
          </cell>
          <cell r="H173">
            <v>3859.67</v>
          </cell>
          <cell r="I173" t="str">
            <v>Pośrednie</v>
          </cell>
          <cell r="J173" t="str">
            <v>Remonty budynków i budowli</v>
          </cell>
        </row>
        <row r="174">
          <cell r="A174" t="str">
            <v>12</v>
          </cell>
          <cell r="B174" t="str">
            <v>506 /1-12-264</v>
          </cell>
          <cell r="C174" t="str">
            <v>Skr‘calnia, Rem.w’.-masz.i urz</v>
          </cell>
          <cell r="D174">
            <v>0</v>
          </cell>
          <cell r="E174">
            <v>0</v>
          </cell>
          <cell r="F174">
            <v>7539.09</v>
          </cell>
          <cell r="G174">
            <v>0</v>
          </cell>
          <cell r="H174">
            <v>7539.09</v>
          </cell>
          <cell r="I174" t="str">
            <v>Pośrednie</v>
          </cell>
          <cell r="J174" t="str">
            <v>Remonty maszyn i urządzeń</v>
          </cell>
        </row>
        <row r="175">
          <cell r="A175" t="str">
            <v>12</v>
          </cell>
          <cell r="B175" t="str">
            <v>506 /1-12-311</v>
          </cell>
          <cell r="C175" t="str">
            <v>Skr‘calnia, Podatek od nieruch</v>
          </cell>
          <cell r="D175">
            <v>0</v>
          </cell>
          <cell r="E175">
            <v>0</v>
          </cell>
          <cell r="F175">
            <v>4972.5</v>
          </cell>
          <cell r="G175">
            <v>0</v>
          </cell>
          <cell r="H175">
            <v>4972.5</v>
          </cell>
          <cell r="I175" t="str">
            <v>Pośrednie</v>
          </cell>
          <cell r="J175" t="str">
            <v>Podatek od nieruchomości</v>
          </cell>
        </row>
        <row r="176">
          <cell r="A176" t="str">
            <v>12</v>
          </cell>
          <cell r="B176" t="str">
            <v>506 /1-12-312</v>
          </cell>
          <cell r="C176" t="str">
            <v>Skr‘calnia, Podatek gruntowy</v>
          </cell>
          <cell r="D176">
            <v>0</v>
          </cell>
          <cell r="E176">
            <v>0</v>
          </cell>
          <cell r="F176">
            <v>125.13</v>
          </cell>
          <cell r="G176">
            <v>0</v>
          </cell>
          <cell r="H176">
            <v>125.13</v>
          </cell>
          <cell r="I176" t="str">
            <v>Pośrednie</v>
          </cell>
          <cell r="J176" t="str">
            <v>Pozostałe koszty</v>
          </cell>
        </row>
        <row r="177">
          <cell r="A177" t="str">
            <v>12</v>
          </cell>
          <cell r="B177" t="str">
            <v>506 /1-12-410</v>
          </cell>
          <cell r="C177" t="str">
            <v>Skr‘calnia, Wynagr.-osobowy f.</v>
          </cell>
          <cell r="D177">
            <v>0</v>
          </cell>
          <cell r="E177">
            <v>0</v>
          </cell>
          <cell r="F177">
            <v>72720.38</v>
          </cell>
          <cell r="G177">
            <v>0</v>
          </cell>
          <cell r="H177">
            <v>72720.38</v>
          </cell>
          <cell r="I177" t="str">
            <v>Pośrednie</v>
          </cell>
          <cell r="J177" t="str">
            <v>Wynagrodzenia pośr. z narz.</v>
          </cell>
        </row>
        <row r="178">
          <cell r="A178" t="str">
            <v>12</v>
          </cell>
          <cell r="B178" t="str">
            <v>506 /1-12-420</v>
          </cell>
          <cell r="C178" t="str">
            <v>Skr‘calnia, Wynagr.-bezosob.f.</v>
          </cell>
          <cell r="D178">
            <v>0</v>
          </cell>
          <cell r="E178">
            <v>0</v>
          </cell>
          <cell r="F178">
            <v>1051</v>
          </cell>
          <cell r="G178">
            <v>0</v>
          </cell>
          <cell r="H178">
            <v>1051</v>
          </cell>
          <cell r="I178" t="str">
            <v>Pośrednie</v>
          </cell>
          <cell r="J178" t="str">
            <v>Pozostałe świad. na rzecz prac.</v>
          </cell>
        </row>
        <row r="179">
          <cell r="A179" t="str">
            <v>12</v>
          </cell>
          <cell r="B179" t="str">
            <v>506 /1-12-511</v>
          </cell>
          <cell r="C179" t="str">
            <v>Skr‘calnia, w.na rz.prac.-BHP</v>
          </cell>
          <cell r="D179">
            <v>0</v>
          </cell>
          <cell r="E179">
            <v>0</v>
          </cell>
          <cell r="F179">
            <v>4703.47</v>
          </cell>
          <cell r="G179">
            <v>0</v>
          </cell>
          <cell r="H179">
            <v>4703.47</v>
          </cell>
          <cell r="I179" t="str">
            <v>Pośrednie</v>
          </cell>
          <cell r="J179" t="str">
            <v>Pozostałe świad. na rzecz prac.</v>
          </cell>
        </row>
        <row r="180">
          <cell r="A180" t="str">
            <v>12</v>
          </cell>
          <cell r="B180" t="str">
            <v>506 /1-12-521</v>
          </cell>
          <cell r="C180" t="str">
            <v>Skr‘calnia, w.na rz.prac.-nal</v>
          </cell>
          <cell r="D180">
            <v>0</v>
          </cell>
          <cell r="E180">
            <v>0</v>
          </cell>
          <cell r="F180">
            <v>11498.85</v>
          </cell>
          <cell r="G180">
            <v>0</v>
          </cell>
          <cell r="H180">
            <v>11498.85</v>
          </cell>
          <cell r="I180" t="str">
            <v>Pośrednie</v>
          </cell>
          <cell r="J180" t="str">
            <v>Pozostałe świad. na rzecz prac.</v>
          </cell>
        </row>
        <row r="181">
          <cell r="A181" t="str">
            <v>12</v>
          </cell>
          <cell r="B181" t="str">
            <v>506 /1-12-522</v>
          </cell>
          <cell r="C181" t="str">
            <v>Skr‘calnia, w.na rz.prac.-nar</v>
          </cell>
          <cell r="D181">
            <v>0</v>
          </cell>
          <cell r="E181">
            <v>0</v>
          </cell>
          <cell r="F181">
            <v>32108.14</v>
          </cell>
          <cell r="G181">
            <v>0</v>
          </cell>
          <cell r="H181">
            <v>32108.14</v>
          </cell>
          <cell r="I181" t="str">
            <v>Pośrednie</v>
          </cell>
          <cell r="J181" t="str">
            <v>Wynagrodzenia pośr. z narz.</v>
          </cell>
        </row>
        <row r="182">
          <cell r="A182" t="str">
            <v>12</v>
          </cell>
          <cell r="B182" t="str">
            <v>506 /1-12-532</v>
          </cell>
          <cell r="C182" t="str">
            <v>Skr‘calnia, w.na rz,prac.-inn</v>
          </cell>
          <cell r="D182">
            <v>0</v>
          </cell>
          <cell r="E182">
            <v>0</v>
          </cell>
          <cell r="F182">
            <v>144.5</v>
          </cell>
          <cell r="G182">
            <v>0</v>
          </cell>
          <cell r="H182">
            <v>144.5</v>
          </cell>
          <cell r="I182" t="str">
            <v>Pośrednie</v>
          </cell>
          <cell r="J182" t="str">
            <v>Pozostałe świad. na rzecz prac.</v>
          </cell>
        </row>
        <row r="183">
          <cell r="A183" t="str">
            <v>12</v>
          </cell>
          <cell r="B183" t="str">
            <v>506 /1-12-800</v>
          </cell>
          <cell r="C183" t="str">
            <v>Skr‘calnia, Koszty zakupu.</v>
          </cell>
          <cell r="D183">
            <v>0</v>
          </cell>
          <cell r="E183">
            <v>0</v>
          </cell>
          <cell r="F183">
            <v>562.14</v>
          </cell>
          <cell r="G183">
            <v>0</v>
          </cell>
          <cell r="H183">
            <v>562.14</v>
          </cell>
          <cell r="I183" t="str">
            <v>Pośrednie</v>
          </cell>
          <cell r="J183" t="str">
            <v>Pozostałe koszty</v>
          </cell>
        </row>
        <row r="184">
          <cell r="A184" t="str">
            <v>13</v>
          </cell>
          <cell r="B184" t="str">
            <v>500 /1-13-111</v>
          </cell>
          <cell r="C184" t="str">
            <v>Farbiarnia, Zu§.surowca</v>
          </cell>
          <cell r="D184">
            <v>5911.1</v>
          </cell>
          <cell r="E184">
            <v>0</v>
          </cell>
          <cell r="F184">
            <v>18551.05</v>
          </cell>
          <cell r="G184">
            <v>-410.45</v>
          </cell>
          <cell r="H184">
            <v>18961.5</v>
          </cell>
          <cell r="I184" t="str">
            <v>Bezpośrednie</v>
          </cell>
          <cell r="J184" t="str">
            <v>Surowiec</v>
          </cell>
        </row>
        <row r="185">
          <cell r="A185" t="str">
            <v>13</v>
          </cell>
          <cell r="B185" t="str">
            <v>500 /1-13-112</v>
          </cell>
          <cell r="C185" t="str">
            <v>Farbiarnia, Zu§.prz‘dzy z zak.</v>
          </cell>
          <cell r="D185">
            <v>6777.73</v>
          </cell>
          <cell r="E185">
            <v>0</v>
          </cell>
          <cell r="F185">
            <v>12583.47</v>
          </cell>
          <cell r="G185">
            <v>-3546.82</v>
          </cell>
          <cell r="H185">
            <v>16130.289999999999</v>
          </cell>
          <cell r="I185" t="str">
            <v>Bezpośrednie</v>
          </cell>
          <cell r="J185" t="str">
            <v>Przędza z zakupu</v>
          </cell>
        </row>
        <row r="186">
          <cell r="A186" t="str">
            <v>13</v>
          </cell>
          <cell r="B186" t="str">
            <v>500 /1-13-121</v>
          </cell>
          <cell r="C186" t="str">
            <v>Farbiarnia, Zu§.barwnik˘w</v>
          </cell>
          <cell r="D186">
            <v>0</v>
          </cell>
          <cell r="E186">
            <v>0</v>
          </cell>
          <cell r="F186">
            <v>462008.29</v>
          </cell>
          <cell r="G186">
            <v>462008.29</v>
          </cell>
          <cell r="H186">
            <v>0</v>
          </cell>
          <cell r="I186" t="str">
            <v>Bezpośrednie</v>
          </cell>
          <cell r="J186" t="str">
            <v>Barwniki i środki pomocnicze</v>
          </cell>
        </row>
        <row r="187">
          <cell r="A187" t="str">
            <v>13</v>
          </cell>
          <cell r="B187" t="str">
            <v>500 /1-13-122</v>
          </cell>
          <cell r="C187" t="str">
            <v>Farbiarnia, Zu§.žr.pomocn.</v>
          </cell>
          <cell r="D187">
            <v>0</v>
          </cell>
          <cell r="E187">
            <v>0</v>
          </cell>
          <cell r="F187">
            <v>98507.07</v>
          </cell>
          <cell r="G187">
            <v>98507.07</v>
          </cell>
          <cell r="H187">
            <v>0</v>
          </cell>
          <cell r="I187" t="str">
            <v>Bezpośrednie</v>
          </cell>
          <cell r="J187" t="str">
            <v>Barwniki i środki pomocnicze</v>
          </cell>
        </row>
        <row r="188">
          <cell r="A188" t="str">
            <v>13</v>
          </cell>
          <cell r="B188" t="str">
            <v>500 /1-13-410</v>
          </cell>
          <cell r="C188" t="str">
            <v>Farbiarnia, Wynagr.-osobowy f.</v>
          </cell>
          <cell r="D188">
            <v>0</v>
          </cell>
          <cell r="E188">
            <v>0</v>
          </cell>
          <cell r="F188">
            <v>143857.34</v>
          </cell>
          <cell r="G188">
            <v>143857.34</v>
          </cell>
          <cell r="H188">
            <v>0</v>
          </cell>
          <cell r="I188" t="str">
            <v>Bezpośrednie</v>
          </cell>
          <cell r="J188" t="str">
            <v>Wynagrodzenia bezp. z narz.</v>
          </cell>
        </row>
        <row r="189">
          <cell r="A189" t="str">
            <v>13</v>
          </cell>
          <cell r="B189" t="str">
            <v>500 /1-13-522</v>
          </cell>
          <cell r="C189" t="str">
            <v>Farbiarnia, Narzuty na p’ace</v>
          </cell>
          <cell r="D189">
            <v>0</v>
          </cell>
          <cell r="E189">
            <v>0</v>
          </cell>
          <cell r="F189">
            <v>63543.78</v>
          </cell>
          <cell r="G189">
            <v>63543.78</v>
          </cell>
          <cell r="H189">
            <v>0</v>
          </cell>
          <cell r="I189" t="str">
            <v>Bezpośrednie</v>
          </cell>
          <cell r="J189" t="str">
            <v>Wynagrodzenia bezp. z narz.</v>
          </cell>
        </row>
        <row r="190">
          <cell r="A190" t="str">
            <v>13</v>
          </cell>
          <cell r="B190" t="str">
            <v>500 /1-13-800</v>
          </cell>
          <cell r="C190" t="str">
            <v>Farbiarnia, Koszty zakupu</v>
          </cell>
          <cell r="D190">
            <v>0</v>
          </cell>
          <cell r="E190">
            <v>0</v>
          </cell>
          <cell r="F190">
            <v>15096.86</v>
          </cell>
          <cell r="G190">
            <v>15096.86</v>
          </cell>
          <cell r="H190">
            <v>0</v>
          </cell>
          <cell r="I190" t="str">
            <v>Bezpośrednie</v>
          </cell>
          <cell r="J190" t="str">
            <v>Koszty zakupu</v>
          </cell>
        </row>
        <row r="191">
          <cell r="A191" t="str">
            <v>13</v>
          </cell>
          <cell r="B191" t="str">
            <v>505 /1-13-114</v>
          </cell>
          <cell r="C191" t="str">
            <v>Farbiarnia, Tkanina</v>
          </cell>
          <cell r="D191">
            <v>0</v>
          </cell>
          <cell r="E191">
            <v>0</v>
          </cell>
          <cell r="F191">
            <v>872.47</v>
          </cell>
          <cell r="G191">
            <v>0</v>
          </cell>
          <cell r="H191">
            <v>872.47</v>
          </cell>
          <cell r="I191" t="str">
            <v>Pośrednie</v>
          </cell>
          <cell r="J191" t="str">
            <v>Pozostałe koszty</v>
          </cell>
        </row>
        <row r="192">
          <cell r="A192" t="str">
            <v>13</v>
          </cell>
          <cell r="B192" t="str">
            <v>505 /1-13-122</v>
          </cell>
          <cell r="C192" t="str">
            <v>Farbiarnia, Zu§.žr.pomocn.</v>
          </cell>
          <cell r="D192">
            <v>0</v>
          </cell>
          <cell r="E192">
            <v>0</v>
          </cell>
          <cell r="F192">
            <v>50.4</v>
          </cell>
          <cell r="G192">
            <v>0</v>
          </cell>
          <cell r="H192">
            <v>50.4</v>
          </cell>
          <cell r="I192" t="str">
            <v>Pośrednie</v>
          </cell>
          <cell r="J192" t="str">
            <v>Pozostałe koszty</v>
          </cell>
        </row>
        <row r="193">
          <cell r="A193" t="str">
            <v>13</v>
          </cell>
          <cell r="B193" t="str">
            <v>505 /1-13-142</v>
          </cell>
          <cell r="C193" t="str">
            <v>Farbiarnia, Mater.pozost.</v>
          </cell>
          <cell r="D193">
            <v>0</v>
          </cell>
          <cell r="E193">
            <v>0</v>
          </cell>
          <cell r="F193">
            <v>3994.26</v>
          </cell>
          <cell r="G193">
            <v>0</v>
          </cell>
          <cell r="H193">
            <v>3994.26</v>
          </cell>
          <cell r="I193" t="str">
            <v>Pośrednie</v>
          </cell>
          <cell r="J193" t="str">
            <v>Pozostałe materiały</v>
          </cell>
        </row>
        <row r="194">
          <cell r="A194" t="str">
            <v>13</v>
          </cell>
          <cell r="B194" t="str">
            <v>505 /1-13-151</v>
          </cell>
          <cell r="C194" t="str">
            <v>Farbiarnia, Zu§.energ.elektr.</v>
          </cell>
          <cell r="D194">
            <v>0</v>
          </cell>
          <cell r="E194">
            <v>0</v>
          </cell>
          <cell r="F194">
            <v>95812.479999999996</v>
          </cell>
          <cell r="G194">
            <v>0</v>
          </cell>
          <cell r="H194">
            <v>95812.479999999996</v>
          </cell>
          <cell r="I194" t="str">
            <v>Pośrednie</v>
          </cell>
          <cell r="J194" t="str">
            <v>Energia elektryczna</v>
          </cell>
        </row>
        <row r="195">
          <cell r="A195" t="str">
            <v>13</v>
          </cell>
          <cell r="B195" t="str">
            <v>505 /1-13-152</v>
          </cell>
          <cell r="C195" t="str">
            <v>Farbiarnia, Zu§.wody</v>
          </cell>
          <cell r="D195">
            <v>0</v>
          </cell>
          <cell r="E195">
            <v>0</v>
          </cell>
          <cell r="F195">
            <v>146878.21</v>
          </cell>
          <cell r="G195">
            <v>0</v>
          </cell>
          <cell r="H195">
            <v>146878.21</v>
          </cell>
          <cell r="I195" t="str">
            <v>Pośrednie</v>
          </cell>
          <cell r="J195" t="str">
            <v>Woda-techn.</v>
          </cell>
        </row>
        <row r="196">
          <cell r="A196" t="str">
            <v>13</v>
          </cell>
          <cell r="B196" t="str">
            <v>505 /1-13-153</v>
          </cell>
          <cell r="C196" t="str">
            <v>Farbiarnia, Zu§.energ.ciepl.</v>
          </cell>
          <cell r="D196">
            <v>0</v>
          </cell>
          <cell r="E196">
            <v>0</v>
          </cell>
          <cell r="F196">
            <v>446533.77</v>
          </cell>
          <cell r="G196">
            <v>0</v>
          </cell>
          <cell r="H196">
            <v>446533.77</v>
          </cell>
          <cell r="I196" t="str">
            <v>Pośrednie</v>
          </cell>
          <cell r="J196" t="str">
            <v>Energia cieplna-techn.</v>
          </cell>
        </row>
        <row r="197">
          <cell r="A197" t="str">
            <v>13</v>
          </cell>
          <cell r="B197" t="str">
            <v>505 /1-13-254</v>
          </cell>
          <cell r="C197" t="str">
            <v>Farbiarnia, Us’.poz.-komunalne</v>
          </cell>
          <cell r="D197">
            <v>0</v>
          </cell>
          <cell r="E197">
            <v>0</v>
          </cell>
          <cell r="F197">
            <v>87022.42</v>
          </cell>
          <cell r="G197">
            <v>0</v>
          </cell>
          <cell r="H197">
            <v>87022.42</v>
          </cell>
          <cell r="I197" t="str">
            <v>Pośrednie</v>
          </cell>
          <cell r="J197" t="str">
            <v>Usługi komunalne</v>
          </cell>
        </row>
        <row r="198">
          <cell r="A198" t="str">
            <v>13</v>
          </cell>
          <cell r="B198" t="str">
            <v>505 /1-13-800</v>
          </cell>
          <cell r="C198" t="str">
            <v>Farbiarnia, k-ty zakupu</v>
          </cell>
          <cell r="D198">
            <v>0</v>
          </cell>
          <cell r="E198">
            <v>0</v>
          </cell>
          <cell r="F198">
            <v>62.36</v>
          </cell>
          <cell r="G198">
            <v>0</v>
          </cell>
          <cell r="H198">
            <v>62.36</v>
          </cell>
          <cell r="I198" t="str">
            <v>Pośrednie</v>
          </cell>
          <cell r="J198" t="str">
            <v>Pozostałe koszty</v>
          </cell>
        </row>
        <row r="199">
          <cell r="A199" t="str">
            <v>13</v>
          </cell>
          <cell r="B199" t="str">
            <v>506 /1-13-010</v>
          </cell>
          <cell r="C199" t="str">
            <v>Farbiarnia, Amortyz.žr.trwa’yc</v>
          </cell>
          <cell r="D199">
            <v>0</v>
          </cell>
          <cell r="E199">
            <v>0</v>
          </cell>
          <cell r="F199">
            <v>51451.66</v>
          </cell>
          <cell r="G199">
            <v>0</v>
          </cell>
          <cell r="H199">
            <v>51451.66</v>
          </cell>
          <cell r="I199" t="str">
            <v>Pośrednie</v>
          </cell>
          <cell r="J199" t="str">
            <v>Amortyzacja środków trwałych</v>
          </cell>
        </row>
        <row r="200">
          <cell r="A200" t="str">
            <v>13</v>
          </cell>
          <cell r="B200" t="str">
            <v>506 /1-13-141</v>
          </cell>
          <cell r="C200" t="str">
            <v>Farbiarnia, Mater.biurowe</v>
          </cell>
          <cell r="D200">
            <v>0</v>
          </cell>
          <cell r="E200">
            <v>0</v>
          </cell>
          <cell r="F200">
            <v>220.66</v>
          </cell>
          <cell r="G200">
            <v>0</v>
          </cell>
          <cell r="H200">
            <v>220.66</v>
          </cell>
          <cell r="I200" t="str">
            <v>Pośrednie</v>
          </cell>
          <cell r="J200" t="str">
            <v>Pozostałe koszty</v>
          </cell>
        </row>
        <row r="201">
          <cell r="A201" t="str">
            <v>13</v>
          </cell>
          <cell r="B201" t="str">
            <v>506 /1-13-142</v>
          </cell>
          <cell r="C201" t="str">
            <v>Farbiarnia, Mater.pozost.</v>
          </cell>
          <cell r="D201">
            <v>0</v>
          </cell>
          <cell r="E201">
            <v>0</v>
          </cell>
          <cell r="F201">
            <v>31216.03</v>
          </cell>
          <cell r="G201">
            <v>0</v>
          </cell>
          <cell r="H201">
            <v>31216.03</v>
          </cell>
          <cell r="I201" t="str">
            <v>Pośrednie</v>
          </cell>
          <cell r="J201" t="str">
            <v>Pozostałe materiały</v>
          </cell>
        </row>
        <row r="202">
          <cell r="A202" t="str">
            <v>13</v>
          </cell>
          <cell r="B202" t="str">
            <v>506 /1-13-152</v>
          </cell>
          <cell r="C202" t="str">
            <v>Farbiarnia, Zu§.wody</v>
          </cell>
          <cell r="D202">
            <v>0</v>
          </cell>
          <cell r="E202">
            <v>0</v>
          </cell>
          <cell r="F202">
            <v>1016.7</v>
          </cell>
          <cell r="G202">
            <v>0</v>
          </cell>
          <cell r="H202">
            <v>1016.7</v>
          </cell>
          <cell r="I202" t="str">
            <v>Pośrednie</v>
          </cell>
          <cell r="J202" t="str">
            <v>Woda-socjal.</v>
          </cell>
        </row>
        <row r="203">
          <cell r="A203" t="str">
            <v>13</v>
          </cell>
          <cell r="B203" t="str">
            <v>506 /1-13-153</v>
          </cell>
          <cell r="C203" t="str">
            <v>Farbiarnia, Zu§.energ.ciepl.</v>
          </cell>
          <cell r="D203">
            <v>0</v>
          </cell>
          <cell r="E203">
            <v>0</v>
          </cell>
          <cell r="F203">
            <v>21615.3</v>
          </cell>
          <cell r="G203">
            <v>0</v>
          </cell>
          <cell r="H203">
            <v>21615.3</v>
          </cell>
          <cell r="I203" t="str">
            <v>Pośrednie</v>
          </cell>
          <cell r="J203" t="str">
            <v>Energia cieplna-ogrzew.</v>
          </cell>
        </row>
        <row r="204">
          <cell r="A204" t="str">
            <v>13</v>
          </cell>
          <cell r="B204" t="str">
            <v>506 /1-13-215</v>
          </cell>
          <cell r="C204" t="str">
            <v>Farbiarnia, Us’.transp.-w’asne</v>
          </cell>
          <cell r="D204">
            <v>0</v>
          </cell>
          <cell r="E204">
            <v>0</v>
          </cell>
          <cell r="F204">
            <v>236.13</v>
          </cell>
          <cell r="G204">
            <v>0</v>
          </cell>
          <cell r="H204">
            <v>236.13</v>
          </cell>
          <cell r="I204" t="str">
            <v>Pośrednie</v>
          </cell>
          <cell r="J204" t="str">
            <v>Pozostałe koszty</v>
          </cell>
        </row>
        <row r="205">
          <cell r="A205" t="str">
            <v>13</v>
          </cell>
          <cell r="B205" t="str">
            <v>506 /1-13-221</v>
          </cell>
          <cell r="C205" t="str">
            <v>Farbiarnia, Us’.rem.-budynki</v>
          </cell>
          <cell r="D205">
            <v>0</v>
          </cell>
          <cell r="E205">
            <v>0</v>
          </cell>
          <cell r="F205">
            <v>17879.38</v>
          </cell>
          <cell r="G205">
            <v>0</v>
          </cell>
          <cell r="H205">
            <v>17879.38</v>
          </cell>
          <cell r="I205" t="str">
            <v>Pośrednie</v>
          </cell>
          <cell r="J205" t="str">
            <v>Remonty budynków i budowli</v>
          </cell>
        </row>
        <row r="206">
          <cell r="A206" t="str">
            <v>13</v>
          </cell>
          <cell r="B206" t="str">
            <v>506 /1-13-224</v>
          </cell>
          <cell r="C206" t="str">
            <v>Farbiarnia, Us’.rem.-masz.i ur</v>
          </cell>
          <cell r="D206">
            <v>0</v>
          </cell>
          <cell r="E206">
            <v>0</v>
          </cell>
          <cell r="F206">
            <v>5886.25</v>
          </cell>
          <cell r="G206">
            <v>0</v>
          </cell>
          <cell r="H206">
            <v>5886.25</v>
          </cell>
          <cell r="I206" t="str">
            <v>Pośrednie</v>
          </cell>
          <cell r="J206" t="str">
            <v>Remonty maszyn i urządzeń</v>
          </cell>
        </row>
        <row r="207">
          <cell r="A207" t="str">
            <v>13</v>
          </cell>
          <cell r="B207" t="str">
            <v>506 /1-13-225</v>
          </cell>
          <cell r="C207" t="str">
            <v>Farbiarnia, Us’.rem.-poz.masz.</v>
          </cell>
          <cell r="D207">
            <v>0</v>
          </cell>
          <cell r="E207">
            <v>0</v>
          </cell>
          <cell r="F207">
            <v>6216.74</v>
          </cell>
          <cell r="G207">
            <v>0</v>
          </cell>
          <cell r="H207">
            <v>6216.74</v>
          </cell>
          <cell r="I207" t="str">
            <v>Pośrednie</v>
          </cell>
          <cell r="J207" t="str">
            <v>Remonty maszyn i urządzeń</v>
          </cell>
        </row>
        <row r="208">
          <cell r="A208" t="str">
            <v>13</v>
          </cell>
          <cell r="B208" t="str">
            <v>506 /1-13-241</v>
          </cell>
          <cell r="C208" t="str">
            <v>Farbiarnia, Us’.’†czn.-rozmowy</v>
          </cell>
          <cell r="D208">
            <v>0</v>
          </cell>
          <cell r="E208">
            <v>0</v>
          </cell>
          <cell r="F208">
            <v>117.54</v>
          </cell>
          <cell r="G208">
            <v>0</v>
          </cell>
          <cell r="H208">
            <v>117.54</v>
          </cell>
          <cell r="I208" t="str">
            <v>Pośrednie</v>
          </cell>
          <cell r="J208" t="str">
            <v>Pozostałe koszty</v>
          </cell>
        </row>
        <row r="209">
          <cell r="A209" t="str">
            <v>13</v>
          </cell>
          <cell r="B209" t="str">
            <v>506 /1-13-251</v>
          </cell>
          <cell r="C209" t="str">
            <v>Farbiarnia, Us’.poz.-admin.-bi</v>
          </cell>
          <cell r="D209">
            <v>0</v>
          </cell>
          <cell r="E209">
            <v>0</v>
          </cell>
          <cell r="F209">
            <v>30.33</v>
          </cell>
          <cell r="G209">
            <v>0</v>
          </cell>
          <cell r="H209">
            <v>30.33</v>
          </cell>
          <cell r="I209" t="str">
            <v>Pośrednie</v>
          </cell>
          <cell r="J209" t="str">
            <v>Pozostałe koszty</v>
          </cell>
        </row>
        <row r="210">
          <cell r="A210" t="str">
            <v>13</v>
          </cell>
          <cell r="B210" t="str">
            <v>506 /1-13-254</v>
          </cell>
          <cell r="C210" t="str">
            <v>Farbiarnia, Us’.poz.-komunalne</v>
          </cell>
          <cell r="D210">
            <v>0</v>
          </cell>
          <cell r="E210">
            <v>0</v>
          </cell>
          <cell r="F210">
            <v>1560.4</v>
          </cell>
          <cell r="G210">
            <v>0</v>
          </cell>
          <cell r="H210">
            <v>1560.4</v>
          </cell>
          <cell r="I210" t="str">
            <v>Pośrednie</v>
          </cell>
          <cell r="J210" t="str">
            <v>Odbiór ścieków</v>
          </cell>
        </row>
        <row r="211">
          <cell r="A211" t="str">
            <v>13</v>
          </cell>
          <cell r="B211" t="str">
            <v>506 /1-13-257</v>
          </cell>
          <cell r="C211" t="str">
            <v>Farbiarnia, Us’.poz.-"Leasing"</v>
          </cell>
          <cell r="D211">
            <v>0</v>
          </cell>
          <cell r="E211">
            <v>0</v>
          </cell>
          <cell r="F211">
            <v>3110.43</v>
          </cell>
          <cell r="G211">
            <v>0</v>
          </cell>
          <cell r="H211">
            <v>3110.43</v>
          </cell>
          <cell r="I211" t="str">
            <v>Pośrednie</v>
          </cell>
          <cell r="J211" t="str">
            <v>Pozostałe koszty</v>
          </cell>
        </row>
        <row r="212">
          <cell r="A212" t="str">
            <v>13</v>
          </cell>
          <cell r="B212" t="str">
            <v>506 /1-13-259</v>
          </cell>
          <cell r="C212" t="str">
            <v>Farbiarnia, Us’.poz.-inne</v>
          </cell>
          <cell r="D212">
            <v>0</v>
          </cell>
          <cell r="E212">
            <v>0</v>
          </cell>
          <cell r="F212">
            <v>304</v>
          </cell>
          <cell r="G212">
            <v>0</v>
          </cell>
          <cell r="H212">
            <v>304</v>
          </cell>
          <cell r="I212" t="str">
            <v>Pośrednie</v>
          </cell>
          <cell r="J212" t="str">
            <v>Pozostałe koszty</v>
          </cell>
        </row>
        <row r="213">
          <cell r="A213" t="str">
            <v>13</v>
          </cell>
          <cell r="B213" t="str">
            <v>506 /1-13-261</v>
          </cell>
          <cell r="C213" t="str">
            <v>Farbiarnia, Rem.w’.-budynki</v>
          </cell>
          <cell r="D213">
            <v>0</v>
          </cell>
          <cell r="E213">
            <v>0</v>
          </cell>
          <cell r="F213">
            <v>21313.31</v>
          </cell>
          <cell r="G213">
            <v>0</v>
          </cell>
          <cell r="H213">
            <v>21313.31</v>
          </cell>
          <cell r="I213" t="str">
            <v>Pośrednie</v>
          </cell>
          <cell r="J213" t="str">
            <v>Remonty budynków i budowli</v>
          </cell>
        </row>
        <row r="214">
          <cell r="A214" t="str">
            <v>13</v>
          </cell>
          <cell r="B214" t="str">
            <v>506 /1-13-264</v>
          </cell>
          <cell r="C214" t="str">
            <v>Farbiarnia, Rem.w’.-masz.i urz</v>
          </cell>
          <cell r="D214">
            <v>0</v>
          </cell>
          <cell r="E214">
            <v>0</v>
          </cell>
          <cell r="F214">
            <v>30607.27</v>
          </cell>
          <cell r="G214">
            <v>0</v>
          </cell>
          <cell r="H214">
            <v>30607.27</v>
          </cell>
          <cell r="I214" t="str">
            <v>Pośrednie</v>
          </cell>
          <cell r="J214" t="str">
            <v>Remonty maszyn i urządzeń</v>
          </cell>
        </row>
        <row r="215">
          <cell r="A215" t="str">
            <v>13</v>
          </cell>
          <cell r="B215" t="str">
            <v>506 /1-13-265</v>
          </cell>
          <cell r="C215" t="str">
            <v>Farbiarnia, Rem.w’.-poz.masz.i</v>
          </cell>
          <cell r="D215">
            <v>0</v>
          </cell>
          <cell r="E215">
            <v>0</v>
          </cell>
          <cell r="F215">
            <v>11114.46</v>
          </cell>
          <cell r="G215">
            <v>0</v>
          </cell>
          <cell r="H215">
            <v>11114.46</v>
          </cell>
          <cell r="I215" t="str">
            <v>Pośrednie</v>
          </cell>
          <cell r="J215" t="str">
            <v>Remonty maszyn i urządzeń</v>
          </cell>
        </row>
        <row r="216">
          <cell r="A216" t="str">
            <v>13</v>
          </cell>
          <cell r="B216" t="str">
            <v>506 /1-13-268</v>
          </cell>
          <cell r="C216" t="str">
            <v>Farbiarnia, Rem.w’.-narz.i prz</v>
          </cell>
          <cell r="D216">
            <v>0</v>
          </cell>
          <cell r="E216">
            <v>0</v>
          </cell>
          <cell r="F216">
            <v>3693.05</v>
          </cell>
          <cell r="G216">
            <v>0</v>
          </cell>
          <cell r="H216">
            <v>3693.05</v>
          </cell>
          <cell r="I216" t="str">
            <v>Pośrednie</v>
          </cell>
          <cell r="J216" t="str">
            <v>Remonty pozostałe</v>
          </cell>
        </row>
        <row r="217">
          <cell r="A217" t="str">
            <v>13</v>
          </cell>
          <cell r="B217" t="str">
            <v>506 /1-13-311</v>
          </cell>
          <cell r="C217" t="str">
            <v>Farbiarnia, Podatek od nieruch</v>
          </cell>
          <cell r="D217">
            <v>0</v>
          </cell>
          <cell r="E217">
            <v>0</v>
          </cell>
          <cell r="F217">
            <v>16524</v>
          </cell>
          <cell r="G217">
            <v>0</v>
          </cell>
          <cell r="H217">
            <v>16524</v>
          </cell>
          <cell r="I217" t="str">
            <v>Pośrednie</v>
          </cell>
          <cell r="J217" t="str">
            <v>Podatek od nieruchomości</v>
          </cell>
        </row>
        <row r="218">
          <cell r="A218" t="str">
            <v>13</v>
          </cell>
          <cell r="B218" t="str">
            <v>506 /1-13-312</v>
          </cell>
          <cell r="C218" t="str">
            <v>Farbiarnia, Podatek gruntowy</v>
          </cell>
          <cell r="D218">
            <v>0</v>
          </cell>
          <cell r="E218">
            <v>0</v>
          </cell>
          <cell r="F218">
            <v>416.35</v>
          </cell>
          <cell r="G218">
            <v>0</v>
          </cell>
          <cell r="H218">
            <v>416.35</v>
          </cell>
          <cell r="I218" t="str">
            <v>Pośrednie</v>
          </cell>
          <cell r="J218" t="str">
            <v>Pozostałe koszty</v>
          </cell>
        </row>
        <row r="219">
          <cell r="A219" t="str">
            <v>13</v>
          </cell>
          <cell r="B219" t="str">
            <v>506 /1-13-322</v>
          </cell>
          <cell r="C219" t="str">
            <v>Farbiarnia, Op’aty pozosta’e</v>
          </cell>
          <cell r="D219">
            <v>0</v>
          </cell>
          <cell r="E219">
            <v>0</v>
          </cell>
          <cell r="F219">
            <v>17820</v>
          </cell>
          <cell r="G219">
            <v>0</v>
          </cell>
          <cell r="H219">
            <v>17820</v>
          </cell>
          <cell r="I219" t="str">
            <v>Pośrednie</v>
          </cell>
          <cell r="J219" t="str">
            <v>Pozostałe opłaty</v>
          </cell>
        </row>
        <row r="220">
          <cell r="A220" t="str">
            <v>13</v>
          </cell>
          <cell r="B220" t="str">
            <v>506 /1-13-410</v>
          </cell>
          <cell r="C220" t="str">
            <v>Farbiarnia, Wynagr.-osobowy f.</v>
          </cell>
          <cell r="D220">
            <v>0</v>
          </cell>
          <cell r="E220">
            <v>0</v>
          </cell>
          <cell r="F220">
            <v>86333.5</v>
          </cell>
          <cell r="G220">
            <v>0</v>
          </cell>
          <cell r="H220">
            <v>86333.5</v>
          </cell>
          <cell r="I220" t="str">
            <v>Pośrednie</v>
          </cell>
          <cell r="J220" t="str">
            <v>Wynagrodzenia pośr. z narz.</v>
          </cell>
        </row>
        <row r="221">
          <cell r="A221" t="str">
            <v>13</v>
          </cell>
          <cell r="B221" t="str">
            <v>506 /1-13-511</v>
          </cell>
          <cell r="C221" t="str">
            <v>Farbiarnia, w.na rz.prac.-BHP</v>
          </cell>
          <cell r="D221">
            <v>0</v>
          </cell>
          <cell r="E221">
            <v>0</v>
          </cell>
          <cell r="F221">
            <v>4953.01</v>
          </cell>
          <cell r="G221">
            <v>0</v>
          </cell>
          <cell r="H221">
            <v>4953.01</v>
          </cell>
          <cell r="I221" t="str">
            <v>Pośrednie</v>
          </cell>
          <cell r="J221" t="str">
            <v>Pozostałe świad. na rzecz prac.</v>
          </cell>
        </row>
        <row r="222">
          <cell r="A222" t="str">
            <v>13</v>
          </cell>
          <cell r="B222" t="str">
            <v>506 /1-13-521</v>
          </cell>
          <cell r="C222" t="str">
            <v>Farbiarnia, w.na rz.prac.-nal</v>
          </cell>
          <cell r="D222">
            <v>0</v>
          </cell>
          <cell r="E222">
            <v>0</v>
          </cell>
          <cell r="F222">
            <v>9036.09</v>
          </cell>
          <cell r="G222">
            <v>0</v>
          </cell>
          <cell r="H222">
            <v>9036.09</v>
          </cell>
          <cell r="I222" t="str">
            <v>Pośrednie</v>
          </cell>
          <cell r="J222" t="str">
            <v>Pozostałe świad. na rzecz prac.</v>
          </cell>
        </row>
        <row r="223">
          <cell r="A223" t="str">
            <v>13</v>
          </cell>
          <cell r="B223" t="str">
            <v>506 /1-13-522</v>
          </cell>
          <cell r="C223" t="str">
            <v>Farbiarnia, w.na rz.prac.-nar</v>
          </cell>
          <cell r="D223">
            <v>0</v>
          </cell>
          <cell r="E223">
            <v>0</v>
          </cell>
          <cell r="F223">
            <v>38178.82</v>
          </cell>
          <cell r="G223">
            <v>0</v>
          </cell>
          <cell r="H223">
            <v>38178.82</v>
          </cell>
          <cell r="I223" t="str">
            <v>Pośrednie</v>
          </cell>
          <cell r="J223" t="str">
            <v>Wynagrodzenia pośr. z narz.</v>
          </cell>
        </row>
        <row r="224">
          <cell r="A224" t="str">
            <v>13</v>
          </cell>
          <cell r="B224" t="str">
            <v>506 /1-13-531</v>
          </cell>
          <cell r="C224" t="str">
            <v>Farbiarnia, w.na rz.prac.-szk</v>
          </cell>
          <cell r="D224">
            <v>0</v>
          </cell>
          <cell r="E224">
            <v>0</v>
          </cell>
          <cell r="F224">
            <v>366</v>
          </cell>
          <cell r="G224">
            <v>0</v>
          </cell>
          <cell r="H224">
            <v>366</v>
          </cell>
          <cell r="I224" t="str">
            <v>Pośrednie</v>
          </cell>
          <cell r="J224" t="str">
            <v>Pozostałe świad. na rzecz prac.</v>
          </cell>
        </row>
        <row r="225">
          <cell r="A225" t="str">
            <v>13</v>
          </cell>
          <cell r="B225" t="str">
            <v>506 /1-13-532</v>
          </cell>
          <cell r="C225" t="str">
            <v>Farbiarnia, w.na rz.prac.-inn</v>
          </cell>
          <cell r="D225">
            <v>0</v>
          </cell>
          <cell r="E225">
            <v>0</v>
          </cell>
          <cell r="F225">
            <v>1699.4</v>
          </cell>
          <cell r="G225">
            <v>0</v>
          </cell>
          <cell r="H225">
            <v>1699.4</v>
          </cell>
          <cell r="I225" t="str">
            <v>Pośrednie</v>
          </cell>
          <cell r="J225" t="str">
            <v>Pozostałe świad. na rzecz prac.</v>
          </cell>
        </row>
        <row r="226">
          <cell r="A226" t="str">
            <v>13</v>
          </cell>
          <cell r="B226" t="str">
            <v>506 /1-13-761</v>
          </cell>
          <cell r="C226" t="str">
            <v>Farbiarnia, Ubezp.maj†tkowe</v>
          </cell>
          <cell r="D226">
            <v>0</v>
          </cell>
          <cell r="E226">
            <v>0</v>
          </cell>
          <cell r="F226">
            <v>165.08</v>
          </cell>
          <cell r="G226">
            <v>0</v>
          </cell>
          <cell r="H226">
            <v>165.08</v>
          </cell>
          <cell r="I226" t="str">
            <v>Pośrednie</v>
          </cell>
          <cell r="J226" t="str">
            <v>Pozostałe koszty</v>
          </cell>
        </row>
        <row r="227">
          <cell r="A227" t="str">
            <v>13</v>
          </cell>
          <cell r="B227" t="str">
            <v>506 /1-13-800</v>
          </cell>
          <cell r="C227" t="str">
            <v>Farbiarnia, Koszty zakupu.</v>
          </cell>
          <cell r="D227">
            <v>0</v>
          </cell>
          <cell r="E227">
            <v>0</v>
          </cell>
          <cell r="F227">
            <v>777.98</v>
          </cell>
          <cell r="G227">
            <v>0</v>
          </cell>
          <cell r="H227">
            <v>777.98</v>
          </cell>
          <cell r="I227" t="str">
            <v>Pośrednie</v>
          </cell>
          <cell r="J227" t="str">
            <v>Pozostałe koszty</v>
          </cell>
        </row>
        <row r="228">
          <cell r="A228" t="str">
            <v>16</v>
          </cell>
          <cell r="B228" t="str">
            <v>500 /1-16-000</v>
          </cell>
          <cell r="C228" t="str">
            <v>Dziewiarnia, Roboty w toku</v>
          </cell>
          <cell r="D228">
            <v>0</v>
          </cell>
          <cell r="E228">
            <v>0</v>
          </cell>
          <cell r="F228">
            <v>67996.210000000006</v>
          </cell>
          <cell r="G228">
            <v>0</v>
          </cell>
          <cell r="H228">
            <v>-67996.210000000006</v>
          </cell>
          <cell r="I228" t="str">
            <v>Bezpośrednie</v>
          </cell>
          <cell r="J228" t="str">
            <v>Produkcja w toku</v>
          </cell>
        </row>
        <row r="229">
          <cell r="A229" t="str">
            <v>16</v>
          </cell>
          <cell r="B229" t="str">
            <v>500 /1-16-112</v>
          </cell>
          <cell r="C229" t="str">
            <v>Dziewiarnia, Zu§.prz‘dzy z zak</v>
          </cell>
          <cell r="D229">
            <v>0</v>
          </cell>
          <cell r="E229">
            <v>0</v>
          </cell>
          <cell r="F229">
            <v>128337.27</v>
          </cell>
          <cell r="G229">
            <v>0</v>
          </cell>
          <cell r="H229">
            <v>128337.27</v>
          </cell>
          <cell r="I229" t="str">
            <v>Bezpośrednie</v>
          </cell>
          <cell r="J229" t="str">
            <v>Przędza z zakupu</v>
          </cell>
        </row>
        <row r="230">
          <cell r="A230" t="str">
            <v>16</v>
          </cell>
          <cell r="B230" t="str">
            <v>500 /1-16-410</v>
          </cell>
          <cell r="C230" t="str">
            <v>Dziewiarnia, Wynagr.-osobowy f</v>
          </cell>
          <cell r="D230">
            <v>0</v>
          </cell>
          <cell r="E230">
            <v>0</v>
          </cell>
          <cell r="F230">
            <v>5210.5</v>
          </cell>
          <cell r="G230">
            <v>0</v>
          </cell>
          <cell r="H230">
            <v>5210.5</v>
          </cell>
          <cell r="I230" t="str">
            <v>Bezpośrednie</v>
          </cell>
          <cell r="J230" t="str">
            <v>Wynagrodzenia bezp. z narz.</v>
          </cell>
        </row>
        <row r="231">
          <cell r="A231" t="str">
            <v>16</v>
          </cell>
          <cell r="B231" t="str">
            <v>500 /1-16-522</v>
          </cell>
          <cell r="C231" t="str">
            <v>Dziewiarnia, w.na rz.prac.-na</v>
          </cell>
          <cell r="D231">
            <v>0</v>
          </cell>
          <cell r="E231">
            <v>0</v>
          </cell>
          <cell r="F231">
            <v>2252.59</v>
          </cell>
          <cell r="G231">
            <v>0</v>
          </cell>
          <cell r="H231">
            <v>2252.59</v>
          </cell>
          <cell r="I231" t="str">
            <v>Bezpośrednie</v>
          </cell>
          <cell r="J231" t="str">
            <v>Wynagrodzenia bezp. z narz.</v>
          </cell>
        </row>
        <row r="232">
          <cell r="A232" t="str">
            <v>16</v>
          </cell>
          <cell r="B232" t="str">
            <v>500 /1-16-800</v>
          </cell>
          <cell r="C232" t="str">
            <v>Dziewiarnia,Koszty zakupu</v>
          </cell>
          <cell r="D232">
            <v>0</v>
          </cell>
          <cell r="E232">
            <v>0</v>
          </cell>
          <cell r="F232">
            <v>1254.46</v>
          </cell>
          <cell r="G232">
            <v>0</v>
          </cell>
          <cell r="H232">
            <v>1254.46</v>
          </cell>
          <cell r="I232" t="str">
            <v>Bezpośrednie</v>
          </cell>
          <cell r="J232" t="str">
            <v>Koszty zakupu</v>
          </cell>
        </row>
        <row r="233">
          <cell r="A233" t="str">
            <v>16</v>
          </cell>
          <cell r="B233" t="str">
            <v>505 /1-16-212</v>
          </cell>
          <cell r="C233" t="str">
            <v>Dziewiarnia, Us’.transp.-samoc</v>
          </cell>
          <cell r="D233">
            <v>0</v>
          </cell>
          <cell r="E233">
            <v>0</v>
          </cell>
          <cell r="F233">
            <v>400.5</v>
          </cell>
          <cell r="G233">
            <v>0</v>
          </cell>
          <cell r="H233">
            <v>400.5</v>
          </cell>
          <cell r="I233" t="str">
            <v>Pośrednie</v>
          </cell>
          <cell r="J233" t="str">
            <v>Pozostałe koszty</v>
          </cell>
        </row>
        <row r="234">
          <cell r="A234" t="str">
            <v>16</v>
          </cell>
          <cell r="B234" t="str">
            <v>505 /1-16-234</v>
          </cell>
          <cell r="C234" t="str">
            <v>Dziewiarnia, Obr.obca-dzianie</v>
          </cell>
          <cell r="D234">
            <v>0</v>
          </cell>
          <cell r="E234">
            <v>0</v>
          </cell>
          <cell r="F234">
            <v>47327.61</v>
          </cell>
          <cell r="G234">
            <v>0</v>
          </cell>
          <cell r="H234">
            <v>47327.61</v>
          </cell>
          <cell r="I234" t="str">
            <v>Pośrednie</v>
          </cell>
          <cell r="J234" t="str">
            <v>Dzianie-obce</v>
          </cell>
        </row>
        <row r="235">
          <cell r="A235" t="str">
            <v>16</v>
          </cell>
          <cell r="B235" t="str">
            <v>506 /1-16-142</v>
          </cell>
          <cell r="C235" t="str">
            <v>Dziewiarnia, Mater.pozost.</v>
          </cell>
          <cell r="D235">
            <v>0</v>
          </cell>
          <cell r="E235">
            <v>0</v>
          </cell>
          <cell r="F235">
            <v>98.4</v>
          </cell>
          <cell r="G235">
            <v>0</v>
          </cell>
          <cell r="H235">
            <v>98.4</v>
          </cell>
          <cell r="I235" t="str">
            <v>Pośrednie</v>
          </cell>
          <cell r="J235" t="str">
            <v>Pozostałe materiały</v>
          </cell>
        </row>
        <row r="236">
          <cell r="A236" t="str">
            <v>16</v>
          </cell>
          <cell r="B236" t="str">
            <v>506 /1-16-259</v>
          </cell>
          <cell r="C236" t="str">
            <v>Dziewiarnia, Us’.poz.-inne</v>
          </cell>
          <cell r="D236">
            <v>0</v>
          </cell>
          <cell r="E236">
            <v>0</v>
          </cell>
          <cell r="F236">
            <v>521</v>
          </cell>
          <cell r="G236">
            <v>0</v>
          </cell>
          <cell r="H236">
            <v>521</v>
          </cell>
          <cell r="I236" t="str">
            <v>Pośrednie</v>
          </cell>
          <cell r="J236" t="str">
            <v>Pozostałe koszty</v>
          </cell>
        </row>
        <row r="237">
          <cell r="A237" t="str">
            <v>16</v>
          </cell>
          <cell r="B237" t="str">
            <v>506 /1-16-264</v>
          </cell>
          <cell r="C237" t="str">
            <v>Dziewiarnia, Rem.w’.-masz.i ur</v>
          </cell>
          <cell r="D237">
            <v>0</v>
          </cell>
          <cell r="E237">
            <v>0</v>
          </cell>
          <cell r="F237">
            <v>18108.349999999999</v>
          </cell>
          <cell r="G237">
            <v>0</v>
          </cell>
          <cell r="H237">
            <v>18108.349999999999</v>
          </cell>
          <cell r="I237" t="str">
            <v>Pośrednie</v>
          </cell>
          <cell r="J237" t="str">
            <v>Remonty maszyn i urządzeń</v>
          </cell>
        </row>
        <row r="238">
          <cell r="A238" t="str">
            <v>16</v>
          </cell>
          <cell r="B238" t="str">
            <v>506 /1-16-410</v>
          </cell>
          <cell r="C238" t="str">
            <v>Dziewiarnia, Wynagr.-osobowy f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 t="str">
            <v>Pośrednie</v>
          </cell>
          <cell r="J238" t="str">
            <v>Wynagrodzenia pośr. z narz.</v>
          </cell>
        </row>
        <row r="239">
          <cell r="A239" t="str">
            <v>16</v>
          </cell>
          <cell r="B239" t="str">
            <v>506 /1-16-420</v>
          </cell>
          <cell r="C239" t="str">
            <v>Dziewiarnia, Wynagr.-bezosob.f</v>
          </cell>
          <cell r="D239">
            <v>0</v>
          </cell>
          <cell r="E239">
            <v>0</v>
          </cell>
          <cell r="F239">
            <v>1800</v>
          </cell>
          <cell r="G239">
            <v>0</v>
          </cell>
          <cell r="H239">
            <v>1800</v>
          </cell>
          <cell r="I239" t="str">
            <v>Pośrednie</v>
          </cell>
          <cell r="J239" t="str">
            <v>Pozostałe koszty</v>
          </cell>
        </row>
        <row r="240">
          <cell r="A240" t="str">
            <v>16</v>
          </cell>
          <cell r="B240" t="str">
            <v>506 /1-16-800</v>
          </cell>
          <cell r="C240" t="str">
            <v>Dziewiarnia,Koszty zakupu.</v>
          </cell>
          <cell r="D240">
            <v>0</v>
          </cell>
          <cell r="E240">
            <v>0</v>
          </cell>
          <cell r="F240">
            <v>4.99</v>
          </cell>
          <cell r="G240">
            <v>0</v>
          </cell>
          <cell r="H240">
            <v>4.99</v>
          </cell>
          <cell r="I240" t="str">
            <v>Pośrednie</v>
          </cell>
          <cell r="J240" t="str">
            <v>Pozostałe koszty</v>
          </cell>
        </row>
        <row r="241">
          <cell r="A241" t="str">
            <v>17</v>
          </cell>
          <cell r="B241" t="str">
            <v>500 /1-17-000</v>
          </cell>
          <cell r="C241" t="str">
            <v>Wyko¤cz.Dziew., Roboty w toku</v>
          </cell>
          <cell r="D241">
            <v>0</v>
          </cell>
          <cell r="E241">
            <v>0</v>
          </cell>
          <cell r="F241">
            <v>4684.17</v>
          </cell>
          <cell r="G241">
            <v>0</v>
          </cell>
          <cell r="H241">
            <v>-4684.17</v>
          </cell>
          <cell r="I241" t="str">
            <v>Bezpośrednie</v>
          </cell>
          <cell r="J241" t="str">
            <v>Produkcja w toku</v>
          </cell>
        </row>
        <row r="242">
          <cell r="A242" t="str">
            <v>17</v>
          </cell>
          <cell r="B242" t="str">
            <v>500 /1-17-122</v>
          </cell>
          <cell r="C242" t="str">
            <v>Wyko¤cz.Dziew., Zu§.žr.pomocn.</v>
          </cell>
          <cell r="D242">
            <v>0</v>
          </cell>
          <cell r="E242">
            <v>0</v>
          </cell>
          <cell r="F242">
            <v>14887.46</v>
          </cell>
          <cell r="G242">
            <v>0</v>
          </cell>
          <cell r="H242">
            <v>14887.46</v>
          </cell>
          <cell r="I242" t="str">
            <v>Bezpośrednie</v>
          </cell>
          <cell r="J242" t="str">
            <v>Barwniki i środki pomocnicze</v>
          </cell>
        </row>
        <row r="243">
          <cell r="A243" t="str">
            <v>17</v>
          </cell>
          <cell r="B243" t="str">
            <v>500 /1-17-813</v>
          </cell>
          <cell r="C243" t="str">
            <v>Wyko¤cz,Dziew.Us’.Frbiarni</v>
          </cell>
          <cell r="D243">
            <v>0</v>
          </cell>
          <cell r="E243">
            <v>0</v>
          </cell>
          <cell r="F243">
            <v>10177.040000000001</v>
          </cell>
          <cell r="G243">
            <v>0</v>
          </cell>
          <cell r="H243">
            <v>10177.040000000001</v>
          </cell>
          <cell r="I243" t="str">
            <v>Bezpośrednie</v>
          </cell>
          <cell r="J243" t="str">
            <v>Usługi Farbiarni</v>
          </cell>
        </row>
        <row r="244">
          <cell r="A244" t="str">
            <v>17</v>
          </cell>
          <cell r="B244" t="str">
            <v>506 /1-17-142</v>
          </cell>
          <cell r="C244" t="str">
            <v>Wyko¤cz.Dziew., Mater.pozost.</v>
          </cell>
          <cell r="D244">
            <v>0</v>
          </cell>
          <cell r="E244">
            <v>0</v>
          </cell>
          <cell r="F244">
            <v>4789.3500000000004</v>
          </cell>
          <cell r="G244">
            <v>0</v>
          </cell>
          <cell r="H244">
            <v>4789.3500000000004</v>
          </cell>
          <cell r="I244" t="str">
            <v>Pośrednie</v>
          </cell>
          <cell r="J244" t="str">
            <v>Pozostałe materiały</v>
          </cell>
        </row>
        <row r="245">
          <cell r="A245" t="str">
            <v>17</v>
          </cell>
          <cell r="B245" t="str">
            <v>506 /1-17-800</v>
          </cell>
          <cell r="C245" t="str">
            <v>Wyko¤cz.Dziew.,Koszty zakupu</v>
          </cell>
          <cell r="D245">
            <v>0</v>
          </cell>
          <cell r="E245">
            <v>0</v>
          </cell>
          <cell r="F245">
            <v>243</v>
          </cell>
          <cell r="G245">
            <v>0</v>
          </cell>
          <cell r="H245">
            <v>243</v>
          </cell>
          <cell r="I245" t="str">
            <v>Pośrednie</v>
          </cell>
          <cell r="J245" t="str">
            <v>Pozostałe koszty</v>
          </cell>
        </row>
        <row r="246">
          <cell r="A246" t="str">
            <v>11</v>
          </cell>
          <cell r="B246" t="str">
            <v>500 /1-11-900</v>
          </cell>
          <cell r="C246" t="str">
            <v>Prz‘dzalnia, Przen.k.zmiennych</v>
          </cell>
          <cell r="D246">
            <v>0</v>
          </cell>
          <cell r="E246">
            <v>0</v>
          </cell>
          <cell r="F246">
            <v>246367.92</v>
          </cell>
          <cell r="G246">
            <v>0</v>
          </cell>
          <cell r="H246">
            <v>0</v>
          </cell>
          <cell r="I246" t="str">
            <v>Pośrednie</v>
          </cell>
          <cell r="J246" t="str">
            <v>Koszty wydz. na usługi na zewnątrz.</v>
          </cell>
        </row>
        <row r="247">
          <cell r="A247" t="str">
            <v>11</v>
          </cell>
          <cell r="B247" t="str">
            <v>500 /1-11-901</v>
          </cell>
          <cell r="C247" t="str">
            <v>Prz‘dzalnia, Przen.k.sta’ych</v>
          </cell>
          <cell r="D247">
            <v>0</v>
          </cell>
          <cell r="E247">
            <v>0</v>
          </cell>
          <cell r="F247">
            <v>1067712.95</v>
          </cell>
          <cell r="G247">
            <v>0</v>
          </cell>
          <cell r="H247">
            <v>0</v>
          </cell>
          <cell r="I247" t="str">
            <v>Pośrednie</v>
          </cell>
          <cell r="J247" t="str">
            <v>Koszty wydz. na usługi na zewnątrz.</v>
          </cell>
        </row>
        <row r="248">
          <cell r="A248" t="str">
            <v>12</v>
          </cell>
          <cell r="B248" t="str">
            <v>500 /1-12-900</v>
          </cell>
          <cell r="C248" t="str">
            <v>Skr‘calnia, Przen.k.zmiennych</v>
          </cell>
          <cell r="D248">
            <v>0</v>
          </cell>
          <cell r="E248">
            <v>0</v>
          </cell>
          <cell r="F248">
            <v>13268.05</v>
          </cell>
          <cell r="G248">
            <v>2473.56</v>
          </cell>
          <cell r="H248">
            <v>-2473.56</v>
          </cell>
          <cell r="I248" t="str">
            <v>Pośrednie</v>
          </cell>
          <cell r="J248" t="str">
            <v>Koszty wydz. na usługi na zewnątrz.</v>
          </cell>
        </row>
        <row r="249">
          <cell r="A249" t="str">
            <v>12</v>
          </cell>
          <cell r="B249" t="str">
            <v>500 /1-12-901</v>
          </cell>
          <cell r="C249" t="str">
            <v>Skr‘calnia, Przen.k.sta’ych</v>
          </cell>
          <cell r="D249">
            <v>0</v>
          </cell>
          <cell r="E249">
            <v>0</v>
          </cell>
          <cell r="F249">
            <v>199754.87</v>
          </cell>
          <cell r="G249">
            <v>0</v>
          </cell>
          <cell r="H249">
            <v>0</v>
          </cell>
          <cell r="I249" t="str">
            <v>Pośrednie</v>
          </cell>
          <cell r="J249" t="str">
            <v>Koszty wydz. na usługi na zewnątrz.</v>
          </cell>
        </row>
        <row r="250">
          <cell r="A250" t="str">
            <v>14</v>
          </cell>
          <cell r="B250" t="str">
            <v>500 /1-14-900</v>
          </cell>
          <cell r="C250" t="str">
            <v>Tkalnia, Przen.k.zmiennych</v>
          </cell>
          <cell r="D250">
            <v>0</v>
          </cell>
          <cell r="E250">
            <v>0</v>
          </cell>
          <cell r="F250">
            <v>85121.3</v>
          </cell>
          <cell r="G250">
            <v>10818.18</v>
          </cell>
          <cell r="H250">
            <v>-10818.18</v>
          </cell>
          <cell r="I250" t="str">
            <v>Pośrednie</v>
          </cell>
          <cell r="J250" t="str">
            <v>Koszty wydz. na usługi na zewnątrz.</v>
          </cell>
        </row>
        <row r="251">
          <cell r="A251" t="str">
            <v>14</v>
          </cell>
          <cell r="B251" t="str">
            <v>500 /1-14-901</v>
          </cell>
          <cell r="C251" t="str">
            <v>Tkalnia, Przen.k.sta’ych</v>
          </cell>
          <cell r="D251">
            <v>0</v>
          </cell>
          <cell r="E251">
            <v>0</v>
          </cell>
          <cell r="F251">
            <v>1336222.58</v>
          </cell>
          <cell r="G251">
            <v>33782.04</v>
          </cell>
          <cell r="H251">
            <v>-33782.04</v>
          </cell>
          <cell r="I251" t="str">
            <v>Pośrednie</v>
          </cell>
          <cell r="J251" t="str">
            <v>Koszty wydz. na usługi na zewnątrz.</v>
          </cell>
        </row>
        <row r="252">
          <cell r="A252" t="str">
            <v>15</v>
          </cell>
          <cell r="B252" t="str">
            <v>500 /1-15-900</v>
          </cell>
          <cell r="C252" t="str">
            <v>Wyko¤czalnia, Przen.k.zmiennych</v>
          </cell>
          <cell r="D252">
            <v>0</v>
          </cell>
          <cell r="E252">
            <v>0</v>
          </cell>
          <cell r="F252">
            <v>239194.07</v>
          </cell>
          <cell r="G252">
            <v>1191.76</v>
          </cell>
          <cell r="H252">
            <v>-1191.76</v>
          </cell>
          <cell r="I252" t="str">
            <v>Pośrednie</v>
          </cell>
          <cell r="J252" t="str">
            <v>Koszty wydz. na usługi na zewnątrz.</v>
          </cell>
        </row>
        <row r="253">
          <cell r="A253" t="str">
            <v>15</v>
          </cell>
          <cell r="B253" t="str">
            <v>500 /1-15-901</v>
          </cell>
          <cell r="C253" t="str">
            <v>Wyko¤czalnia, Przen.k.sta’ych</v>
          </cell>
          <cell r="D253">
            <v>0</v>
          </cell>
          <cell r="E253">
            <v>0</v>
          </cell>
          <cell r="F253">
            <v>302970.12</v>
          </cell>
          <cell r="G253">
            <v>0</v>
          </cell>
          <cell r="H253">
            <v>0</v>
          </cell>
          <cell r="I253" t="str">
            <v>Pośrednie</v>
          </cell>
          <cell r="J253" t="str">
            <v>Koszty wydz. na usługi na zewnątrz.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moduły"/>
      <sheetName val="Arkusz2"/>
      <sheetName val="Arkusz3"/>
    </sheetNames>
    <sheetDataSet>
      <sheetData sheetId="0"/>
      <sheetData sheetId="1"/>
      <sheetData sheetId="2">
        <row r="4">
          <cell r="B4" t="str">
            <v>Roboty i materiały budowalne</v>
          </cell>
        </row>
        <row r="5">
          <cell r="B5" t="str">
            <v>Środki trwałe</v>
          </cell>
        </row>
        <row r="6">
          <cell r="B6" t="str">
            <v>WNiP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 change"/>
      <sheetName val="carb 3rd"/>
      <sheetName val="Kr All unconstrain.demand I v.1"/>
      <sheetName val="Kr All unconstrain.demand I "/>
      <sheetName val="Kr All constrain.demand I"/>
      <sheetName val="tks halb constr I (2)"/>
      <sheetName val="all"/>
      <sheetName val="all (2)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moduły"/>
      <sheetName val="Arkusz2"/>
      <sheetName val="Arkusz3"/>
    </sheetNames>
    <sheetDataSet>
      <sheetData sheetId="0"/>
      <sheetData sheetId="1"/>
      <sheetData sheetId="2">
        <row r="4">
          <cell r="B4" t="str">
            <v>Roboty i materiały budowalne</v>
          </cell>
        </row>
        <row r="5">
          <cell r="B5" t="str">
            <v>Środki trwałe</v>
          </cell>
        </row>
        <row r="6">
          <cell r="B6" t="str">
            <v>WNiP</v>
          </cell>
        </row>
      </sheetData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"/>
      <sheetName val="Opłacalność_tys"/>
      <sheetName val="Tabele_tys"/>
      <sheetName val="HRF"/>
      <sheetName val="Gantt"/>
      <sheetName val="Powierzchnia"/>
      <sheetName val="Nakłady_Huber"/>
      <sheetName val="założenia"/>
      <sheetName val="Opłacalność"/>
      <sheetName val="Tabele"/>
      <sheetName val="Koszty"/>
      <sheetName val="Energia_Elektr"/>
      <sheetName val="Inwest_Amort"/>
      <sheetName val="HARM I VAT"/>
      <sheetName val="Kredyt"/>
      <sheetName val="Kapitał_Obrotowy"/>
      <sheetName val="VAT  z działalności oper"/>
      <sheetName val="wniosek"/>
    </sheetNames>
    <sheetDataSet>
      <sheetData sheetId="0"/>
      <sheetData sheetId="1"/>
      <sheetData sheetId="2"/>
      <sheetData sheetId="3"/>
      <sheetData sheetId="4">
        <row r="2">
          <cell r="H2">
            <v>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ożenia"/>
      <sheetName val="koszty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YNEK"/>
      <sheetName val="OBMIAR"/>
      <sheetName val="PARKING"/>
      <sheetName val="PAR.OBM."/>
      <sheetName val="POW"/>
      <sheetName val="PART"/>
      <sheetName val="DYSC"/>
      <sheetName val="GTC"/>
      <sheetName val="ELEKT."/>
      <sheetName val="POW."/>
      <sheetName val="Loan Schedule1"/>
    </sheetNames>
    <sheetDataSet>
      <sheetData sheetId="0"/>
      <sheetData sheetId="1"/>
      <sheetData sheetId="2"/>
      <sheetData sheetId="3"/>
      <sheetData sheetId="4" refreshError="1">
        <row r="2">
          <cell r="A2" t="str">
            <v>Office</v>
          </cell>
          <cell r="B2">
            <v>123</v>
          </cell>
          <cell r="C2" t="str">
            <v>Office</v>
          </cell>
          <cell r="D2">
            <v>100</v>
          </cell>
        </row>
        <row r="3">
          <cell r="A3" t="str">
            <v>Parking</v>
          </cell>
          <cell r="B3">
            <v>234</v>
          </cell>
          <cell r="C3" t="str">
            <v>Parking</v>
          </cell>
          <cell r="D3">
            <v>100</v>
          </cell>
        </row>
        <row r="4">
          <cell r="A4" t="str">
            <v>Hotel</v>
          </cell>
          <cell r="B4">
            <v>456</v>
          </cell>
          <cell r="C4" t="str">
            <v>Hotel</v>
          </cell>
          <cell r="D4">
            <v>100</v>
          </cell>
        </row>
        <row r="5">
          <cell r="A5" t="str">
            <v>Retail</v>
          </cell>
          <cell r="B5">
            <v>456</v>
          </cell>
          <cell r="C5" t="str">
            <v>Retail</v>
          </cell>
          <cell r="D5">
            <v>100</v>
          </cell>
        </row>
        <row r="6">
          <cell r="A6" t="str">
            <v>Cinema</v>
          </cell>
          <cell r="B6">
            <v>432</v>
          </cell>
          <cell r="C6" t="str">
            <v>Cinema</v>
          </cell>
          <cell r="D6">
            <v>100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gdynia"/>
      <sheetName val="current budget SD 11"/>
      <sheetName val="beg"/>
      <sheetName val="Factors "/>
      <sheetName val="Sheet2"/>
      <sheetName val="Areas"/>
      <sheetName val=" Design 31 07 Variation to SD0"/>
      <sheetName val="SD 10_SD11"/>
      <sheetName val="Sheet3"/>
      <sheetName val="Sheet1"/>
      <sheetName val="V &amp; P"/>
      <sheetName val="Lifts"/>
      <sheetName val="changes"/>
      <sheetName val="Arch. Finishes &amp; Light Fittings"/>
      <sheetName val="Electrical"/>
      <sheetName val="Plumbing"/>
      <sheetName val="design 31-07 Budget"/>
      <sheetName val="FO1NOW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O9">
            <v>0.36109215017064844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iant"/>
      <sheetName val="jaroszow1"/>
    </sheetNames>
    <sheetDataSet>
      <sheetData sheetId="0" refreshError="1">
        <row r="3">
          <cell r="B3">
            <v>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"/>
      <sheetName val="bep"/>
      <sheetName val="bazowy"/>
      <sheetName val="bazowy-ceny stale"/>
      <sheetName val="inwestycje"/>
      <sheetName val="inwestycje-ceny stale"/>
      <sheetName val="rynek"/>
      <sheetName val="dzierżawy+majątek"/>
      <sheetName val="Zestawienie wycen"/>
      <sheetName val="st99"/>
      <sheetName val="Skład. MT"/>
      <sheetName val="księg"/>
      <sheetName val="scenario z projektem"/>
      <sheetName val="scenario bez projek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ończeniówka"/>
      <sheetName val="Budżet stanu surowego"/>
      <sheetName val="PANIEROWNICE"/>
    </sheetNames>
    <sheetDataSet>
      <sheetData sheetId="0">
        <row r="1">
          <cell r="K1" t="str">
            <v>KOSZT JEDN. ZŁ</v>
          </cell>
        </row>
      </sheetData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Jaroszow1"/>
      <sheetName val="Loan Schedule USD"/>
      <sheetName val="arkusz1"/>
    </sheetNames>
    <sheetDataSet>
      <sheetData sheetId="0" refreshError="1"/>
      <sheetData sheetId="1" refreshError="1"/>
      <sheetData sheetId="2">
        <row r="5">
          <cell r="B5">
            <v>7.2499999999999995E-2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żet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AEF"/>
      <sheetName val="Klasyfikacja"/>
      <sheetName val="Parametry"/>
      <sheetName val="FX test"/>
      <sheetName val="Opis"/>
      <sheetName val="Arkusz1"/>
      <sheetName val="Arkusz2"/>
      <sheetName val="Arkusz3"/>
      <sheetName val="Opis bez ochrony"/>
      <sheetName val="zap"/>
    </sheetNames>
    <sheetDataSet>
      <sheetData sheetId="0"/>
      <sheetData sheetId="1">
        <row r="17">
          <cell r="G17" t="str">
            <v>okres0</v>
          </cell>
          <cell r="H17" t="str">
            <v>okres1</v>
          </cell>
          <cell r="I17" t="str">
            <v>okres2</v>
          </cell>
          <cell r="J17" t="str">
            <v>okres3</v>
          </cell>
          <cell r="K17" t="str">
            <v>okres4</v>
          </cell>
          <cell r="L17" t="str">
            <v>okres5</v>
          </cell>
          <cell r="M17" t="str">
            <v>okres6</v>
          </cell>
          <cell r="N17" t="str">
            <v>okres7</v>
          </cell>
          <cell r="O17" t="str">
            <v>okres8</v>
          </cell>
          <cell r="P17" t="str">
            <v>okres9</v>
          </cell>
          <cell r="Q17" t="str">
            <v>okres10</v>
          </cell>
          <cell r="R17" t="str">
            <v>okres11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5">
          <cell r="G35" t="str">
            <v>okres0</v>
          </cell>
          <cell r="H35" t="str">
            <v>okres1</v>
          </cell>
          <cell r="I35" t="str">
            <v>okres2</v>
          </cell>
          <cell r="J35" t="str">
            <v>okres3</v>
          </cell>
          <cell r="K35" t="str">
            <v>okres4</v>
          </cell>
          <cell r="L35" t="str">
            <v>okres5</v>
          </cell>
          <cell r="M35" t="str">
            <v>okres6</v>
          </cell>
          <cell r="N35" t="str">
            <v>okres7</v>
          </cell>
          <cell r="O35" t="str">
            <v>okres8</v>
          </cell>
          <cell r="P35" t="str">
            <v>okres9</v>
          </cell>
          <cell r="Q35" t="str">
            <v>okres10</v>
          </cell>
          <cell r="R35" t="str">
            <v>okres11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5">
          <cell r="H55" t="str">
            <v>okres1</v>
          </cell>
          <cell r="I55" t="str">
            <v>okres2</v>
          </cell>
          <cell r="J55" t="str">
            <v>okres3</v>
          </cell>
          <cell r="K55" t="str">
            <v>okres4</v>
          </cell>
          <cell r="L55" t="str">
            <v>okres5</v>
          </cell>
          <cell r="M55" t="str">
            <v>okres6</v>
          </cell>
          <cell r="N55" t="str">
            <v>okres7</v>
          </cell>
          <cell r="O55" t="str">
            <v>okres8</v>
          </cell>
          <cell r="P55" t="str">
            <v>okres9</v>
          </cell>
          <cell r="Q55" t="str">
            <v>okres10</v>
          </cell>
          <cell r="R55" t="str">
            <v>okres11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H68" t="str">
            <v>okres1/ okres0</v>
          </cell>
          <cell r="I68" t="str">
            <v>okres2/ okres1</v>
          </cell>
          <cell r="J68" t="str">
            <v>okres3/ okres2</v>
          </cell>
          <cell r="K68" t="str">
            <v>okres4/ okres3</v>
          </cell>
          <cell r="L68" t="str">
            <v>okres5/ okres4</v>
          </cell>
          <cell r="M68" t="str">
            <v>okres6/ okres5</v>
          </cell>
          <cell r="N68" t="str">
            <v>okres7/ okres6</v>
          </cell>
          <cell r="O68" t="str">
            <v>okres8/ okres7</v>
          </cell>
          <cell r="P68" t="str">
            <v>okres9/ okres8</v>
          </cell>
          <cell r="Q68" t="str">
            <v>okres10/ okres9</v>
          </cell>
          <cell r="R68" t="str">
            <v>okres11/ okres10</v>
          </cell>
        </row>
        <row r="69">
          <cell r="G69" t="str">
            <v>okres0</v>
          </cell>
          <cell r="H69" t="str">
            <v>okres1</v>
          </cell>
          <cell r="I69" t="str">
            <v>okres2</v>
          </cell>
          <cell r="J69" t="str">
            <v>okres3</v>
          </cell>
          <cell r="K69" t="str">
            <v>okres4</v>
          </cell>
          <cell r="L69" t="str">
            <v>okres5</v>
          </cell>
          <cell r="M69" t="str">
            <v>okres6</v>
          </cell>
          <cell r="N69" t="str">
            <v>okres7</v>
          </cell>
          <cell r="O69" t="str">
            <v>okres8</v>
          </cell>
          <cell r="P69" t="str">
            <v>okres9</v>
          </cell>
          <cell r="Q69" t="str">
            <v>okres10</v>
          </cell>
          <cell r="R69" t="str">
            <v>okres11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imp"/>
      <sheetName val="Wniosek"/>
      <sheetName val="AOEF"/>
      <sheetName val="wsk_ekonomiczne"/>
      <sheetName val="ocena wskaźników ekonomicznych"/>
      <sheetName val="Parametry"/>
      <sheetName val="Parametry2"/>
      <sheetName val="DaneDoAplikacji"/>
      <sheetName val="Klasyfikacja"/>
      <sheetName val="FX test"/>
      <sheetName val="Opis"/>
      <sheetName val="Arkusz1"/>
      <sheetName val="Arkusz3"/>
      <sheetName val="Arkusz4"/>
      <sheetName val="Arkusz5"/>
      <sheetName val="Wykończeniówka"/>
    </sheetNames>
    <sheetDataSet>
      <sheetData sheetId="0" refreshError="1"/>
      <sheetData sheetId="1"/>
      <sheetData sheetId="2">
        <row r="20">
          <cell r="G20" t="str">
            <v>okres</v>
          </cell>
          <cell r="H20" t="str">
            <v>okres</v>
          </cell>
          <cell r="I20" t="str">
            <v>okres</v>
          </cell>
          <cell r="J20" t="str">
            <v>okres</v>
          </cell>
          <cell r="K20" t="str">
            <v>okres</v>
          </cell>
          <cell r="L20" t="str">
            <v>okres</v>
          </cell>
          <cell r="M20" t="str">
            <v>okres</v>
          </cell>
          <cell r="N20" t="str">
            <v>okres</v>
          </cell>
          <cell r="O20" t="str">
            <v>okres</v>
          </cell>
          <cell r="P20" t="str">
            <v>okres</v>
          </cell>
          <cell r="Q20" t="str">
            <v>okres</v>
          </cell>
          <cell r="R20" t="str">
            <v>okres</v>
          </cell>
          <cell r="S20" t="str">
            <v>okres</v>
          </cell>
          <cell r="T20" t="str">
            <v>okres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3">
          <cell r="G63" t="str">
            <v>okres</v>
          </cell>
          <cell r="H63" t="str">
            <v>okres</v>
          </cell>
          <cell r="I63" t="str">
            <v>okres</v>
          </cell>
          <cell r="J63" t="str">
            <v>okres</v>
          </cell>
          <cell r="K63" t="str">
            <v>okres</v>
          </cell>
          <cell r="L63" t="str">
            <v>okres</v>
          </cell>
          <cell r="M63" t="str">
            <v>okres</v>
          </cell>
          <cell r="N63" t="str">
            <v>okres</v>
          </cell>
          <cell r="O63" t="str">
            <v>okres</v>
          </cell>
          <cell r="P63" t="str">
            <v>okres</v>
          </cell>
          <cell r="Q63" t="str">
            <v>okres</v>
          </cell>
          <cell r="R63" t="str">
            <v>okres</v>
          </cell>
          <cell r="S63" t="str">
            <v>okres</v>
          </cell>
          <cell r="T63" t="str">
            <v>okres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7">
          <cell r="G87" t="str">
            <v>okres</v>
          </cell>
          <cell r="H87" t="str">
            <v>okres</v>
          </cell>
          <cell r="I87" t="str">
            <v>okres</v>
          </cell>
          <cell r="J87" t="str">
            <v>okres</v>
          </cell>
          <cell r="K87" t="str">
            <v>okres</v>
          </cell>
          <cell r="L87" t="str">
            <v>okres</v>
          </cell>
          <cell r="M87" t="str">
            <v>okres</v>
          </cell>
          <cell r="N87" t="str">
            <v>okres</v>
          </cell>
          <cell r="O87" t="str">
            <v>okres</v>
          </cell>
          <cell r="P87" t="str">
            <v>okres</v>
          </cell>
          <cell r="Q87" t="str">
            <v>okres</v>
          </cell>
          <cell r="R87" t="str">
            <v>okres</v>
          </cell>
          <cell r="S87" t="str">
            <v>okres</v>
          </cell>
          <cell r="T87" t="str">
            <v>okres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235">
          <cell r="G235" t="str">
            <v>okres</v>
          </cell>
          <cell r="H235" t="str">
            <v>okres</v>
          </cell>
          <cell r="I235" t="str">
            <v>okres</v>
          </cell>
          <cell r="J235" t="str">
            <v>okres</v>
          </cell>
          <cell r="K235" t="str">
            <v>okres</v>
          </cell>
          <cell r="L235" t="str">
            <v>okres</v>
          </cell>
          <cell r="M235" t="str">
            <v>okres</v>
          </cell>
          <cell r="N235" t="str">
            <v>okres</v>
          </cell>
          <cell r="O235" t="str">
            <v>okres</v>
          </cell>
          <cell r="P235" t="str">
            <v>okres</v>
          </cell>
          <cell r="Q235" t="str">
            <v>okres</v>
          </cell>
          <cell r="R235" t="str">
            <v>okres</v>
          </cell>
          <cell r="S235" t="str">
            <v>okres</v>
          </cell>
          <cell r="T235" t="str">
            <v>okres</v>
          </cell>
        </row>
        <row r="236">
          <cell r="G236" t="str">
            <v>S</v>
          </cell>
          <cell r="H236" t="str">
            <v>S</v>
          </cell>
          <cell r="I236" t="str">
            <v>S</v>
          </cell>
          <cell r="J236" t="str">
            <v>S</v>
          </cell>
          <cell r="K236" t="str">
            <v>S</v>
          </cell>
          <cell r="L236" t="str">
            <v>S</v>
          </cell>
          <cell r="M236" t="str">
            <v>S</v>
          </cell>
          <cell r="N236" t="str">
            <v>S</v>
          </cell>
          <cell r="O236" t="str">
            <v>S</v>
          </cell>
          <cell r="P236" t="str">
            <v>S</v>
          </cell>
          <cell r="Q236" t="str">
            <v>S</v>
          </cell>
          <cell r="R236" t="str">
            <v>S</v>
          </cell>
          <cell r="S236" t="str">
            <v>S</v>
          </cell>
          <cell r="T236" t="str">
            <v>S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</sheetData>
      <sheetData sheetId="3" refreshError="1"/>
      <sheetData sheetId="4" refreshError="1"/>
      <sheetData sheetId="5">
        <row r="14">
          <cell r="B14" t="str">
            <v>wyróżniająca         1</v>
          </cell>
          <cell r="C14">
            <v>1</v>
          </cell>
        </row>
        <row r="15">
          <cell r="B15" t="str">
            <v>bardzo dobra         2</v>
          </cell>
          <cell r="C15">
            <v>2</v>
          </cell>
        </row>
        <row r="16">
          <cell r="B16" t="str">
            <v>dobra                     3</v>
          </cell>
          <cell r="C16">
            <v>3</v>
          </cell>
        </row>
        <row r="17">
          <cell r="B17" t="str">
            <v>zadowalająca         4</v>
          </cell>
          <cell r="C17">
            <v>4</v>
          </cell>
        </row>
        <row r="18">
          <cell r="B18" t="str">
            <v>dostateczna           5</v>
          </cell>
          <cell r="C18">
            <v>5</v>
          </cell>
        </row>
        <row r="19">
          <cell r="B19" t="str">
            <v>niedostateczna      8</v>
          </cell>
          <cell r="C19">
            <v>8</v>
          </cell>
        </row>
        <row r="24">
          <cell r="B24" t="str">
            <v>pozytywna        [-2]</v>
          </cell>
          <cell r="C24">
            <v>-2</v>
          </cell>
        </row>
        <row r="25">
          <cell r="B25" t="str">
            <v>neutralna           [0]</v>
          </cell>
          <cell r="C25">
            <v>0</v>
          </cell>
        </row>
        <row r="26">
          <cell r="B26" t="str">
            <v>negatywna       [+2]</v>
          </cell>
          <cell r="C26">
            <v>2</v>
          </cell>
        </row>
        <row r="29">
          <cell r="B29" t="str">
            <v>pozytywna        [-2]</v>
          </cell>
          <cell r="C29">
            <v>-2</v>
          </cell>
        </row>
        <row r="30">
          <cell r="B30" t="str">
            <v>neutralna           [0]</v>
          </cell>
          <cell r="C30">
            <v>0</v>
          </cell>
        </row>
        <row r="31">
          <cell r="B31" t="str">
            <v>negatywna       [+2]</v>
          </cell>
          <cell r="C31">
            <v>2</v>
          </cell>
        </row>
        <row r="33">
          <cell r="B33" t="str">
            <v>neutralna           [0]</v>
          </cell>
          <cell r="C33">
            <v>0</v>
          </cell>
        </row>
        <row r="34">
          <cell r="B34" t="str">
            <v>negatywna       [+2]</v>
          </cell>
          <cell r="C34">
            <v>2</v>
          </cell>
        </row>
        <row r="37">
          <cell r="B37">
            <v>0</v>
          </cell>
          <cell r="C37">
            <v>1</v>
          </cell>
        </row>
        <row r="38">
          <cell r="B38">
            <v>0.70000000009999996</v>
          </cell>
          <cell r="C38">
            <v>2</v>
          </cell>
        </row>
        <row r="39">
          <cell r="B39">
            <v>0.80000000010000005</v>
          </cell>
          <cell r="C39">
            <v>3</v>
          </cell>
        </row>
        <row r="40">
          <cell r="B40">
            <v>0.90000000099999999</v>
          </cell>
          <cell r="C40">
            <v>4</v>
          </cell>
        </row>
        <row r="41">
          <cell r="B41">
            <v>1.0000000010000001</v>
          </cell>
          <cell r="C41">
            <v>5</v>
          </cell>
        </row>
        <row r="42">
          <cell r="B42">
            <v>1.5000000010000001</v>
          </cell>
          <cell r="C42">
            <v>6</v>
          </cell>
        </row>
        <row r="43">
          <cell r="B43">
            <v>2.5000000001</v>
          </cell>
          <cell r="C43">
            <v>8</v>
          </cell>
        </row>
        <row r="46">
          <cell r="B46">
            <v>-10000</v>
          </cell>
          <cell r="C46">
            <v>8</v>
          </cell>
        </row>
        <row r="47">
          <cell r="B47">
            <v>1</v>
          </cell>
          <cell r="C47">
            <v>6</v>
          </cell>
        </row>
        <row r="48">
          <cell r="B48">
            <v>1.25</v>
          </cell>
          <cell r="C48">
            <v>5</v>
          </cell>
        </row>
        <row r="49">
          <cell r="B49">
            <v>1.5</v>
          </cell>
          <cell r="C49">
            <v>4</v>
          </cell>
        </row>
        <row r="50">
          <cell r="B50">
            <v>1.75</v>
          </cell>
          <cell r="C50">
            <v>3</v>
          </cell>
        </row>
        <row r="51">
          <cell r="B51">
            <v>2</v>
          </cell>
          <cell r="C51">
            <v>2</v>
          </cell>
        </row>
        <row r="52">
          <cell r="B52">
            <v>2.5</v>
          </cell>
          <cell r="C52">
            <v>1</v>
          </cell>
        </row>
        <row r="55">
          <cell r="B55">
            <v>-10000</v>
          </cell>
          <cell r="C55">
            <v>8</v>
          </cell>
        </row>
        <row r="56">
          <cell r="B56">
            <v>0.05</v>
          </cell>
          <cell r="C56">
            <v>6</v>
          </cell>
        </row>
        <row r="57">
          <cell r="B57">
            <v>0.1</v>
          </cell>
          <cell r="C57">
            <v>5</v>
          </cell>
        </row>
        <row r="58">
          <cell r="B58">
            <v>0.15</v>
          </cell>
          <cell r="C58">
            <v>4</v>
          </cell>
        </row>
        <row r="59">
          <cell r="B59">
            <v>0.2</v>
          </cell>
          <cell r="C59">
            <v>3</v>
          </cell>
        </row>
        <row r="60">
          <cell r="B60">
            <v>0.25</v>
          </cell>
          <cell r="C60">
            <v>2</v>
          </cell>
        </row>
        <row r="61">
          <cell r="B61">
            <v>0.3</v>
          </cell>
          <cell r="C61">
            <v>1</v>
          </cell>
        </row>
        <row r="64">
          <cell r="B64" t="str">
            <v>satysfakcjonująca</v>
          </cell>
          <cell r="C64">
            <v>0</v>
          </cell>
        </row>
        <row r="65">
          <cell r="B65" t="str">
            <v>pod obserwacją</v>
          </cell>
          <cell r="C65">
            <v>1</v>
          </cell>
        </row>
        <row r="66">
          <cell r="B66" t="str">
            <v>niesatysfakcjonująca</v>
          </cell>
          <cell r="C66">
            <v>5</v>
          </cell>
        </row>
        <row r="76">
          <cell r="B76" t="str">
            <v>nie spełnione</v>
          </cell>
          <cell r="C76">
            <v>1</v>
          </cell>
        </row>
        <row r="77">
          <cell r="B77" t="str">
            <v>spełnione</v>
          </cell>
          <cell r="C77">
            <v>7.1</v>
          </cell>
        </row>
        <row r="80">
          <cell r="B80" t="str">
            <v>nie spełnione</v>
          </cell>
          <cell r="C80">
            <v>1</v>
          </cell>
        </row>
        <row r="81">
          <cell r="B81" t="str">
            <v>spełnione</v>
          </cell>
          <cell r="C81">
            <v>8</v>
          </cell>
        </row>
        <row r="84">
          <cell r="G84">
            <v>-10</v>
          </cell>
          <cell r="H84" t="str">
            <v>Normalne</v>
          </cell>
        </row>
        <row r="85">
          <cell r="G85">
            <v>4.5000999999999998</v>
          </cell>
          <cell r="H85" t="str">
            <v>Pod obserwacją</v>
          </cell>
        </row>
        <row r="86">
          <cell r="G86">
            <v>6.5000999999999998</v>
          </cell>
          <cell r="H86" t="str">
            <v>Poniżej standardu</v>
          </cell>
        </row>
        <row r="87">
          <cell r="G87">
            <v>7.0000999999999998</v>
          </cell>
          <cell r="H87" t="str">
            <v>Wątpliwe</v>
          </cell>
        </row>
        <row r="88">
          <cell r="G88">
            <v>7.5000999999999998</v>
          </cell>
          <cell r="H88" t="str">
            <v>Stracone</v>
          </cell>
        </row>
        <row r="94">
          <cell r="B94" t="str">
            <v xml:space="preserve">  ---</v>
          </cell>
        </row>
        <row r="95">
          <cell r="B95" t="str">
            <v>VI 1999</v>
          </cell>
          <cell r="C95" t="str">
            <v>wyniki_I_poł.1999</v>
          </cell>
        </row>
        <row r="96">
          <cell r="B96">
            <v>1999</v>
          </cell>
          <cell r="C96" t="str">
            <v>wyniki_1999</v>
          </cell>
        </row>
        <row r="97">
          <cell r="B97" t="str">
            <v>VI 2000</v>
          </cell>
          <cell r="C97" t="str">
            <v>wyniki_I_poł.2000</v>
          </cell>
        </row>
        <row r="98">
          <cell r="B98">
            <v>2000</v>
          </cell>
          <cell r="C98" t="str">
            <v>wyniki_2000</v>
          </cell>
        </row>
        <row r="99">
          <cell r="B99" t="str">
            <v>VI 2001</v>
          </cell>
          <cell r="C99" t="str">
            <v>wyniki_I_poł.2001</v>
          </cell>
        </row>
        <row r="100">
          <cell r="B100">
            <v>2001</v>
          </cell>
          <cell r="C100" t="str">
            <v>wyniki_2001</v>
          </cell>
        </row>
        <row r="101">
          <cell r="B101" t="str">
            <v>VI 2002</v>
          </cell>
          <cell r="C101" t="str">
            <v>wyniki_I_poł.2002</v>
          </cell>
        </row>
        <row r="102">
          <cell r="B102">
            <v>2002</v>
          </cell>
          <cell r="C102" t="str">
            <v>wyniki_2002</v>
          </cell>
        </row>
        <row r="107">
          <cell r="A107" t="str">
            <v>01.11 Uprawa zbóż i inne uprawy rolne, gdzie indziej nie sklasyfikowane</v>
          </cell>
          <cell r="B107" t="str">
            <v>01.11</v>
          </cell>
          <cell r="C107">
            <v>7</v>
          </cell>
        </row>
        <row r="108">
          <cell r="A108" t="str">
            <v>01.12 Uprawa warzyw, specjalnych roślin ogrodniczych i produktów szkółkarskich</v>
          </cell>
          <cell r="B108" t="str">
            <v>01.12</v>
          </cell>
          <cell r="C108">
            <v>4</v>
          </cell>
        </row>
        <row r="109">
          <cell r="A109" t="str">
            <v>01.13 Uprawa owoców, orzechów oraz uprawa roślin wykorzystywanych do produkcji napojów i przypraw</v>
          </cell>
          <cell r="B109" t="str">
            <v>01.13</v>
          </cell>
          <cell r="C109">
            <v>8</v>
          </cell>
        </row>
        <row r="110">
          <cell r="A110" t="str">
            <v>01.21 Chów i hodowla bydła</v>
          </cell>
          <cell r="B110" t="str">
            <v>01.21</v>
          </cell>
          <cell r="C110">
            <v>7</v>
          </cell>
        </row>
        <row r="111">
          <cell r="A111" t="str">
            <v>01.22 Chów i hodowla owiec, kóz, koni, osłów, mułów</v>
          </cell>
          <cell r="B111" t="str">
            <v>01.22</v>
          </cell>
          <cell r="C111">
            <v>8</v>
          </cell>
        </row>
        <row r="112">
          <cell r="A112" t="str">
            <v>01.23 Chów i hodowla trzody chlewnej</v>
          </cell>
          <cell r="B112" t="str">
            <v>01.23</v>
          </cell>
          <cell r="C112">
            <v>5</v>
          </cell>
        </row>
        <row r="113">
          <cell r="A113" t="str">
            <v>01.24 Chów i hodowla drobiu</v>
          </cell>
          <cell r="B113" t="str">
            <v>01.24</v>
          </cell>
          <cell r="C113">
            <v>6</v>
          </cell>
        </row>
        <row r="114">
          <cell r="A114" t="str">
            <v>01.25 Chów i hodowla zwierząt pozostałych</v>
          </cell>
          <cell r="B114" t="str">
            <v>01.25</v>
          </cell>
          <cell r="C114">
            <v>7</v>
          </cell>
        </row>
        <row r="115">
          <cell r="A115" t="str">
            <v>01.30 Uprawy rolne połączone z chowem zwierząt (działalność mieszana)</v>
          </cell>
          <cell r="B115" t="str">
            <v>01.30</v>
          </cell>
          <cell r="C115">
            <v>4</v>
          </cell>
        </row>
        <row r="116">
          <cell r="A116" t="str">
            <v>01.41 Działalność usługowa związana z produkcją roślinną</v>
          </cell>
          <cell r="B116" t="str">
            <v>01.41</v>
          </cell>
          <cell r="C116">
            <v>5</v>
          </cell>
        </row>
        <row r="117">
          <cell r="A117" t="str">
            <v>01.42 Działalność usługowa związana z chowem i hodowlą zwierząt</v>
          </cell>
          <cell r="B117" t="str">
            <v>01.42</v>
          </cell>
          <cell r="C117">
            <v>6</v>
          </cell>
        </row>
        <row r="118">
          <cell r="A118" t="str">
            <v>01.50 Gospodarka łowiecka, hodowla i pozyskiwanie zwierząt łownych, łącznie z działalnością usługową</v>
          </cell>
          <cell r="B118" t="str">
            <v>01.50</v>
          </cell>
          <cell r="C118">
            <v>7</v>
          </cell>
        </row>
        <row r="119">
          <cell r="A119" t="str">
            <v>02.01 Leśnictwo</v>
          </cell>
          <cell r="B119" t="str">
            <v>02.01</v>
          </cell>
          <cell r="C119">
            <v>8</v>
          </cell>
        </row>
        <row r="120">
          <cell r="A120" t="str">
            <v>02.02 Działalność usługowa związana z leśnictwem</v>
          </cell>
          <cell r="B120" t="str">
            <v>02.02</v>
          </cell>
          <cell r="C120">
            <v>8</v>
          </cell>
        </row>
        <row r="121">
          <cell r="A121" t="str">
            <v>05.01 Rybołówstwo</v>
          </cell>
          <cell r="B121" t="str">
            <v>05.01</v>
          </cell>
          <cell r="C121">
            <v>8</v>
          </cell>
        </row>
        <row r="122">
          <cell r="A122" t="str">
            <v>05.02 Rybactwo łącznie z działalnością usługową</v>
          </cell>
          <cell r="B122" t="str">
            <v>05.02</v>
          </cell>
          <cell r="C122">
            <v>4</v>
          </cell>
        </row>
        <row r="123">
          <cell r="A123" t="str">
            <v>10.10 Górnictwo i wzbogacanie węgla kamiennego</v>
          </cell>
          <cell r="B123" t="str">
            <v>10.10</v>
          </cell>
          <cell r="C123">
            <v>8</v>
          </cell>
        </row>
        <row r="124">
          <cell r="A124" t="str">
            <v>10.20 Górnictwo i wzbogacanie węgla brunatnego</v>
          </cell>
          <cell r="B124" t="str">
            <v>10.20</v>
          </cell>
          <cell r="C124">
            <v>5</v>
          </cell>
        </row>
        <row r="125">
          <cell r="A125" t="str">
            <v>10.30 Wydobywanie i wzbogacanie torfu</v>
          </cell>
          <cell r="B125" t="str">
            <v>10.30</v>
          </cell>
          <cell r="C125">
            <v>8</v>
          </cell>
        </row>
        <row r="126">
          <cell r="A126" t="str">
            <v>11.10 Wydobywanie ropy naftowej i gazu ziemnego</v>
          </cell>
          <cell r="B126" t="str">
            <v>11.10</v>
          </cell>
          <cell r="C126">
            <v>8</v>
          </cell>
        </row>
        <row r="127">
          <cell r="A127" t="str">
            <v>11.20 Działalność usługowa związana z eksploatacją złóż ropy naftowej i gazu ziemnego</v>
          </cell>
          <cell r="B127" t="str">
            <v>11.20</v>
          </cell>
          <cell r="C127">
            <v>8</v>
          </cell>
        </row>
        <row r="128">
          <cell r="A128" t="str">
            <v>12.00 Kopalnictwo rud uranu i toru</v>
          </cell>
          <cell r="B128" t="str">
            <v>12.00</v>
          </cell>
          <cell r="C128">
            <v>6</v>
          </cell>
        </row>
        <row r="129">
          <cell r="A129" t="str">
            <v>13.10 Kopalnictwo rud żelaza</v>
          </cell>
          <cell r="B129" t="str">
            <v>13.10</v>
          </cell>
          <cell r="C129">
            <v>6</v>
          </cell>
        </row>
        <row r="130">
          <cell r="A130" t="str">
            <v>13.20 Kopalnictwo rud metali nieżelaznych, z wyjątkiem rud uranu i toru</v>
          </cell>
          <cell r="B130" t="str">
            <v>13.20</v>
          </cell>
          <cell r="C130">
            <v>8</v>
          </cell>
        </row>
        <row r="131">
          <cell r="A131" t="str">
            <v>14.11 Wydobywanie kamienia dla potrzeb budownictwa</v>
          </cell>
          <cell r="B131" t="str">
            <v>14.11</v>
          </cell>
          <cell r="C131">
            <v>6</v>
          </cell>
        </row>
        <row r="132">
          <cell r="A132" t="str">
            <v>14.12 Wydobywanie skał wapiennych, gipsu i kredy</v>
          </cell>
          <cell r="B132" t="str">
            <v>14.12</v>
          </cell>
          <cell r="C132">
            <v>3</v>
          </cell>
        </row>
        <row r="133">
          <cell r="A133" t="str">
            <v>14.13 Wydobywanie łupków</v>
          </cell>
          <cell r="B133" t="str">
            <v>14.13</v>
          </cell>
          <cell r="C133">
            <v>6</v>
          </cell>
        </row>
        <row r="134">
          <cell r="A134" t="str">
            <v>14.21 Wydobywanie żwiru i piasku</v>
          </cell>
          <cell r="B134" t="str">
            <v>14.21</v>
          </cell>
          <cell r="C134">
            <v>5</v>
          </cell>
        </row>
        <row r="135">
          <cell r="A135" t="str">
            <v>14.22 Kopalnictwo gliny i kaolinu</v>
          </cell>
          <cell r="B135" t="str">
            <v>14.22</v>
          </cell>
          <cell r="C135">
            <v>7</v>
          </cell>
        </row>
        <row r="136">
          <cell r="A136" t="str">
            <v>14.30 Kopalnictwo minerałów dla przemysłu chemicznego oraz do produkcji nawozów</v>
          </cell>
          <cell r="B136" t="str">
            <v>14.30</v>
          </cell>
          <cell r="C136">
            <v>6</v>
          </cell>
        </row>
        <row r="137">
          <cell r="A137" t="str">
            <v>14.40 Produkcja soli</v>
          </cell>
          <cell r="B137" t="str">
            <v>14.40</v>
          </cell>
          <cell r="C137">
            <v>4</v>
          </cell>
        </row>
        <row r="138">
          <cell r="A138" t="str">
            <v>14.50 Pozostałe górnictwo i kopalnictwo, gdzie indziej nie sklasyfikowane</v>
          </cell>
          <cell r="B138" t="str">
            <v>14.50</v>
          </cell>
          <cell r="C138">
            <v>4</v>
          </cell>
        </row>
        <row r="139">
          <cell r="A139" t="str">
            <v>15.11 Produkcja mięsa, z wyjątkiem drobiowego i króliczego</v>
          </cell>
          <cell r="B139" t="str">
            <v>15.11</v>
          </cell>
          <cell r="C139">
            <v>6</v>
          </cell>
        </row>
        <row r="140">
          <cell r="A140" t="str">
            <v>15.12 Produkcja mięsa drobiowego i króliczego</v>
          </cell>
          <cell r="B140" t="str">
            <v>15.12</v>
          </cell>
          <cell r="C140">
            <v>6</v>
          </cell>
        </row>
        <row r="141">
          <cell r="A141" t="str">
            <v>15.13 Produkcja wyrobów z mięsa, w tym drobiowego i króliczego</v>
          </cell>
          <cell r="B141" t="str">
            <v>15.13</v>
          </cell>
          <cell r="C141">
            <v>6</v>
          </cell>
        </row>
        <row r="142">
          <cell r="A142" t="str">
            <v>15.20 Przetwarzanie i konserwowanie ryb i produktów rybołówstwa</v>
          </cell>
          <cell r="B142" t="str">
            <v>15.20</v>
          </cell>
          <cell r="C142">
            <v>6</v>
          </cell>
        </row>
        <row r="143">
          <cell r="A143" t="str">
            <v>15.31 Przetwórstwo ziemniaków</v>
          </cell>
          <cell r="B143" t="str">
            <v>15.31</v>
          </cell>
          <cell r="C143">
            <v>5</v>
          </cell>
        </row>
        <row r="144">
          <cell r="A144" t="str">
            <v>15.32 Produkcja soków z owoców i warzyw</v>
          </cell>
          <cell r="B144" t="str">
            <v>15.32</v>
          </cell>
          <cell r="C144">
            <v>5</v>
          </cell>
        </row>
        <row r="145">
          <cell r="A145" t="str">
            <v>15.33 Przetwórstwo owoców i warzyw, gdzie indziej nie sklasyfikowane</v>
          </cell>
          <cell r="B145" t="str">
            <v>15.33</v>
          </cell>
          <cell r="C145">
            <v>5</v>
          </cell>
        </row>
        <row r="146">
          <cell r="A146" t="str">
            <v>15.41 Produkcja nie oczyszczonych olejów i tłuszczów</v>
          </cell>
          <cell r="B146" t="str">
            <v>15.41</v>
          </cell>
          <cell r="C146">
            <v>7</v>
          </cell>
        </row>
        <row r="147">
          <cell r="A147" t="str">
            <v>15.42 Produkcja rafinowanych olejów i tłuszczów</v>
          </cell>
          <cell r="B147" t="str">
            <v>15.42</v>
          </cell>
          <cell r="C147">
            <v>6</v>
          </cell>
        </row>
        <row r="148">
          <cell r="A148" t="str">
            <v>15.43 Produkcja margaryny i podobnych tłuszczów jadalnych</v>
          </cell>
          <cell r="B148" t="str">
            <v>15.43</v>
          </cell>
          <cell r="C148">
            <v>8</v>
          </cell>
        </row>
        <row r="149">
          <cell r="A149" t="str">
            <v>15.51 Przetwórstwo mleka i wyrób serów</v>
          </cell>
          <cell r="B149" t="str">
            <v>15.51</v>
          </cell>
          <cell r="C149">
            <v>4</v>
          </cell>
        </row>
        <row r="150">
          <cell r="A150" t="str">
            <v>15.52 Produkcja lodów</v>
          </cell>
          <cell r="B150" t="str">
            <v>15.52</v>
          </cell>
          <cell r="C150">
            <v>7</v>
          </cell>
        </row>
        <row r="151">
          <cell r="A151" t="str">
            <v>15.61 Wytwarzanie produktów przemiału zbóż</v>
          </cell>
          <cell r="B151" t="str">
            <v>15.61</v>
          </cell>
          <cell r="C151">
            <v>5</v>
          </cell>
        </row>
        <row r="152">
          <cell r="A152" t="str">
            <v>15.62 Wytwarzanie skrobi i produktów skrobiowych</v>
          </cell>
          <cell r="B152" t="str">
            <v>15.62</v>
          </cell>
          <cell r="C152">
            <v>6</v>
          </cell>
        </row>
        <row r="153">
          <cell r="A153" t="str">
            <v>15.71 Produkcja pasz dla zwierząt gospodarskich</v>
          </cell>
          <cell r="B153" t="str">
            <v>15.71</v>
          </cell>
          <cell r="C153">
            <v>3</v>
          </cell>
        </row>
        <row r="154">
          <cell r="A154" t="str">
            <v>15.72 Produkcja pasz dla zwierząt domowych</v>
          </cell>
          <cell r="B154" t="str">
            <v>15.72</v>
          </cell>
          <cell r="C154">
            <v>3</v>
          </cell>
        </row>
        <row r="155">
          <cell r="A155" t="str">
            <v>15.81 Produkcja chleba; produkcja świeżych wyrobów piekarniczych, ciast i ciastek</v>
          </cell>
          <cell r="B155" t="str">
            <v>15.81</v>
          </cell>
          <cell r="C155">
            <v>4</v>
          </cell>
        </row>
        <row r="156">
          <cell r="A156" t="str">
            <v>15.82 Produkcja pieczywa cukierniczego trwałego</v>
          </cell>
          <cell r="B156" t="str">
            <v>15.82</v>
          </cell>
          <cell r="C156">
            <v>2</v>
          </cell>
        </row>
        <row r="157">
          <cell r="A157" t="str">
            <v>15.83 Produkcja cukru</v>
          </cell>
          <cell r="B157" t="str">
            <v>15.83</v>
          </cell>
          <cell r="C157">
            <v>7</v>
          </cell>
        </row>
        <row r="158">
          <cell r="A158" t="str">
            <v>15.84 Produkcja kakao, czekolady i wyrobów cukierniczych</v>
          </cell>
          <cell r="B158" t="str">
            <v>15.84</v>
          </cell>
          <cell r="C158">
            <v>3</v>
          </cell>
        </row>
        <row r="159">
          <cell r="A159" t="str">
            <v>15.85 Produkcja makaronów, klusek i podobnych produktów mącznych</v>
          </cell>
          <cell r="B159" t="str">
            <v>15.85</v>
          </cell>
          <cell r="C159">
            <v>4</v>
          </cell>
        </row>
        <row r="160">
          <cell r="A160" t="str">
            <v>15.86 Przetwórstwo herbaty i kawy</v>
          </cell>
          <cell r="B160" t="str">
            <v>15.86</v>
          </cell>
          <cell r="C160">
            <v>2</v>
          </cell>
        </row>
        <row r="161">
          <cell r="A161" t="str">
            <v>15.87 Produkcja przypraw</v>
          </cell>
          <cell r="B161" t="str">
            <v>15.87</v>
          </cell>
          <cell r="C161">
            <v>4</v>
          </cell>
        </row>
        <row r="162">
          <cell r="A162" t="str">
            <v>15.88 Produkcja odżywek oraz żywności dietetycznej</v>
          </cell>
          <cell r="B162" t="str">
            <v>15.88</v>
          </cell>
          <cell r="C162">
            <v>2</v>
          </cell>
        </row>
        <row r="163">
          <cell r="A163" t="str">
            <v>15.89 Produkcja pozostałych artykułów spożywczych, gdzie indziej nie sklasyfikowana</v>
          </cell>
          <cell r="B163" t="str">
            <v>15.89</v>
          </cell>
          <cell r="C163">
            <v>1</v>
          </cell>
        </row>
        <row r="164">
          <cell r="A164" t="str">
            <v>15.91 Produkcja napojów alkoholowych destylowanych</v>
          </cell>
          <cell r="B164" t="str">
            <v>15.91</v>
          </cell>
          <cell r="C164">
            <v>3</v>
          </cell>
        </row>
        <row r="165">
          <cell r="A165" t="str">
            <v>15.92 Produkcja alkoholu etylowego</v>
          </cell>
          <cell r="B165" t="str">
            <v>15.92</v>
          </cell>
          <cell r="C165">
            <v>4</v>
          </cell>
        </row>
        <row r="166">
          <cell r="A166" t="str">
            <v>15.93 Produkcja win gronowych</v>
          </cell>
          <cell r="B166" t="str">
            <v>15.93</v>
          </cell>
          <cell r="C166">
            <v>4</v>
          </cell>
        </row>
        <row r="167">
          <cell r="A167" t="str">
            <v>15.94 Produkcja jabłecznika i win owocowych</v>
          </cell>
          <cell r="B167" t="str">
            <v>15.94</v>
          </cell>
          <cell r="C167">
            <v>7</v>
          </cell>
        </row>
        <row r="168">
          <cell r="A168" t="str">
            <v>15.95 Produkcja napojów fermentowanych nie destylowanych pozostałych, gdzie indziej nie sklasyfikowana</v>
          </cell>
          <cell r="B168" t="str">
            <v>15.95</v>
          </cell>
          <cell r="C168">
            <v>6</v>
          </cell>
        </row>
        <row r="169">
          <cell r="A169" t="str">
            <v>15.96 Produkcja piwa</v>
          </cell>
          <cell r="B169" t="str">
            <v>15.96</v>
          </cell>
          <cell r="C169">
            <v>4</v>
          </cell>
        </row>
        <row r="170">
          <cell r="A170" t="str">
            <v>15.97 Produkcja słodów</v>
          </cell>
          <cell r="B170" t="str">
            <v>15.97</v>
          </cell>
          <cell r="C170">
            <v>4</v>
          </cell>
        </row>
        <row r="171">
          <cell r="A171" t="str">
            <v>15.98 Produkcja wód mineralnych i napojów bezalkoholowych</v>
          </cell>
          <cell r="B171" t="str">
            <v>15.98</v>
          </cell>
          <cell r="C171">
            <v>3</v>
          </cell>
        </row>
        <row r="172">
          <cell r="A172" t="str">
            <v>16.00 Produkcja wyrobów tytoniowych</v>
          </cell>
          <cell r="B172" t="str">
            <v>16.00</v>
          </cell>
          <cell r="C172">
            <v>5</v>
          </cell>
        </row>
        <row r="173">
          <cell r="A173" t="str">
            <v>17.11 Produkcja przędzy bawełnianej</v>
          </cell>
          <cell r="B173" t="str">
            <v>17.11</v>
          </cell>
          <cell r="C173">
            <v>7</v>
          </cell>
        </row>
        <row r="174">
          <cell r="A174" t="str">
            <v>17.12 Produkcja przędzy wełnianej</v>
          </cell>
          <cell r="B174" t="str">
            <v>17.12</v>
          </cell>
          <cell r="C174">
            <v>7</v>
          </cell>
        </row>
        <row r="175">
          <cell r="A175" t="str">
            <v>17.13 Produkcja przędzy samodziałowej</v>
          </cell>
          <cell r="B175" t="str">
            <v>17.13</v>
          </cell>
          <cell r="C175">
            <v>7</v>
          </cell>
        </row>
        <row r="176">
          <cell r="A176" t="str">
            <v>17.14 Produkcja przędzy lnianej</v>
          </cell>
          <cell r="B176" t="str">
            <v>17.14</v>
          </cell>
          <cell r="C176">
            <v>7</v>
          </cell>
        </row>
        <row r="177">
          <cell r="A177" t="str">
            <v>17.15 Produkcja przędzy jedwabnej, sztucznej i syntetycznej</v>
          </cell>
          <cell r="B177" t="str">
            <v>17.15</v>
          </cell>
          <cell r="C177">
            <v>7</v>
          </cell>
        </row>
        <row r="178">
          <cell r="A178" t="str">
            <v>17.16 Produkcja nici krawieckich</v>
          </cell>
          <cell r="B178" t="str">
            <v>17.16</v>
          </cell>
          <cell r="C178">
            <v>5</v>
          </cell>
        </row>
        <row r="179">
          <cell r="A179" t="str">
            <v>17.17 Produkcja przędzy z pozostałych włókien tekstylnych</v>
          </cell>
          <cell r="B179" t="str">
            <v>17.17</v>
          </cell>
          <cell r="C179">
            <v>8</v>
          </cell>
        </row>
        <row r="180">
          <cell r="A180" t="str">
            <v>17.21 Produkcja tkanin bawełnianych</v>
          </cell>
          <cell r="B180" t="str">
            <v>17.21</v>
          </cell>
          <cell r="C180">
            <v>8</v>
          </cell>
        </row>
        <row r="181">
          <cell r="A181" t="str">
            <v>17.22 Produkcja tkanin wełnianych</v>
          </cell>
          <cell r="B181" t="str">
            <v>17.22</v>
          </cell>
          <cell r="C181">
            <v>8</v>
          </cell>
        </row>
        <row r="182">
          <cell r="A182" t="str">
            <v>17.23 Produkcja tkanin samodziałowych</v>
          </cell>
          <cell r="B182" t="str">
            <v>17.23</v>
          </cell>
          <cell r="C182">
            <v>8</v>
          </cell>
        </row>
        <row r="183">
          <cell r="A183" t="str">
            <v>17.24 Produkcja tkanin jedwabnych</v>
          </cell>
          <cell r="B183" t="str">
            <v>17.24</v>
          </cell>
          <cell r="C183">
            <v>8</v>
          </cell>
        </row>
        <row r="184">
          <cell r="A184" t="str">
            <v>17.25 Produkcja tkanin pozostałych</v>
          </cell>
          <cell r="B184" t="str">
            <v>17.25</v>
          </cell>
          <cell r="C184">
            <v>8</v>
          </cell>
        </row>
        <row r="185">
          <cell r="A185" t="str">
            <v>17.30 Wykańczanie materiałów włókienniczych</v>
          </cell>
          <cell r="B185" t="str">
            <v>17.30</v>
          </cell>
          <cell r="C185">
            <v>5</v>
          </cell>
        </row>
        <row r="186">
          <cell r="A186" t="str">
            <v>17.40 Produkcja gotowych artykułów włókienniczych, oprócz odzieży</v>
          </cell>
          <cell r="B186" t="str">
            <v>17.40</v>
          </cell>
          <cell r="C186">
            <v>6</v>
          </cell>
        </row>
        <row r="187">
          <cell r="A187" t="str">
            <v>17.51 Produkcja dywanów i chodników</v>
          </cell>
          <cell r="B187" t="str">
            <v>17.51</v>
          </cell>
          <cell r="C187">
            <v>4</v>
          </cell>
        </row>
        <row r="188">
          <cell r="A188" t="str">
            <v>17.52 Produkcja wyrobów powroźniczych i sieciowych</v>
          </cell>
          <cell r="B188" t="str">
            <v>17.52</v>
          </cell>
          <cell r="C188">
            <v>3</v>
          </cell>
        </row>
        <row r="189">
          <cell r="A189" t="str">
            <v>17.53 Produkcja włóknin</v>
          </cell>
          <cell r="B189" t="str">
            <v>17.53</v>
          </cell>
          <cell r="C189">
            <v>2</v>
          </cell>
        </row>
        <row r="190">
          <cell r="A190" t="str">
            <v>17.54 Produkcja wyrobów włókienniczych pozostałych, gdzie indziej nie sklasyfikowana</v>
          </cell>
          <cell r="B190" t="str">
            <v>17.54</v>
          </cell>
          <cell r="C190">
            <v>3</v>
          </cell>
        </row>
        <row r="191">
          <cell r="A191" t="str">
            <v>17.6 Produkcja dzianin</v>
          </cell>
          <cell r="B191" t="str">
            <v xml:space="preserve">17.6 </v>
          </cell>
          <cell r="C191">
            <v>5</v>
          </cell>
        </row>
        <row r="192">
          <cell r="A192" t="str">
            <v>17.71 Produkcja trykotaży</v>
          </cell>
          <cell r="B192" t="str">
            <v>17.71</v>
          </cell>
          <cell r="C192">
            <v>6</v>
          </cell>
        </row>
        <row r="193">
          <cell r="A193" t="str">
            <v>17.72 Produkcja okryć dzianych i szydełkowych</v>
          </cell>
          <cell r="B193" t="str">
            <v>17.72</v>
          </cell>
          <cell r="C193">
            <v>5</v>
          </cell>
        </row>
        <row r="194">
          <cell r="A194" t="str">
            <v>18.10 Produkcja odzieży skórzanej</v>
          </cell>
          <cell r="B194" t="str">
            <v>18.10</v>
          </cell>
          <cell r="C194">
            <v>5</v>
          </cell>
        </row>
        <row r="195">
          <cell r="A195" t="str">
            <v>18.21 Produkcja ubrań roboczych</v>
          </cell>
          <cell r="B195" t="str">
            <v>18.21</v>
          </cell>
          <cell r="C195">
            <v>5</v>
          </cell>
        </row>
        <row r="196">
          <cell r="A196" t="str">
            <v>18.22 Produkcja pozostałej odzieży wierzchniej</v>
          </cell>
          <cell r="B196" t="str">
            <v>18.22</v>
          </cell>
          <cell r="C196">
            <v>5</v>
          </cell>
        </row>
        <row r="197">
          <cell r="A197" t="str">
            <v>18.23 Produkcja bielizny</v>
          </cell>
          <cell r="B197" t="str">
            <v>18.23</v>
          </cell>
          <cell r="C197">
            <v>4</v>
          </cell>
        </row>
        <row r="198">
          <cell r="A198" t="str">
            <v>18.24 Produkcja pozostałej odzieży i dodatków do odzieży, gdzie indziej nie sklasyfikowana</v>
          </cell>
          <cell r="B198" t="str">
            <v>18.24</v>
          </cell>
          <cell r="C198">
            <v>5</v>
          </cell>
        </row>
        <row r="199">
          <cell r="A199" t="str">
            <v>18.30 Wyprawianie i barwienie skór futerkowych; produkcja wyrobów futrzarskich</v>
          </cell>
          <cell r="B199" t="str">
            <v>18.30</v>
          </cell>
          <cell r="C199">
            <v>5</v>
          </cell>
        </row>
        <row r="200">
          <cell r="A200" t="str">
            <v>19.10 Produkcja skór wyprawionych</v>
          </cell>
          <cell r="B200" t="str">
            <v>19.10</v>
          </cell>
          <cell r="C200">
            <v>8</v>
          </cell>
        </row>
        <row r="201">
          <cell r="A201" t="str">
            <v>19.20 Produkcja wyrobów kaletniczych i rymarskich</v>
          </cell>
          <cell r="B201" t="str">
            <v>19.20</v>
          </cell>
          <cell r="C201">
            <v>4</v>
          </cell>
        </row>
        <row r="202">
          <cell r="A202" t="str">
            <v>19.30 Produkcja obuwia</v>
          </cell>
          <cell r="B202" t="str">
            <v>19.30</v>
          </cell>
          <cell r="C202">
            <v>7</v>
          </cell>
        </row>
        <row r="203">
          <cell r="A203" t="str">
            <v>20.10 Produkcja wyrobów tartacznych, impregnacja drewna</v>
          </cell>
          <cell r="B203" t="str">
            <v>20.10</v>
          </cell>
          <cell r="C203">
            <v>7</v>
          </cell>
        </row>
        <row r="204">
          <cell r="A204" t="str">
            <v>20.20 Produkcja arkuszy fornirowych; produkcja płyt i sklejek</v>
          </cell>
          <cell r="B204" t="str">
            <v>20.20</v>
          </cell>
          <cell r="C204">
            <v>4</v>
          </cell>
        </row>
        <row r="205">
          <cell r="A205" t="str">
            <v>20.30 Produkcja wyrobów stolarskich i ciesielskich dla budownictwa</v>
          </cell>
          <cell r="B205" t="str">
            <v>20.30</v>
          </cell>
          <cell r="C205">
            <v>5</v>
          </cell>
        </row>
        <row r="206">
          <cell r="A206" t="str">
            <v>20.40 Produkcja opakowań drewnianych</v>
          </cell>
          <cell r="B206" t="str">
            <v>20.40</v>
          </cell>
          <cell r="C206">
            <v>6</v>
          </cell>
        </row>
        <row r="207">
          <cell r="A207" t="str">
            <v>20.51 Produkcja pozostałych wyrobów z drewna</v>
          </cell>
          <cell r="B207" t="str">
            <v>20.51</v>
          </cell>
          <cell r="C207">
            <v>6</v>
          </cell>
        </row>
        <row r="208">
          <cell r="A208" t="str">
            <v>20.52 Produkcja wyrobów z korka, słomy i z materiałów używanych do wyplatania</v>
          </cell>
          <cell r="B208" t="str">
            <v>20.52</v>
          </cell>
          <cell r="C208">
            <v>6</v>
          </cell>
        </row>
        <row r="209">
          <cell r="A209" t="str">
            <v>21.11 Produkcja masy celulozowej</v>
          </cell>
          <cell r="B209" t="str">
            <v>21.11</v>
          </cell>
          <cell r="C209">
            <v>4</v>
          </cell>
        </row>
        <row r="210">
          <cell r="A210" t="str">
            <v>21.12 Produkcja papieru i tektury</v>
          </cell>
          <cell r="B210" t="str">
            <v>21.12</v>
          </cell>
          <cell r="C210">
            <v>4</v>
          </cell>
        </row>
        <row r="211">
          <cell r="A211" t="str">
            <v>21.21 Produkcja papieru falistego i tektury falistej oraz opakowań z papieru i tektury</v>
          </cell>
          <cell r="B211" t="str">
            <v>21.21</v>
          </cell>
          <cell r="C211">
            <v>4</v>
          </cell>
        </row>
        <row r="212">
          <cell r="A212" t="str">
            <v>21.22 Produkcja papierowych artykułów dla gospodarstwa domowego, toaletowych i sanitarnych</v>
          </cell>
          <cell r="B212" t="str">
            <v>21.22</v>
          </cell>
          <cell r="C212">
            <v>4</v>
          </cell>
        </row>
        <row r="213">
          <cell r="A213" t="str">
            <v>21.23 Produkcja papierowych artykułów piśmiennych</v>
          </cell>
          <cell r="B213" t="str">
            <v>21.23</v>
          </cell>
          <cell r="C213">
            <v>7</v>
          </cell>
        </row>
        <row r="214">
          <cell r="A214" t="str">
            <v>21.24 Produkcja tapet</v>
          </cell>
          <cell r="B214" t="str">
            <v>21.24</v>
          </cell>
          <cell r="C214">
            <v>7</v>
          </cell>
        </row>
        <row r="215">
          <cell r="A215" t="str">
            <v>21.25 Produkcja pozostałych artykułów z papieru i tektury, gdzie indziej nie sklasyfikowana</v>
          </cell>
          <cell r="B215" t="str">
            <v>21.25</v>
          </cell>
          <cell r="C215">
            <v>5</v>
          </cell>
        </row>
        <row r="216">
          <cell r="A216" t="str">
            <v>22.11 Wydawanie książek</v>
          </cell>
          <cell r="B216" t="str">
            <v>22.11</v>
          </cell>
          <cell r="C216">
            <v>4</v>
          </cell>
        </row>
        <row r="217">
          <cell r="A217" t="str">
            <v>22.12 Wydawanie gazet</v>
          </cell>
          <cell r="B217" t="str">
            <v>22.12</v>
          </cell>
          <cell r="C217">
            <v>4</v>
          </cell>
        </row>
        <row r="218">
          <cell r="A218" t="str">
            <v>22.13 Wydawanie czasopism i wydawnictw periodycznych</v>
          </cell>
          <cell r="B218" t="str">
            <v>22.13</v>
          </cell>
          <cell r="C218">
            <v>4</v>
          </cell>
        </row>
        <row r="219">
          <cell r="A219" t="str">
            <v>22.14 Wydawanie nagrań dźwiękowych</v>
          </cell>
          <cell r="B219" t="str">
            <v>22.14</v>
          </cell>
          <cell r="C219">
            <v>5</v>
          </cell>
        </row>
        <row r="220">
          <cell r="A220" t="str">
            <v>22.15 Pozostała działalność wydawnicza</v>
          </cell>
          <cell r="B220" t="str">
            <v>22.15</v>
          </cell>
          <cell r="C220">
            <v>5</v>
          </cell>
        </row>
        <row r="221">
          <cell r="A221" t="str">
            <v>22.21 Drukowanie gazet</v>
          </cell>
          <cell r="B221" t="str">
            <v>22.21</v>
          </cell>
          <cell r="C221">
            <v>5</v>
          </cell>
        </row>
        <row r="222">
          <cell r="A222" t="str">
            <v>22.22 Działalność poligraficzna pozostała, gdzie indziej nie sklasyfikowana</v>
          </cell>
          <cell r="B222" t="str">
            <v>22.22</v>
          </cell>
          <cell r="C222">
            <v>6</v>
          </cell>
        </row>
        <row r="223">
          <cell r="A223" t="str">
            <v>22.23 Introligatorstwo</v>
          </cell>
          <cell r="B223" t="str">
            <v>22.23</v>
          </cell>
          <cell r="C223">
            <v>4</v>
          </cell>
        </row>
        <row r="224">
          <cell r="A224" t="str">
            <v>22.24 Składanie tekstu i wytwarzanie płyt drukarskich</v>
          </cell>
          <cell r="B224" t="str">
            <v>22.24</v>
          </cell>
          <cell r="C224">
            <v>5</v>
          </cell>
        </row>
        <row r="225">
          <cell r="A225" t="str">
            <v>22.25 Działalność usługowa związana z poligrafią pozostała</v>
          </cell>
          <cell r="B225" t="str">
            <v>22.25</v>
          </cell>
          <cell r="C225">
            <v>2</v>
          </cell>
        </row>
        <row r="226">
          <cell r="A226" t="str">
            <v>22.31 Reprodukcja nagrań dźwiękowych</v>
          </cell>
          <cell r="B226" t="str">
            <v>22.31</v>
          </cell>
          <cell r="C226">
            <v>5</v>
          </cell>
        </row>
        <row r="227">
          <cell r="A227" t="str">
            <v>22.32 Reprodukcja nagrań wideo</v>
          </cell>
          <cell r="B227" t="str">
            <v>22.32</v>
          </cell>
          <cell r="C227">
            <v>4</v>
          </cell>
        </row>
        <row r="228">
          <cell r="A228" t="str">
            <v>22.33 Reprodukcja komputerowych nośników informacji</v>
          </cell>
          <cell r="B228" t="str">
            <v>22.33</v>
          </cell>
          <cell r="C228">
            <v>5</v>
          </cell>
        </row>
        <row r="229">
          <cell r="A229" t="str">
            <v>23.10 Wytwarzanie i przetwarzanie produktów koksowania węgla</v>
          </cell>
          <cell r="B229" t="str">
            <v>23.10</v>
          </cell>
          <cell r="C229">
            <v>8</v>
          </cell>
        </row>
        <row r="230">
          <cell r="A230" t="str">
            <v>23.20 Wytwarzanie i przetwarzanie produktów rafinacji ropy naftowej</v>
          </cell>
          <cell r="B230" t="str">
            <v>23.20</v>
          </cell>
          <cell r="C230">
            <v>5</v>
          </cell>
        </row>
        <row r="231">
          <cell r="A231" t="str">
            <v>23.30 Wytwarzanie paliw jądrowych</v>
          </cell>
          <cell r="B231" t="str">
            <v>23.30</v>
          </cell>
          <cell r="C231">
            <v>7</v>
          </cell>
        </row>
        <row r="232">
          <cell r="A232" t="str">
            <v>24.11 Produkcja gazów technicznych</v>
          </cell>
          <cell r="B232" t="str">
            <v>24.11</v>
          </cell>
          <cell r="C232">
            <v>5</v>
          </cell>
        </row>
        <row r="233">
          <cell r="A233" t="str">
            <v>24.12 Produkcja barwników i pigmentów</v>
          </cell>
          <cell r="B233" t="str">
            <v>24.12</v>
          </cell>
          <cell r="C233">
            <v>4</v>
          </cell>
        </row>
        <row r="234">
          <cell r="A234" t="str">
            <v>24.13 Produkcja chemikaliów nieorganicznych podstawowych pozostałych</v>
          </cell>
          <cell r="B234" t="str">
            <v>24.13</v>
          </cell>
          <cell r="C234">
            <v>2</v>
          </cell>
        </row>
        <row r="235">
          <cell r="A235" t="str">
            <v>24.14 Produkcja chemikaliów organicznych podstawowych pozostałych</v>
          </cell>
          <cell r="B235" t="str">
            <v>24.14</v>
          </cell>
          <cell r="C235">
            <v>5</v>
          </cell>
        </row>
        <row r="236">
          <cell r="A236" t="str">
            <v>24.15 Produkcja nawozów sztucznych i związków azotowych</v>
          </cell>
          <cell r="B236" t="str">
            <v>24.15</v>
          </cell>
          <cell r="C236">
            <v>7</v>
          </cell>
        </row>
        <row r="237">
          <cell r="A237" t="str">
            <v>24.16 Produkcja tworzyw sztucznych</v>
          </cell>
          <cell r="B237" t="str">
            <v>24.16</v>
          </cell>
          <cell r="C237">
            <v>4</v>
          </cell>
        </row>
        <row r="238">
          <cell r="A238" t="str">
            <v>24.17 Produkcja kauczuku syntetycznego</v>
          </cell>
          <cell r="B238" t="str">
            <v>24.17</v>
          </cell>
          <cell r="C238">
            <v>3</v>
          </cell>
        </row>
        <row r="239">
          <cell r="A239" t="str">
            <v>24.20 Produkcja pestycydów i pozostałych środków agrochemicznych</v>
          </cell>
          <cell r="B239" t="str">
            <v>24.20</v>
          </cell>
          <cell r="C239">
            <v>3</v>
          </cell>
        </row>
        <row r="240">
          <cell r="A240" t="str">
            <v>24.30 Produkcja farb i lakierów</v>
          </cell>
          <cell r="B240" t="str">
            <v>24.30</v>
          </cell>
          <cell r="C240">
            <v>3</v>
          </cell>
        </row>
        <row r="241">
          <cell r="A241" t="str">
            <v>24.41 Produkcja podstawowych substancji farmaceutycznych</v>
          </cell>
          <cell r="B241" t="str">
            <v>24.41</v>
          </cell>
          <cell r="C241">
            <v>2</v>
          </cell>
        </row>
        <row r="242">
          <cell r="A242" t="str">
            <v>24.42 Produkcja leków i preparatów farmaceutycznych</v>
          </cell>
          <cell r="B242" t="str">
            <v>24.42</v>
          </cell>
          <cell r="C242">
            <v>1</v>
          </cell>
        </row>
        <row r="243">
          <cell r="A243" t="str">
            <v>24.51 Produkcja środków myjących i czyszczących</v>
          </cell>
          <cell r="B243" t="str">
            <v>24.51</v>
          </cell>
          <cell r="C243">
            <v>2</v>
          </cell>
        </row>
        <row r="244">
          <cell r="A244" t="str">
            <v>24.52 Produkcja wyrobów kosmetycznych i toaletowych</v>
          </cell>
          <cell r="B244" t="str">
            <v>24.52</v>
          </cell>
          <cell r="C244">
            <v>3</v>
          </cell>
        </row>
        <row r="245">
          <cell r="A245" t="str">
            <v>24.61 Produkcja materiałów wybuchowych</v>
          </cell>
          <cell r="B245" t="str">
            <v>24.61</v>
          </cell>
          <cell r="C245">
            <v>1</v>
          </cell>
        </row>
        <row r="246">
          <cell r="A246" t="str">
            <v>24.62 Produkcja klejów i żelatyn</v>
          </cell>
          <cell r="B246" t="str">
            <v>24.62</v>
          </cell>
          <cell r="C246">
            <v>1</v>
          </cell>
        </row>
        <row r="247">
          <cell r="A247" t="str">
            <v>24.63 Produkcja olejków eterycznych</v>
          </cell>
          <cell r="B247" t="str">
            <v>24.63</v>
          </cell>
          <cell r="C247">
            <v>3</v>
          </cell>
        </row>
        <row r="248">
          <cell r="A248" t="str">
            <v>24.64 Produkcja chemikaliów fotograficznych</v>
          </cell>
          <cell r="B248" t="str">
            <v>24.64</v>
          </cell>
          <cell r="C248">
            <v>3</v>
          </cell>
        </row>
        <row r="249">
          <cell r="A249" t="str">
            <v>24.65 Produkcja nie zapisanych nośników informacji</v>
          </cell>
          <cell r="B249" t="str">
            <v>24.65</v>
          </cell>
          <cell r="C249">
            <v>5</v>
          </cell>
        </row>
        <row r="250">
          <cell r="A250" t="str">
            <v>24.66 Produkcja wyrobów chemicznych pozostałych, gdzie indziej nie sklasyfikowana</v>
          </cell>
          <cell r="B250" t="str">
            <v>24.66</v>
          </cell>
          <cell r="C250">
            <v>5</v>
          </cell>
        </row>
        <row r="251">
          <cell r="A251" t="str">
            <v>24.70 Produkcja włókien chemicznych</v>
          </cell>
          <cell r="B251" t="str">
            <v>24.70</v>
          </cell>
          <cell r="C251">
            <v>6</v>
          </cell>
        </row>
        <row r="252">
          <cell r="A252" t="str">
            <v>25.11 Produkcja ogumienia dla środków transportu</v>
          </cell>
          <cell r="B252" t="str">
            <v>25.11</v>
          </cell>
          <cell r="C252">
            <v>2</v>
          </cell>
        </row>
        <row r="253">
          <cell r="A253" t="str">
            <v>25.12 Bieżnikowanie opon</v>
          </cell>
          <cell r="B253" t="str">
            <v>25.12</v>
          </cell>
          <cell r="C253">
            <v>5</v>
          </cell>
        </row>
        <row r="254">
          <cell r="A254" t="str">
            <v>25.13 Produkcja pozostałych wyrobów gumowych</v>
          </cell>
          <cell r="B254" t="str">
            <v>25.13</v>
          </cell>
          <cell r="C254">
            <v>3</v>
          </cell>
        </row>
        <row r="255">
          <cell r="A255" t="str">
            <v>25.21 Produkcja płyt, arkuszy, rur i kształtek z tworzyw sztucznych</v>
          </cell>
          <cell r="B255" t="str">
            <v>25.21</v>
          </cell>
          <cell r="C255">
            <v>4</v>
          </cell>
        </row>
        <row r="256">
          <cell r="A256" t="str">
            <v>25.22 Produkcja opakowań z tworzyw sztucznych</v>
          </cell>
          <cell r="B256" t="str">
            <v>25.22</v>
          </cell>
          <cell r="C256">
            <v>4</v>
          </cell>
        </row>
        <row r="257">
          <cell r="A257" t="str">
            <v>25.23 Produkcja wyrobów z tworzyw sztucznych dla budownictwa</v>
          </cell>
          <cell r="B257" t="str">
            <v>25.23</v>
          </cell>
          <cell r="C257">
            <v>2</v>
          </cell>
        </row>
        <row r="258">
          <cell r="A258" t="str">
            <v>25.24 Produkcja pozostałych wyrobów z tworzyw sztucznych</v>
          </cell>
          <cell r="B258" t="str">
            <v>25.24</v>
          </cell>
          <cell r="C258">
            <v>2</v>
          </cell>
        </row>
        <row r="259">
          <cell r="A259" t="str">
            <v>26.11 Produkcja szkła płaskiego</v>
          </cell>
          <cell r="B259" t="str">
            <v>26.11</v>
          </cell>
          <cell r="C259">
            <v>3</v>
          </cell>
        </row>
        <row r="260">
          <cell r="A260" t="str">
            <v>26.12 Produkcja szkła płaskiego obrobionego i wyrobów ze szkła płaskiego</v>
          </cell>
          <cell r="B260" t="str">
            <v>26.12</v>
          </cell>
          <cell r="C260">
            <v>2</v>
          </cell>
        </row>
        <row r="261">
          <cell r="A261" t="str">
            <v>26.13 Produkcja szkła gospodarczego</v>
          </cell>
          <cell r="B261" t="str">
            <v>26.13</v>
          </cell>
          <cell r="C261">
            <v>3</v>
          </cell>
        </row>
        <row r="262">
          <cell r="A262" t="str">
            <v>26.14 Produkcja włókien szklanych</v>
          </cell>
          <cell r="B262" t="str">
            <v>26.14</v>
          </cell>
          <cell r="C262">
            <v>3</v>
          </cell>
        </row>
        <row r="263">
          <cell r="A263" t="str">
            <v>26.15 Produkcja szkła technicznego</v>
          </cell>
          <cell r="B263" t="str">
            <v>26.15</v>
          </cell>
          <cell r="C263">
            <v>2</v>
          </cell>
        </row>
        <row r="264">
          <cell r="A264" t="str">
            <v>26.21 Produkcja ceramicznych wyrobów stołowych i ozdobnych</v>
          </cell>
          <cell r="B264" t="str">
            <v>26.21</v>
          </cell>
          <cell r="C264">
            <v>7</v>
          </cell>
        </row>
        <row r="265">
          <cell r="A265" t="str">
            <v>26.22 Produkcja ceramicznych wyrobów sanitarnych</v>
          </cell>
          <cell r="B265" t="str">
            <v>26.22</v>
          </cell>
          <cell r="C265">
            <v>7</v>
          </cell>
        </row>
        <row r="266">
          <cell r="A266" t="str">
            <v>26.23 Produkcja ceramicznych izolatorów i osłon izolacyjnych</v>
          </cell>
          <cell r="B266" t="str">
            <v>26.23</v>
          </cell>
          <cell r="C266">
            <v>6</v>
          </cell>
        </row>
        <row r="267">
          <cell r="A267" t="str">
            <v>26.24 Produkcja wyrobów ceramicznych technicznych pozostałych</v>
          </cell>
          <cell r="B267" t="str">
            <v>26.24</v>
          </cell>
          <cell r="C267">
            <v>6</v>
          </cell>
        </row>
        <row r="268">
          <cell r="A268" t="str">
            <v>26.25 Produkcja wyrobów ceramicznych pozostałych</v>
          </cell>
          <cell r="B268" t="str">
            <v>26.25</v>
          </cell>
          <cell r="C268">
            <v>5</v>
          </cell>
        </row>
        <row r="269">
          <cell r="A269" t="str">
            <v>26.26 Produkcja materiałów i wyrobów ceramicznych ogniotrwałych</v>
          </cell>
          <cell r="B269" t="str">
            <v>26.26</v>
          </cell>
          <cell r="C269">
            <v>4</v>
          </cell>
        </row>
        <row r="270">
          <cell r="A270" t="str">
            <v>26.30 Produkcja płytek ceramicznych</v>
          </cell>
          <cell r="B270" t="str">
            <v>26.30</v>
          </cell>
          <cell r="C270">
            <v>4</v>
          </cell>
        </row>
        <row r="271">
          <cell r="A271" t="str">
            <v>26.40 Produkcja ceramiki budowlanej</v>
          </cell>
          <cell r="B271" t="str">
            <v>26.40</v>
          </cell>
          <cell r="C271">
            <v>7</v>
          </cell>
        </row>
        <row r="272">
          <cell r="A272" t="str">
            <v>26.51 Produkcja cementu</v>
          </cell>
          <cell r="B272" t="str">
            <v>26.51</v>
          </cell>
          <cell r="C272">
            <v>2</v>
          </cell>
        </row>
        <row r="273">
          <cell r="A273" t="str">
            <v>26.52 Produkcja wapna</v>
          </cell>
          <cell r="B273" t="str">
            <v>26.52</v>
          </cell>
          <cell r="C273">
            <v>2</v>
          </cell>
        </row>
        <row r="274">
          <cell r="A274" t="str">
            <v>26.53 Produkcja gipsu</v>
          </cell>
          <cell r="B274" t="str">
            <v>26.53</v>
          </cell>
          <cell r="C274">
            <v>4</v>
          </cell>
        </row>
        <row r="275">
          <cell r="A275" t="str">
            <v>26.61 Produkcja wyrobów betonowych budowlanych</v>
          </cell>
          <cell r="B275" t="str">
            <v>26.61</v>
          </cell>
          <cell r="C275">
            <v>5</v>
          </cell>
        </row>
        <row r="276">
          <cell r="A276" t="str">
            <v>26.62 Produkcja wyrobów gipsowych dla budownictwa</v>
          </cell>
          <cell r="B276" t="str">
            <v>26.62</v>
          </cell>
          <cell r="C276">
            <v>5</v>
          </cell>
        </row>
        <row r="277">
          <cell r="A277" t="str">
            <v>26.63 Produkcja masy betonowej</v>
          </cell>
          <cell r="B277" t="str">
            <v>26.63</v>
          </cell>
          <cell r="C277">
            <v>3</v>
          </cell>
        </row>
        <row r="278">
          <cell r="A278" t="str">
            <v>26.64 Produkcja zaprawy murarskiej</v>
          </cell>
          <cell r="B278" t="str">
            <v>26.64</v>
          </cell>
          <cell r="C278">
            <v>2</v>
          </cell>
        </row>
        <row r="279">
          <cell r="A279" t="str">
            <v>26.65 Produkcja wyrobów azbestowo- cementowych, wiórowo-cementowych i podobnych</v>
          </cell>
          <cell r="B279" t="str">
            <v>26.65</v>
          </cell>
          <cell r="C279">
            <v>6</v>
          </cell>
        </row>
        <row r="280">
          <cell r="A280" t="str">
            <v>26.66 Produkcja wyrobów betonowych i gipsowych pozostałych</v>
          </cell>
          <cell r="B280" t="str">
            <v>26.66</v>
          </cell>
          <cell r="C280">
            <v>4</v>
          </cell>
        </row>
        <row r="281">
          <cell r="A281" t="str">
            <v>26.70 Produkcja wyrobów ze skał i kamienia naturalnego</v>
          </cell>
          <cell r="B281" t="str">
            <v>26.70</v>
          </cell>
          <cell r="C281">
            <v>5</v>
          </cell>
        </row>
        <row r="282">
          <cell r="A282" t="str">
            <v>26.81 Produkcja technicznych artykułów ściernych</v>
          </cell>
          <cell r="B282" t="str">
            <v>26.81</v>
          </cell>
          <cell r="C282">
            <v>2</v>
          </cell>
        </row>
        <row r="283">
          <cell r="A283" t="str">
            <v>26.82 Produkcja wyrobów pozostałych z mineralnych surowców niemetalicznych, gdzie indziej nie sklasyfikowana</v>
          </cell>
          <cell r="B283" t="str">
            <v>26.82</v>
          </cell>
          <cell r="C283">
            <v>3</v>
          </cell>
        </row>
        <row r="284">
          <cell r="A284" t="str">
            <v>27.10 Produkcja żeliwa i stali oraz stopów żelaza</v>
          </cell>
          <cell r="B284" t="str">
            <v>27.10</v>
          </cell>
          <cell r="C284">
            <v>6</v>
          </cell>
        </row>
        <row r="285">
          <cell r="A285" t="str">
            <v>27.21 Produkcja rur żeliwnych</v>
          </cell>
          <cell r="B285" t="str">
            <v>27.21</v>
          </cell>
          <cell r="C285">
            <v>6</v>
          </cell>
        </row>
        <row r="286">
          <cell r="A286" t="str">
            <v>27.22 Produkcja rur stalowych, przewodów rurowych i profili drążonych</v>
          </cell>
          <cell r="B286" t="str">
            <v>27.22</v>
          </cell>
          <cell r="C286">
            <v>6</v>
          </cell>
        </row>
        <row r="287">
          <cell r="A287" t="str">
            <v>27.31 Produkcja sztab, prętów i profili ciągnionych na zimno</v>
          </cell>
          <cell r="B287" t="str">
            <v>27.31</v>
          </cell>
          <cell r="C287">
            <v>4</v>
          </cell>
        </row>
        <row r="288">
          <cell r="A288" t="str">
            <v>27.32 Produkcja wyrobów wąskich i płaskich walcowanych na zimno</v>
          </cell>
          <cell r="B288" t="str">
            <v>27.32</v>
          </cell>
          <cell r="C288">
            <v>5</v>
          </cell>
        </row>
        <row r="289">
          <cell r="A289" t="str">
            <v>27.33 Produkcja wyrobów formowanych i składanych na zimno</v>
          </cell>
          <cell r="B289" t="str">
            <v>27.33</v>
          </cell>
          <cell r="C289">
            <v>5</v>
          </cell>
        </row>
        <row r="290">
          <cell r="A290" t="str">
            <v>27.34 Produkcja drutów</v>
          </cell>
          <cell r="B290" t="str">
            <v>27.34</v>
          </cell>
          <cell r="C290">
            <v>5</v>
          </cell>
        </row>
        <row r="291">
          <cell r="A291" t="str">
            <v>27.35 Pozostała obróbka wstępna żeliwa i stali, gdzie indziej nie sklasyfikowana; produkcja stopów żelaza, z wyjątkiem wymien</v>
          </cell>
          <cell r="B291" t="str">
            <v>27.35</v>
          </cell>
          <cell r="C291">
            <v>6</v>
          </cell>
        </row>
        <row r="292">
          <cell r="A292" t="str">
            <v>27.41 Produkcja metali szlachetnych</v>
          </cell>
          <cell r="B292" t="str">
            <v>27.41</v>
          </cell>
          <cell r="C292">
            <v>6</v>
          </cell>
        </row>
        <row r="293">
          <cell r="A293" t="str">
            <v>27.42 Produkcja aluminium</v>
          </cell>
          <cell r="B293" t="str">
            <v>27.42</v>
          </cell>
          <cell r="C293">
            <v>3</v>
          </cell>
        </row>
        <row r="294">
          <cell r="A294" t="str">
            <v>27.43 Produkcja ołowiu, cynku i cyny</v>
          </cell>
          <cell r="B294" t="str">
            <v>27.43</v>
          </cell>
          <cell r="C294">
            <v>3</v>
          </cell>
        </row>
        <row r="295">
          <cell r="A295" t="str">
            <v>27.44 Produkcja miedzi</v>
          </cell>
          <cell r="B295" t="str">
            <v>27.44</v>
          </cell>
          <cell r="C295">
            <v>3</v>
          </cell>
        </row>
        <row r="296">
          <cell r="A296" t="str">
            <v>27.45 Produkcja pozostałych metali nieżelaznych</v>
          </cell>
          <cell r="B296" t="str">
            <v>27.45</v>
          </cell>
          <cell r="C296">
            <v>5</v>
          </cell>
        </row>
        <row r="297">
          <cell r="A297" t="str">
            <v>27.51 Odlewnictwo żeliwa</v>
          </cell>
          <cell r="B297" t="str">
            <v>27.51</v>
          </cell>
          <cell r="C297">
            <v>7</v>
          </cell>
        </row>
        <row r="298">
          <cell r="A298" t="str">
            <v>27.52 Odlewnictwo staliwa</v>
          </cell>
          <cell r="B298" t="str">
            <v>27.52</v>
          </cell>
          <cell r="C298">
            <v>8</v>
          </cell>
        </row>
        <row r="299">
          <cell r="A299" t="str">
            <v>27.53 Odlewnictwo metali lekkich</v>
          </cell>
          <cell r="B299" t="str">
            <v>27.53</v>
          </cell>
          <cell r="C299">
            <v>6</v>
          </cell>
        </row>
        <row r="300">
          <cell r="A300" t="str">
            <v>27.54 Odlewnictwo pozostałych metali nieżelaznych</v>
          </cell>
          <cell r="B300" t="str">
            <v>27.54</v>
          </cell>
          <cell r="C300">
            <v>5</v>
          </cell>
        </row>
        <row r="301">
          <cell r="A301" t="str">
            <v>28.11 Produkcja konstrukcji metalowych i ich części</v>
          </cell>
          <cell r="B301" t="str">
            <v>28.11</v>
          </cell>
          <cell r="C301">
            <v>6</v>
          </cell>
        </row>
        <row r="302">
          <cell r="A302" t="str">
            <v>28.12 Produkcja metalowych elementów stolarki budowlanej</v>
          </cell>
          <cell r="B302" t="str">
            <v>28.12</v>
          </cell>
          <cell r="C302">
            <v>4</v>
          </cell>
        </row>
        <row r="303">
          <cell r="A303" t="str">
            <v>28.21 Produkcja cystern, pojemników i zbiorników metalowych</v>
          </cell>
          <cell r="B303" t="str">
            <v>28.21</v>
          </cell>
          <cell r="C303">
            <v>8</v>
          </cell>
        </row>
        <row r="304">
          <cell r="A304" t="str">
            <v>28.22 Produkcja grzejników i kotłów centralnego ogrzewania</v>
          </cell>
          <cell r="B304" t="str">
            <v>28.22</v>
          </cell>
          <cell r="C304">
            <v>2</v>
          </cell>
        </row>
        <row r="305">
          <cell r="A305" t="str">
            <v>28.30 Produkcja wytwornic pary, z wyjątkiem kotłów do centralnego ogrzewania gorącą wodą</v>
          </cell>
          <cell r="B305" t="str">
            <v>28.30</v>
          </cell>
          <cell r="C305">
            <v>4</v>
          </cell>
        </row>
        <row r="306">
          <cell r="A306" t="str">
            <v>28.40 Kucie, prasowanie, wytłaczanie i walcowanie metali; metalurgia proszków</v>
          </cell>
          <cell r="B306" t="str">
            <v>28.40</v>
          </cell>
          <cell r="C306">
            <v>6</v>
          </cell>
        </row>
        <row r="307">
          <cell r="A307" t="str">
            <v>28.51 Obróbka metali i nakładanie powłok na metale</v>
          </cell>
          <cell r="B307" t="str">
            <v>28.51</v>
          </cell>
          <cell r="C307">
            <v>5</v>
          </cell>
        </row>
        <row r="308">
          <cell r="A308" t="str">
            <v>28.52 Obróbka mechaniczna elementów metalowych</v>
          </cell>
          <cell r="B308" t="str">
            <v>28.52</v>
          </cell>
          <cell r="C308">
            <v>5</v>
          </cell>
        </row>
        <row r="309">
          <cell r="A309" t="str">
            <v>28.61 Produkcja wyrobów nożowniczych</v>
          </cell>
          <cell r="B309" t="str">
            <v>28.61</v>
          </cell>
          <cell r="C309">
            <v>3</v>
          </cell>
        </row>
        <row r="310">
          <cell r="A310" t="str">
            <v>28.62 Produkcja narzędzi</v>
          </cell>
          <cell r="B310" t="str">
            <v>28.62</v>
          </cell>
          <cell r="C310">
            <v>4</v>
          </cell>
        </row>
        <row r="311">
          <cell r="A311" t="str">
            <v>28.63 Produkcja zamków i zawiasów</v>
          </cell>
          <cell r="B311" t="str">
            <v>28.63</v>
          </cell>
          <cell r="C311">
            <v>2</v>
          </cell>
        </row>
        <row r="312">
          <cell r="A312" t="str">
            <v>28.71 Produkcja pojemników metalowych</v>
          </cell>
          <cell r="B312" t="str">
            <v>28.71</v>
          </cell>
          <cell r="C312">
            <v>1</v>
          </cell>
        </row>
        <row r="313">
          <cell r="A313" t="str">
            <v>28.72 Produkcja opakowań z metali lekkich</v>
          </cell>
          <cell r="B313" t="str">
            <v>28.72</v>
          </cell>
          <cell r="C313">
            <v>3</v>
          </cell>
        </row>
        <row r="314">
          <cell r="A314" t="str">
            <v>28.73 Produkcja wyrobów z drutu</v>
          </cell>
          <cell r="B314" t="str">
            <v>28.73</v>
          </cell>
          <cell r="C314">
            <v>4</v>
          </cell>
        </row>
        <row r="315">
          <cell r="A315" t="str">
            <v>28.74 Produkcja złączy, śrub, łańcuchów i sprężyn</v>
          </cell>
          <cell r="B315" t="str">
            <v>28.74</v>
          </cell>
          <cell r="C315">
            <v>3</v>
          </cell>
        </row>
        <row r="316">
          <cell r="A316" t="str">
            <v>28.75 Produkcja wyrobów metalowych gotowych pozostała, gdzie indziej nie sklasyfikowana</v>
          </cell>
          <cell r="B316" t="str">
            <v>28.75</v>
          </cell>
          <cell r="C316">
            <v>4</v>
          </cell>
        </row>
        <row r="317">
          <cell r="A317" t="str">
            <v>29.11 Produkcja silników i turbin, z wyjątkiem silników lotniczych, samochodowych i motocyklowych</v>
          </cell>
          <cell r="B317" t="str">
            <v>29.11</v>
          </cell>
          <cell r="C317">
            <v>6</v>
          </cell>
        </row>
        <row r="318">
          <cell r="A318" t="str">
            <v>29.12 Produkcja pomp i sprężarek</v>
          </cell>
          <cell r="B318" t="str">
            <v>29.12</v>
          </cell>
          <cell r="C318">
            <v>4</v>
          </cell>
        </row>
        <row r="319">
          <cell r="A319" t="str">
            <v>29.13 Produkcja kurków i zaworów</v>
          </cell>
          <cell r="B319" t="str">
            <v>29.13</v>
          </cell>
          <cell r="C319">
            <v>4</v>
          </cell>
        </row>
        <row r="320">
          <cell r="A320" t="str">
            <v>29.14 Produkcja łożysk, kół zębatych, przekładni zębatych i elementów napędowych</v>
          </cell>
          <cell r="B320" t="str">
            <v>29.14</v>
          </cell>
          <cell r="C320">
            <v>7</v>
          </cell>
        </row>
        <row r="321">
          <cell r="A321" t="str">
            <v>29.21 Produkcja pieców, palenisk i palników piecowych</v>
          </cell>
          <cell r="B321" t="str">
            <v>29.21</v>
          </cell>
          <cell r="C321">
            <v>4</v>
          </cell>
        </row>
        <row r="322">
          <cell r="A322" t="str">
            <v>29.22 Produkcja urządzeń dźwigowych i chwytaków</v>
          </cell>
          <cell r="B322" t="str">
            <v>29.22</v>
          </cell>
          <cell r="C322">
            <v>6</v>
          </cell>
        </row>
        <row r="323">
          <cell r="A323" t="str">
            <v>29.23 Produkcja urządzeń chłodniczych i wentylacyjnych, z wyjątkiem urządzeń przeznaczonych dla gospodarstw domowych</v>
          </cell>
          <cell r="B323" t="str">
            <v>29.23</v>
          </cell>
          <cell r="C323">
            <v>4</v>
          </cell>
        </row>
        <row r="324">
          <cell r="A324" t="str">
            <v>29.24 Produkcja pozostałych maszyn ogólnego przeznaczenia, gdzie indziej nie sklasyfikowana</v>
          </cell>
          <cell r="B324" t="str">
            <v>29.24</v>
          </cell>
          <cell r="C324">
            <v>5</v>
          </cell>
        </row>
        <row r="325">
          <cell r="A325" t="str">
            <v>29.31 Produkcja ciągników rolniczych</v>
          </cell>
          <cell r="B325" t="str">
            <v>29.31</v>
          </cell>
          <cell r="C325">
            <v>5</v>
          </cell>
        </row>
        <row r="326">
          <cell r="A326" t="str">
            <v>29.32 Produkcja pozostałych maszyn dla rolnictwa i leśnictwa</v>
          </cell>
          <cell r="B326" t="str">
            <v>29.32</v>
          </cell>
          <cell r="C326">
            <v>6</v>
          </cell>
        </row>
        <row r="327">
          <cell r="A327" t="str">
            <v>29.40 Produkcja obrabiarek i narzędzi mechanicznych</v>
          </cell>
          <cell r="B327" t="str">
            <v>29.40</v>
          </cell>
          <cell r="C327">
            <v>7</v>
          </cell>
        </row>
        <row r="328">
          <cell r="A328" t="str">
            <v>29.51 Produkcja maszyn dla metalurgii</v>
          </cell>
          <cell r="B328" t="str">
            <v>29.51</v>
          </cell>
          <cell r="C328">
            <v>8</v>
          </cell>
        </row>
        <row r="329">
          <cell r="A329" t="str">
            <v>29.52 Produkcja maszyn dla górnictwa, kopalnictwa i budownictwa</v>
          </cell>
          <cell r="B329" t="str">
            <v>29.52</v>
          </cell>
          <cell r="C329">
            <v>5</v>
          </cell>
        </row>
        <row r="330">
          <cell r="A330" t="str">
            <v>29.53 Produkcja maszyn stosowanych w przetwórstwie żywności, tytoniu i w produkcji napojów</v>
          </cell>
          <cell r="B330" t="str">
            <v>29.53</v>
          </cell>
          <cell r="C330">
            <v>5</v>
          </cell>
        </row>
        <row r="331">
          <cell r="A331" t="str">
            <v>29.54 Produkcja maszyn dla przemysłu włókienniczego, odzieżowego i skórzanego</v>
          </cell>
          <cell r="B331" t="str">
            <v>29.54</v>
          </cell>
          <cell r="C331">
            <v>5</v>
          </cell>
        </row>
        <row r="332">
          <cell r="A332" t="str">
            <v>29.55 Produkcja maszyn dla przemysłu papierniczego</v>
          </cell>
          <cell r="B332" t="str">
            <v>29.55</v>
          </cell>
          <cell r="C332">
            <v>6</v>
          </cell>
        </row>
        <row r="333">
          <cell r="A333" t="str">
            <v>29.56 Produkcja pozostałych maszyn specjalnego przeznaczenia, gdzie indziej nie sklasyfikowana</v>
          </cell>
          <cell r="B333" t="str">
            <v>29.56</v>
          </cell>
          <cell r="C333">
            <v>6</v>
          </cell>
        </row>
        <row r="334">
          <cell r="A334" t="str">
            <v>29.60 Produkcja broni i amunicji</v>
          </cell>
          <cell r="B334" t="str">
            <v>29.60</v>
          </cell>
          <cell r="C334">
            <v>8</v>
          </cell>
        </row>
        <row r="335">
          <cell r="A335" t="str">
            <v>29.71 Produkcja elektrycznego sprzętu gospodarstwa domowego</v>
          </cell>
          <cell r="B335" t="str">
            <v>29.71</v>
          </cell>
          <cell r="C335">
            <v>8</v>
          </cell>
        </row>
        <row r="336">
          <cell r="A336" t="str">
            <v>29.72 Produkcja nieelektrycznego sprzętu gospodarstwa domowego</v>
          </cell>
          <cell r="B336" t="str">
            <v>29.72</v>
          </cell>
          <cell r="C336">
            <v>8</v>
          </cell>
        </row>
        <row r="337">
          <cell r="A337" t="str">
            <v>30.01 Produkcja maszyn biurowych</v>
          </cell>
          <cell r="B337" t="str">
            <v>30.01</v>
          </cell>
          <cell r="C337">
            <v>6</v>
          </cell>
        </row>
        <row r="338">
          <cell r="A338" t="str">
            <v>30.02 Produkcja komputerów i innych urządzeń do przetwarzania informacji</v>
          </cell>
          <cell r="B338" t="str">
            <v>30.02</v>
          </cell>
          <cell r="C338">
            <v>6</v>
          </cell>
        </row>
        <row r="339">
          <cell r="A339" t="str">
            <v>31.10 Produkcja silników elektrycznych, prądnic i transformatorów</v>
          </cell>
          <cell r="B339" t="str">
            <v>31.10</v>
          </cell>
          <cell r="C339">
            <v>5</v>
          </cell>
        </row>
        <row r="340">
          <cell r="A340" t="str">
            <v>31.20 Produkcja aparatury rozdzielczej i sterowniczej energii elektrycznej</v>
          </cell>
          <cell r="B340" t="str">
            <v>31.20</v>
          </cell>
          <cell r="C340">
            <v>3</v>
          </cell>
        </row>
        <row r="341">
          <cell r="A341" t="str">
            <v>31.30 Produkcja izolowanych drutów i przewodów</v>
          </cell>
          <cell r="B341" t="str">
            <v>31.30</v>
          </cell>
          <cell r="C341">
            <v>4</v>
          </cell>
        </row>
        <row r="342">
          <cell r="A342" t="str">
            <v>31.40 Produkcja akumulatorów, ogniw i baterii galwanicznych</v>
          </cell>
          <cell r="B342" t="str">
            <v>31.40</v>
          </cell>
          <cell r="C342">
            <v>4</v>
          </cell>
        </row>
        <row r="343">
          <cell r="A343" t="str">
            <v>31.50 Produkcja sprzętu oświetleniowego i lamp elektrycznych</v>
          </cell>
          <cell r="B343" t="str">
            <v>31.50</v>
          </cell>
          <cell r="C343">
            <v>3</v>
          </cell>
        </row>
        <row r="344">
          <cell r="A344" t="str">
            <v>31.61 Produkcja wyposażenia elektrycznego do silników i pojazdów, gdzie indziej nie sklasyfikowana</v>
          </cell>
          <cell r="B344" t="str">
            <v>31.61</v>
          </cell>
          <cell r="C344">
            <v>3</v>
          </cell>
        </row>
        <row r="345">
          <cell r="A345" t="str">
            <v>31.62 Produkcja sprzętu elektrycznego, gdzie indziej nie sklasyfikowana</v>
          </cell>
          <cell r="B345" t="str">
            <v>31.62</v>
          </cell>
          <cell r="C345">
            <v>4</v>
          </cell>
        </row>
        <row r="346">
          <cell r="A346" t="str">
            <v>32.10 Produkcja lamp elektronowych i innych elementów elektronicznych</v>
          </cell>
          <cell r="B346" t="str">
            <v>32.10</v>
          </cell>
          <cell r="C346">
            <v>4</v>
          </cell>
        </row>
        <row r="347">
          <cell r="A347" t="str">
            <v>32.20 Produkcja nadajników telewizyjnych i radiowych oraz aparatów dla telefonii i telegrafii przewodowej</v>
          </cell>
          <cell r="B347" t="str">
            <v>32.20</v>
          </cell>
          <cell r="C347">
            <v>3</v>
          </cell>
        </row>
        <row r="348">
          <cell r="A348" t="str">
            <v>32.30 Produkcja odbiorników telewizyjnych i radiowych, urządzeń do rejestracji i odtwarzania dźwięku i obrazu oraz akcesoriów</v>
          </cell>
          <cell r="B348" t="str">
            <v>32.30</v>
          </cell>
          <cell r="C348">
            <v>4</v>
          </cell>
        </row>
        <row r="349">
          <cell r="A349" t="str">
            <v>33.10 Produkcja sprzętu medycznego i chirurgicznego oraz przyrządów ortopedycznych</v>
          </cell>
          <cell r="B349" t="str">
            <v>33.10</v>
          </cell>
          <cell r="C349">
            <v>3</v>
          </cell>
        </row>
        <row r="350">
          <cell r="A350" t="str">
            <v>33.20 Produkcja instrumentów i przyrządów pomiarowych, kontrolnych, badawczych, nawigacyjnych i innego przeznaczenia, z wyjątkiem...</v>
          </cell>
          <cell r="B350" t="str">
            <v>33.20</v>
          </cell>
          <cell r="C350">
            <v>3</v>
          </cell>
        </row>
        <row r="351">
          <cell r="A351" t="str">
            <v>33.30 Produkcja systemów do sterowania procesami przemysłowymi</v>
          </cell>
          <cell r="B351" t="str">
            <v>33.30</v>
          </cell>
          <cell r="C351">
            <v>3</v>
          </cell>
        </row>
        <row r="352">
          <cell r="A352" t="str">
            <v>33.40 Produkcja instrumentów optycznych i sprzętu fotograficznego</v>
          </cell>
          <cell r="B352" t="str">
            <v>33.40</v>
          </cell>
          <cell r="C352">
            <v>8</v>
          </cell>
        </row>
        <row r="353">
          <cell r="A353" t="str">
            <v>33.50 Produkcja zegarów i zegarków</v>
          </cell>
          <cell r="B353" t="str">
            <v>33.50</v>
          </cell>
          <cell r="C353">
            <v>8</v>
          </cell>
        </row>
        <row r="354">
          <cell r="A354" t="str">
            <v>34.10 Produkcja pojazdów mechanicznych</v>
          </cell>
          <cell r="B354" t="str">
            <v>34.10</v>
          </cell>
          <cell r="C354">
            <v>7</v>
          </cell>
        </row>
        <row r="355">
          <cell r="A355" t="str">
            <v>34.20 Produkcja nadwozi pojazdów mechanicznych; produkcja przyczep i naczep</v>
          </cell>
          <cell r="B355" t="str">
            <v>34.20</v>
          </cell>
          <cell r="C355">
            <v>7</v>
          </cell>
        </row>
        <row r="356">
          <cell r="A356" t="str">
            <v>34.30 Produkcja części i akcesoriów do pojazdów mechanicznych i ich silników</v>
          </cell>
          <cell r="B356" t="str">
            <v>34.30</v>
          </cell>
          <cell r="C356">
            <v>4</v>
          </cell>
        </row>
        <row r="357">
          <cell r="A357" t="str">
            <v>35.11 Produkcja i naprawa statków</v>
          </cell>
          <cell r="B357" t="str">
            <v>35.11</v>
          </cell>
          <cell r="C357">
            <v>8</v>
          </cell>
        </row>
        <row r="358">
          <cell r="A358" t="str">
            <v>35.12 Produkcja oraz naprawa łodzi wycieczkowych i sportowych</v>
          </cell>
          <cell r="B358" t="str">
            <v>35.12</v>
          </cell>
          <cell r="C358">
            <v>8</v>
          </cell>
        </row>
        <row r="359">
          <cell r="A359" t="str">
            <v>35.20 Produkcja lokomotyw kolejowych i tramwajowych oraz taboru kolejowego i tramwajowego</v>
          </cell>
          <cell r="B359" t="str">
            <v>35.20</v>
          </cell>
          <cell r="C359">
            <v>8</v>
          </cell>
        </row>
        <row r="360">
          <cell r="A360" t="str">
            <v>35.30 Produkcja statków powietrznych i kosmicznych</v>
          </cell>
          <cell r="B360" t="str">
            <v>35.30</v>
          </cell>
          <cell r="C360">
            <v>8</v>
          </cell>
        </row>
        <row r="361">
          <cell r="A361" t="str">
            <v>35.41 Produkcja motocykli</v>
          </cell>
          <cell r="B361" t="str">
            <v>35.41</v>
          </cell>
          <cell r="C361">
            <v>6</v>
          </cell>
        </row>
        <row r="362">
          <cell r="A362" t="str">
            <v>35.42 Produkcja rowerów</v>
          </cell>
          <cell r="B362" t="str">
            <v>35.42</v>
          </cell>
          <cell r="C362">
            <v>5</v>
          </cell>
        </row>
        <row r="363">
          <cell r="A363" t="str">
            <v>35.43 Produkcja wózków inwalidzkich</v>
          </cell>
          <cell r="B363" t="str">
            <v>35.43</v>
          </cell>
          <cell r="C363">
            <v>6</v>
          </cell>
        </row>
        <row r="364">
          <cell r="A364" t="str">
            <v>35.50 Produkcja pozostałego sprzętu transportowego, gdzie indziej nie sklasyfikowana</v>
          </cell>
          <cell r="B364" t="str">
            <v>35.50</v>
          </cell>
          <cell r="C364">
            <v>8</v>
          </cell>
        </row>
        <row r="365">
          <cell r="A365" t="str">
            <v>36.11 Produkcja krzeseł i mebli do siedzenia</v>
          </cell>
          <cell r="B365" t="str">
            <v>36.11</v>
          </cell>
          <cell r="C365">
            <v>4</v>
          </cell>
        </row>
        <row r="366">
          <cell r="A366" t="str">
            <v>36.12 Produkcja mebli biurowych i sklepowych pozostała</v>
          </cell>
          <cell r="B366" t="str">
            <v>36.12</v>
          </cell>
          <cell r="C366">
            <v>4</v>
          </cell>
        </row>
        <row r="367">
          <cell r="A367" t="str">
            <v>36.13 Produkcja mebli kuchennych</v>
          </cell>
          <cell r="B367" t="str">
            <v>36.13</v>
          </cell>
          <cell r="C367">
            <v>4</v>
          </cell>
        </row>
        <row r="368">
          <cell r="A368" t="str">
            <v>36.14 Produkcja mebli pozostała</v>
          </cell>
          <cell r="B368" t="str">
            <v>36.14</v>
          </cell>
          <cell r="C368">
            <v>4</v>
          </cell>
        </row>
        <row r="369">
          <cell r="A369" t="str">
            <v>36.15 Produkcja materaców</v>
          </cell>
          <cell r="B369" t="str">
            <v>36.15</v>
          </cell>
          <cell r="C369">
            <v>3</v>
          </cell>
        </row>
        <row r="370">
          <cell r="A370" t="str">
            <v>36.21 Produkcja monet i medali</v>
          </cell>
          <cell r="B370" t="str">
            <v>36.21</v>
          </cell>
          <cell r="C370">
            <v>4</v>
          </cell>
        </row>
        <row r="371">
          <cell r="A371" t="str">
            <v>36.22 Produkcja artykułów jubilerskich i podobnych, gdzie indziej nie sklasyfikowana</v>
          </cell>
          <cell r="B371" t="str">
            <v>36.22</v>
          </cell>
          <cell r="C371">
            <v>4</v>
          </cell>
        </row>
        <row r="372">
          <cell r="A372" t="str">
            <v>36.30 Produkcja instrumentów muzycznych</v>
          </cell>
          <cell r="B372" t="str">
            <v>36.30</v>
          </cell>
          <cell r="C372">
            <v>6</v>
          </cell>
        </row>
        <row r="373">
          <cell r="A373" t="str">
            <v>36.40 Produkcja sprzętu sportowego</v>
          </cell>
          <cell r="B373" t="str">
            <v>36.40</v>
          </cell>
          <cell r="C373">
            <v>7</v>
          </cell>
        </row>
        <row r="374">
          <cell r="A374" t="str">
            <v>36.50 Produkcja gier i zabawek</v>
          </cell>
          <cell r="B374" t="str">
            <v>36.50</v>
          </cell>
          <cell r="C374">
            <v>4</v>
          </cell>
        </row>
        <row r="375">
          <cell r="A375" t="str">
            <v>36.61 Produkcja imitacji biżuterii</v>
          </cell>
          <cell r="B375" t="str">
            <v>36.61</v>
          </cell>
          <cell r="C375">
            <v>5</v>
          </cell>
        </row>
        <row r="376">
          <cell r="A376" t="str">
            <v>36.62 Produkcja mioteł, szczotek i pędzli</v>
          </cell>
          <cell r="B376" t="str">
            <v>36.62</v>
          </cell>
          <cell r="C376">
            <v>6</v>
          </cell>
        </row>
        <row r="377">
          <cell r="A377" t="str">
            <v>36.63 Produkcja wyrobów pozostała, gdzie indziej nie sklasyfikowana</v>
          </cell>
          <cell r="B377" t="str">
            <v>36.63</v>
          </cell>
          <cell r="C377">
            <v>5</v>
          </cell>
        </row>
        <row r="378">
          <cell r="A378" t="str">
            <v>37.10 Zagospodarowanie metalowych odpadów i złomu</v>
          </cell>
          <cell r="B378" t="str">
            <v>37.10</v>
          </cell>
          <cell r="C378">
            <v>4</v>
          </cell>
        </row>
        <row r="379">
          <cell r="A379" t="str">
            <v>37.20 Zagospodarowanie niemetalowych odpadów i wyrobów wybrakowanych</v>
          </cell>
          <cell r="B379" t="str">
            <v>37.20</v>
          </cell>
          <cell r="C379">
            <v>3</v>
          </cell>
        </row>
        <row r="380">
          <cell r="A380" t="str">
            <v>40.10 Wytwarzanie i dystrybucja energii elektrycznej</v>
          </cell>
          <cell r="B380" t="str">
            <v>40.10</v>
          </cell>
          <cell r="C380">
            <v>3</v>
          </cell>
        </row>
        <row r="381">
          <cell r="A381" t="str">
            <v>40.20 Wytwarzanie paliw gazowych; dystrybucja paliw gazowych w systemie sieciowym</v>
          </cell>
          <cell r="B381" t="str">
            <v>40.20</v>
          </cell>
          <cell r="C381">
            <v>5</v>
          </cell>
        </row>
        <row r="382">
          <cell r="A382" t="str">
            <v>40.30 Produkcja i dystrybucja ciepła (pary wodnej i gorącej wody)</v>
          </cell>
          <cell r="B382" t="str">
            <v>40.30</v>
          </cell>
          <cell r="C382">
            <v>3</v>
          </cell>
        </row>
        <row r="383">
          <cell r="A383" t="str">
            <v>41.00 Pobór, uzdatnianie i rozprowadzanie wody</v>
          </cell>
          <cell r="B383" t="str">
            <v>41.00</v>
          </cell>
          <cell r="C383">
            <v>1</v>
          </cell>
        </row>
        <row r="384">
          <cell r="A384" t="str">
            <v>45.11 Rozbiórka i burzenie obiektów budowlanych; roboty ziemne</v>
          </cell>
          <cell r="B384" t="str">
            <v>45.11</v>
          </cell>
          <cell r="C384">
            <v>7</v>
          </cell>
        </row>
        <row r="385">
          <cell r="A385" t="str">
            <v>45.12 Wykonywanie wykopów i wierceń geologiczno- inżynierskich</v>
          </cell>
          <cell r="B385" t="str">
            <v>45.12</v>
          </cell>
          <cell r="C385">
            <v>7</v>
          </cell>
        </row>
        <row r="386">
          <cell r="A386" t="str">
            <v>45.21 Budownictwo ogólne i inżynieria lądowa</v>
          </cell>
          <cell r="B386" t="str">
            <v>45.21</v>
          </cell>
          <cell r="C386">
            <v>6</v>
          </cell>
        </row>
        <row r="387">
          <cell r="A387" t="str">
            <v>45.22 Wykonywanie konstrukcji i pokryć dachowych</v>
          </cell>
          <cell r="B387" t="str">
            <v>45.22</v>
          </cell>
          <cell r="C387">
            <v>6</v>
          </cell>
        </row>
        <row r="388">
          <cell r="A388" t="str">
            <v>45.23 Wykonywanie robót budowlanych drogowych</v>
          </cell>
          <cell r="B388" t="str">
            <v>45.23</v>
          </cell>
          <cell r="C388">
            <v>3</v>
          </cell>
        </row>
        <row r="389">
          <cell r="A389" t="str">
            <v>45.24 Budowa obiektów inżynierii wodnej</v>
          </cell>
          <cell r="B389" t="str">
            <v>45.24</v>
          </cell>
          <cell r="C389">
            <v>3</v>
          </cell>
        </row>
        <row r="390">
          <cell r="A390" t="str">
            <v>45.25 Wykonywanie specjalistycznych robót budowlanych</v>
          </cell>
          <cell r="B390" t="str">
            <v>45.25</v>
          </cell>
          <cell r="C390">
            <v>6</v>
          </cell>
        </row>
        <row r="391">
          <cell r="A391" t="str">
            <v>45.31 Wykonywanie instalacji elektrycznych</v>
          </cell>
          <cell r="B391" t="str">
            <v>45.31</v>
          </cell>
          <cell r="C391">
            <v>5</v>
          </cell>
        </row>
        <row r="392">
          <cell r="A392" t="str">
            <v>45.32 Wykonywanie robót budowlanych izolacyjnych</v>
          </cell>
          <cell r="B392" t="str">
            <v>45.32</v>
          </cell>
          <cell r="C392">
            <v>4</v>
          </cell>
        </row>
        <row r="393">
          <cell r="A393" t="str">
            <v>45.33 Wykonywanie instalacji cieplnych, wodnych, wentylacyjnych i gazowych</v>
          </cell>
          <cell r="B393" t="str">
            <v>45.33</v>
          </cell>
          <cell r="C393">
            <v>4</v>
          </cell>
        </row>
        <row r="394">
          <cell r="A394" t="str">
            <v>45.34 Wykonywanie pozostałych instalacji budowlanych</v>
          </cell>
          <cell r="B394" t="str">
            <v>45.34</v>
          </cell>
          <cell r="C394">
            <v>6</v>
          </cell>
        </row>
        <row r="395">
          <cell r="A395" t="str">
            <v>45.41 Tynkowanie</v>
          </cell>
          <cell r="B395" t="str">
            <v>45.41</v>
          </cell>
          <cell r="C395">
            <v>3</v>
          </cell>
        </row>
        <row r="396">
          <cell r="A396" t="str">
            <v>45.42 Zakładanie stolarki budowlanej</v>
          </cell>
          <cell r="B396" t="str">
            <v>45.42</v>
          </cell>
          <cell r="C396">
            <v>4</v>
          </cell>
        </row>
        <row r="397">
          <cell r="A397" t="str">
            <v>45.43 Wykonywanie podłóg i ścian</v>
          </cell>
          <cell r="B397" t="str">
            <v>45.43</v>
          </cell>
          <cell r="C397">
            <v>6</v>
          </cell>
        </row>
        <row r="398">
          <cell r="A398" t="str">
            <v>45.44 Malowanie i szklenie</v>
          </cell>
          <cell r="B398" t="str">
            <v>45.44</v>
          </cell>
          <cell r="C398">
            <v>7</v>
          </cell>
        </row>
        <row r="399">
          <cell r="A399" t="str">
            <v>45.45 Wykonywanie pozostałych robót budowlanych wykończeniowych</v>
          </cell>
          <cell r="B399" t="str">
            <v>45.45</v>
          </cell>
          <cell r="C399">
            <v>6</v>
          </cell>
        </row>
        <row r="400">
          <cell r="A400" t="str">
            <v>45.50 Wynajem sprzętu budowlanego i burzącego z obsługą operatorską</v>
          </cell>
          <cell r="B400" t="str">
            <v>45.50</v>
          </cell>
          <cell r="C400">
            <v>8</v>
          </cell>
        </row>
        <row r="401">
          <cell r="A401" t="str">
            <v>50.10 Sprzedaż pojazdów mechanicznych</v>
          </cell>
          <cell r="B401" t="str">
            <v>50.10</v>
          </cell>
          <cell r="C401">
            <v>8</v>
          </cell>
        </row>
        <row r="402">
          <cell r="A402" t="str">
            <v>50.20 Obsługa i naprawa pojazdów mechanicznych; pomoc drogowa</v>
          </cell>
          <cell r="B402" t="str">
            <v>50.20</v>
          </cell>
          <cell r="C402">
            <v>7</v>
          </cell>
        </row>
        <row r="403">
          <cell r="A403" t="str">
            <v>50.30 Sprzedaż części i akcesoriów do pojazdów mechanicznych</v>
          </cell>
          <cell r="B403" t="str">
            <v>50.30</v>
          </cell>
          <cell r="C403">
            <v>5</v>
          </cell>
        </row>
        <row r="404">
          <cell r="A404" t="str">
            <v>50.40 Sprzedaż, konserwacja i naprawa motocykli oraz sprzedaż części i akcesoriów do nich</v>
          </cell>
          <cell r="B404" t="str">
            <v>50.40</v>
          </cell>
          <cell r="C404">
            <v>5</v>
          </cell>
        </row>
        <row r="405">
          <cell r="A405" t="str">
            <v>50.50 Sprzedaż detaliczna paliw</v>
          </cell>
          <cell r="B405" t="str">
            <v>50.50</v>
          </cell>
          <cell r="C405">
            <v>5</v>
          </cell>
        </row>
        <row r="406">
          <cell r="A406" t="str">
            <v>51.11 Działalność agentów zajmujących się sprzedażą płodów rolnych, żywych zwierząt, surowców dla przemysłu włókienniczego i</v>
          </cell>
          <cell r="B406" t="str">
            <v>51.11</v>
          </cell>
          <cell r="C406">
            <v>5</v>
          </cell>
        </row>
        <row r="407">
          <cell r="A407" t="str">
            <v>51.12 Działalność agentów zajmujących się sprzedażą paliw, rud, metali i chemikaliów przemysłowych</v>
          </cell>
          <cell r="B407" t="str">
            <v>51.12</v>
          </cell>
          <cell r="C407">
            <v>5</v>
          </cell>
        </row>
        <row r="408">
          <cell r="A408" t="str">
            <v>51.13 Działalność agentów zajmujących się sprzedażą drewna i materiałów budowlanych</v>
          </cell>
          <cell r="B408" t="str">
            <v>51.13</v>
          </cell>
          <cell r="C408">
            <v>5</v>
          </cell>
        </row>
        <row r="409">
          <cell r="A409" t="str">
            <v>51.14 Działalność agentów zajmujących się sprzedażą maszyn, urządzeń przemysłowych, statków i samolotów</v>
          </cell>
          <cell r="B409" t="str">
            <v>51.14</v>
          </cell>
          <cell r="C409">
            <v>5</v>
          </cell>
        </row>
        <row r="410">
          <cell r="A410" t="str">
            <v>51.15 Działalność agentów zajmujących się sprzedażą mebli, artykułów gospodarstwa domowego i drobnych wyrobów metalowych</v>
          </cell>
          <cell r="B410" t="str">
            <v>51.15</v>
          </cell>
          <cell r="C410">
            <v>5</v>
          </cell>
        </row>
        <row r="411">
          <cell r="A411" t="str">
            <v>51.16 Działalność agentów zajmujących się sprzedażą wyrobów włókienniczych, odzieży, obuwia i artykułów skórzanych</v>
          </cell>
          <cell r="B411" t="str">
            <v>51.16</v>
          </cell>
          <cell r="C411">
            <v>5</v>
          </cell>
        </row>
        <row r="412">
          <cell r="A412" t="str">
            <v>51.17 Działalność agentów zajmujących się sprzedażą żywności, napojów i wyrobów tytoniowych</v>
          </cell>
          <cell r="B412" t="str">
            <v>51.17</v>
          </cell>
          <cell r="C412">
            <v>5</v>
          </cell>
        </row>
        <row r="413">
          <cell r="A413" t="str">
            <v>51.18 Działalność agentów specjalizujących się w sprzedaży określonego towaru lub określonej grupy towarów, gdzie indziej</v>
          </cell>
          <cell r="B413" t="str">
            <v>51.18</v>
          </cell>
          <cell r="C413">
            <v>5</v>
          </cell>
        </row>
        <row r="414">
          <cell r="A414" t="str">
            <v>51.19 Działalność agentów zajmujących się sprzedażą towarów różnego rodzaju</v>
          </cell>
          <cell r="B414" t="str">
            <v>51.19</v>
          </cell>
          <cell r="C414">
            <v>6</v>
          </cell>
        </row>
        <row r="415">
          <cell r="A415" t="str">
            <v>51.21 Sprzedaż hurtowa zboża, nasion i pasz dla zwierząt</v>
          </cell>
          <cell r="B415" t="str">
            <v>51.21</v>
          </cell>
          <cell r="C415">
            <v>8</v>
          </cell>
        </row>
        <row r="416">
          <cell r="A416" t="str">
            <v>51.22 Sprzedaż hurtowa kwiatów i roślin</v>
          </cell>
          <cell r="B416" t="str">
            <v>51.22</v>
          </cell>
          <cell r="C416">
            <v>6</v>
          </cell>
        </row>
        <row r="417">
          <cell r="A417" t="str">
            <v>51.23 Sprzedaż hurtowa żywych zwierząt</v>
          </cell>
          <cell r="B417" t="str">
            <v>51.23</v>
          </cell>
          <cell r="C417">
            <v>1</v>
          </cell>
        </row>
        <row r="418">
          <cell r="A418" t="str">
            <v>51.24 Sprzedaż hurtowa skór</v>
          </cell>
          <cell r="B418" t="str">
            <v>51.24</v>
          </cell>
          <cell r="C418">
            <v>3</v>
          </cell>
        </row>
        <row r="419">
          <cell r="A419" t="str">
            <v>51.25 Sprzedaż hurtowa nie przetworzonego tytoniu</v>
          </cell>
          <cell r="B419" t="str">
            <v>51.25</v>
          </cell>
          <cell r="C419">
            <v>3</v>
          </cell>
        </row>
        <row r="420">
          <cell r="A420" t="str">
            <v>51.31 Sprzedaż hurtowa owoców i warzyw</v>
          </cell>
          <cell r="B420" t="str">
            <v>51.31</v>
          </cell>
          <cell r="C420">
            <v>6</v>
          </cell>
        </row>
        <row r="421">
          <cell r="A421" t="str">
            <v>51.32 Sprzedaż hurtowa mięsa i wyrobów mięsnych</v>
          </cell>
          <cell r="B421" t="str">
            <v>51.32</v>
          </cell>
          <cell r="C421">
            <v>6</v>
          </cell>
        </row>
        <row r="422">
          <cell r="A422" t="str">
            <v>51.33 Sprzedaż hurtowa wyrobów mleczarskich, jaj, olejów i tłuszczów jadalnych</v>
          </cell>
          <cell r="B422" t="str">
            <v>51.33</v>
          </cell>
          <cell r="C422">
            <v>6</v>
          </cell>
        </row>
        <row r="423">
          <cell r="A423" t="str">
            <v>51.34 Sprzedaż hurtowa napojów alkoholowych i bezalkoholowych</v>
          </cell>
          <cell r="B423" t="str">
            <v>51.34</v>
          </cell>
          <cell r="C423">
            <v>6</v>
          </cell>
        </row>
        <row r="424">
          <cell r="A424" t="str">
            <v>51.35 Sprzedaż hurtowa wyrobów tytoniowych</v>
          </cell>
          <cell r="B424" t="str">
            <v>51.35</v>
          </cell>
          <cell r="C424">
            <v>6</v>
          </cell>
        </row>
        <row r="425">
          <cell r="A425" t="str">
            <v>51.36 Sprzedaż hurtowa cukru, czekolady i wyrobów cukierniczych</v>
          </cell>
          <cell r="B425" t="str">
            <v>51.36</v>
          </cell>
          <cell r="C425">
            <v>4</v>
          </cell>
        </row>
        <row r="426">
          <cell r="A426" t="str">
            <v>51.37 Sprzedaż hurtowa herbaty, kawy, kakao i przypraw</v>
          </cell>
          <cell r="B426" t="str">
            <v>51.37</v>
          </cell>
          <cell r="C426">
            <v>1</v>
          </cell>
        </row>
        <row r="427">
          <cell r="A427" t="str">
            <v>51.38 Sprzedaż hurtowa pozostałej żywności, łącznie z rybami, skorupiakami i mięczakami</v>
          </cell>
          <cell r="B427" t="str">
            <v>51.38</v>
          </cell>
          <cell r="C427">
            <v>2</v>
          </cell>
        </row>
        <row r="428">
          <cell r="A428" t="str">
            <v>51.39 Nie wyspecjalizowana sprzedaż hurtowa żywności, napojów i wyrobów tytoniowych</v>
          </cell>
          <cell r="B428" t="str">
            <v>51.39</v>
          </cell>
          <cell r="C428">
            <v>7</v>
          </cell>
        </row>
        <row r="429">
          <cell r="A429" t="str">
            <v>51.41 Sprzedaż hurtowa wyrobów włókienniczych</v>
          </cell>
          <cell r="B429" t="str">
            <v>51.41</v>
          </cell>
          <cell r="C429">
            <v>6</v>
          </cell>
        </row>
        <row r="430">
          <cell r="A430" t="str">
            <v>51.42 Sprzedaż hurtowa odzieży i obuwia</v>
          </cell>
          <cell r="B430" t="str">
            <v>51.42</v>
          </cell>
          <cell r="C430">
            <v>5</v>
          </cell>
        </row>
        <row r="431">
          <cell r="A431" t="str">
            <v>51.43 Sprzedaż hurtowa elektrycznych artykułów gospodarstwa domowego i artykułów radiowo-telewizyjnych</v>
          </cell>
          <cell r="B431" t="str">
            <v>51.43</v>
          </cell>
          <cell r="C431">
            <v>5</v>
          </cell>
        </row>
        <row r="432">
          <cell r="A432" t="str">
            <v>51.44 Sprzedaż hurtowa wyrobów metalowych, porcelanowych, ceramicznych i szklanych do użytku domowego, tapet i środków czyszc</v>
          </cell>
          <cell r="B432" t="str">
            <v>51.44</v>
          </cell>
          <cell r="C432">
            <v>4</v>
          </cell>
        </row>
        <row r="433">
          <cell r="A433" t="str">
            <v>51.45 Sprzedaż hurtowa perfum i kosmetyków</v>
          </cell>
          <cell r="B433" t="str">
            <v>51.45</v>
          </cell>
          <cell r="C433">
            <v>3</v>
          </cell>
        </row>
        <row r="434">
          <cell r="A434" t="str">
            <v>51.46 Sprzedaż hurtowa wyrobów farmaceutycznych</v>
          </cell>
          <cell r="B434" t="str">
            <v>51.46</v>
          </cell>
          <cell r="C434">
            <v>6</v>
          </cell>
        </row>
        <row r="435">
          <cell r="A435" t="str">
            <v>51.47 Sprzedaż hurtowa pozostałych artykułów użytku domowego i osobistego</v>
          </cell>
          <cell r="B435" t="str">
            <v>51.47</v>
          </cell>
          <cell r="C435">
            <v>7</v>
          </cell>
        </row>
        <row r="436">
          <cell r="A436" t="str">
            <v>51.51 Sprzedaż hurtowa paliw stałych, ciekłych, gazowych oraz produktów pochodnych</v>
          </cell>
          <cell r="B436" t="str">
            <v>51.51</v>
          </cell>
          <cell r="C436">
            <v>4</v>
          </cell>
        </row>
        <row r="437">
          <cell r="A437" t="str">
            <v>51.52 Sprzedaż hurtowa metali i rud metali</v>
          </cell>
          <cell r="B437" t="str">
            <v>51.52</v>
          </cell>
          <cell r="C437">
            <v>7</v>
          </cell>
        </row>
        <row r="438">
          <cell r="A438" t="str">
            <v>51.53 Sprzedaż hurtowa drewna, materiałów budowlanych i wyposażenia sanitarnego</v>
          </cell>
          <cell r="B438" t="str">
            <v>51.53</v>
          </cell>
          <cell r="C438">
            <v>5</v>
          </cell>
        </row>
        <row r="439">
          <cell r="A439" t="str">
            <v>51.54 Sprzedaż hurtowa artykułów metalowych oraz sprzętu i dodatkowego wyposażenia hydraulicznego i grzejnego</v>
          </cell>
          <cell r="B439" t="str">
            <v>51.54</v>
          </cell>
          <cell r="C439">
            <v>4</v>
          </cell>
        </row>
        <row r="440">
          <cell r="A440" t="str">
            <v>51.55 Sprzedaż hurtowa wyrobów chemicznych</v>
          </cell>
          <cell r="B440" t="str">
            <v>51.55</v>
          </cell>
          <cell r="C440">
            <v>6</v>
          </cell>
        </row>
        <row r="441">
          <cell r="A441" t="str">
            <v>51.56 Sprzedaż hurtowa pozostałych półproduktów</v>
          </cell>
          <cell r="B441" t="str">
            <v>51.56</v>
          </cell>
          <cell r="C441">
            <v>7</v>
          </cell>
        </row>
        <row r="442">
          <cell r="A442" t="str">
            <v>51.57 Sprzedaż hurtowa odpadów i złomu</v>
          </cell>
          <cell r="B442" t="str">
            <v>51.57</v>
          </cell>
          <cell r="C442">
            <v>7</v>
          </cell>
        </row>
        <row r="443">
          <cell r="A443" t="str">
            <v>51.61 Sprzedaż hurtowa obrabiarek</v>
          </cell>
          <cell r="B443" t="str">
            <v>51.61</v>
          </cell>
          <cell r="C443">
            <v>5</v>
          </cell>
        </row>
        <row r="444">
          <cell r="A444" t="str">
            <v>51.62 Sprzedaż hurtowa maszyn budowlanych</v>
          </cell>
          <cell r="B444" t="str">
            <v>51.62</v>
          </cell>
          <cell r="C444">
            <v>5</v>
          </cell>
        </row>
        <row r="445">
          <cell r="A445" t="str">
            <v>51.63 Sprzedaż hurtowa maszyn dla przemysłu włókienniczego oraz maszyn do szycia i maszyn dziewiarskich</v>
          </cell>
          <cell r="B445" t="str">
            <v>51.63</v>
          </cell>
          <cell r="C445">
            <v>6</v>
          </cell>
        </row>
        <row r="446">
          <cell r="A446" t="str">
            <v>51.64 Sprzedaż hurtowa maszyn i urządzeń biurowych</v>
          </cell>
          <cell r="B446" t="str">
            <v>51.64</v>
          </cell>
          <cell r="C446">
            <v>4</v>
          </cell>
        </row>
        <row r="447">
          <cell r="A447" t="str">
            <v>51.65 Sprzedaż hurtowa pozostałych maszyn i urządzeń dla przemysłu, handlu i transportu wodnego</v>
          </cell>
          <cell r="B447" t="str">
            <v>51.65</v>
          </cell>
          <cell r="C447">
            <v>5</v>
          </cell>
        </row>
        <row r="448">
          <cell r="A448" t="str">
            <v>51.66 Sprzedaż hurtowa maszyn i urządzeń rolniczych, łącznie ze sprzedażą ciągników</v>
          </cell>
          <cell r="B448" t="str">
            <v>51.66</v>
          </cell>
          <cell r="C448">
            <v>6</v>
          </cell>
        </row>
        <row r="449">
          <cell r="A449" t="str">
            <v>51.70 Pozostała sprzedaż hurtowa</v>
          </cell>
          <cell r="B449" t="str">
            <v>51.70</v>
          </cell>
          <cell r="C449">
            <v>6</v>
          </cell>
        </row>
        <row r="450">
          <cell r="A450" t="str">
            <v>52.11 Sprzedaż detaliczna w nie wyspecjalizowanych sklepach z przewagą żywności, napojów i wyrobów tytoniowych</v>
          </cell>
          <cell r="B450" t="str">
            <v>52.11</v>
          </cell>
          <cell r="C450">
            <v>6</v>
          </cell>
        </row>
        <row r="451">
          <cell r="A451" t="str">
            <v>52.12 Pozostała sprzedaż detaliczna w nie wyspecjalizowanych sklepach</v>
          </cell>
          <cell r="B451" t="str">
            <v>52.12</v>
          </cell>
          <cell r="C451">
            <v>6</v>
          </cell>
        </row>
        <row r="452">
          <cell r="A452" t="str">
            <v>52.21 Sprzedaż detaliczna owoców i warzyw</v>
          </cell>
          <cell r="B452" t="str">
            <v>52.21</v>
          </cell>
          <cell r="C452">
            <v>4</v>
          </cell>
        </row>
        <row r="453">
          <cell r="A453" t="str">
            <v>52.22 Sprzedaż detaliczna mięsa i wyrobów mięsnych</v>
          </cell>
          <cell r="B453" t="str">
            <v>52.22</v>
          </cell>
          <cell r="C453">
            <v>4</v>
          </cell>
        </row>
        <row r="454">
          <cell r="A454" t="str">
            <v>52.23 Sprzedaż detaliczna ryb, skorupiaków i mięczaków</v>
          </cell>
          <cell r="B454" t="str">
            <v>52.23</v>
          </cell>
          <cell r="C454">
            <v>5</v>
          </cell>
        </row>
        <row r="455">
          <cell r="A455" t="str">
            <v>52.24 Sprzedaż detaliczna chleba, ciast, wyrobów piekarniczych i cukierniczych</v>
          </cell>
          <cell r="B455" t="str">
            <v>52.24</v>
          </cell>
          <cell r="C455">
            <v>4</v>
          </cell>
        </row>
        <row r="456">
          <cell r="A456" t="str">
            <v>52.25 Sprzedaż detaliczna napojów alkoholowych i bezalkoholowych</v>
          </cell>
          <cell r="B456" t="str">
            <v>52.25</v>
          </cell>
          <cell r="C456">
            <v>4</v>
          </cell>
        </row>
        <row r="457">
          <cell r="A457" t="str">
            <v>52.26 Sprzedaż detaliczna wyrobów tytoniowych</v>
          </cell>
          <cell r="B457" t="str">
            <v>52.26</v>
          </cell>
          <cell r="C457">
            <v>4</v>
          </cell>
        </row>
        <row r="458">
          <cell r="A458" t="str">
            <v>52.27 Pozostała sprzedaż detaliczna żywności, napojów i wyrobów tytoniowych w wyspecjalizowanych sklepach</v>
          </cell>
          <cell r="B458" t="str">
            <v>52.27</v>
          </cell>
          <cell r="C458">
            <v>5</v>
          </cell>
        </row>
        <row r="459">
          <cell r="A459" t="str">
            <v>52.31 Sprzedaż detaliczna wyrobów farmaceutycznych</v>
          </cell>
          <cell r="B459" t="str">
            <v>52.31</v>
          </cell>
          <cell r="C459">
            <v>5</v>
          </cell>
        </row>
        <row r="460">
          <cell r="A460" t="str">
            <v>52.32 Sprzedaż detaliczna artykułów medycznych i ortopedycznych</v>
          </cell>
          <cell r="B460" t="str">
            <v>52.32</v>
          </cell>
          <cell r="C460">
            <v>4</v>
          </cell>
        </row>
        <row r="461">
          <cell r="A461" t="str">
            <v>52.33 Sprzedaż detaliczna kosmetyków i artykułów toaletowych</v>
          </cell>
          <cell r="B461" t="str">
            <v>52.33</v>
          </cell>
          <cell r="C461">
            <v>5</v>
          </cell>
        </row>
        <row r="462">
          <cell r="A462" t="str">
            <v>52.41 Sprzedaż detaliczna wyrobów włókienniczych</v>
          </cell>
          <cell r="B462" t="str">
            <v>52.41</v>
          </cell>
          <cell r="C462">
            <v>6</v>
          </cell>
        </row>
        <row r="463">
          <cell r="A463" t="str">
            <v>52.42 Sprzedaż detaliczna odzieży</v>
          </cell>
          <cell r="B463" t="str">
            <v>52.42</v>
          </cell>
          <cell r="C463">
            <v>6</v>
          </cell>
        </row>
        <row r="464">
          <cell r="A464" t="str">
            <v>52.43 Sprzedaż detaliczna obuwia i wyrobów skórzanych</v>
          </cell>
          <cell r="B464" t="str">
            <v>52.43</v>
          </cell>
          <cell r="C464">
            <v>7</v>
          </cell>
        </row>
        <row r="465">
          <cell r="A465" t="str">
            <v>52.44 Sprzedaż detaliczna mebli, sprzętu oświetleniowego i artykułów użytku domowego, gdzie indziej nie sklasyfikowana</v>
          </cell>
          <cell r="B465" t="str">
            <v>52.44</v>
          </cell>
          <cell r="C465">
            <v>7</v>
          </cell>
        </row>
        <row r="466">
          <cell r="A466" t="str">
            <v>52.45 Sprzedaż detaliczna elektrycznego sprzętu gospodarstwa domowego oraz artykułów radiowo-telewizyjnych</v>
          </cell>
          <cell r="B466" t="str">
            <v>52.45</v>
          </cell>
          <cell r="C466">
            <v>6</v>
          </cell>
        </row>
        <row r="467">
          <cell r="A467" t="str">
            <v>52.46 Sprzedaż detaliczna drobnych wyrobów metalowych, farb i szkła</v>
          </cell>
          <cell r="B467" t="str">
            <v>52.46</v>
          </cell>
          <cell r="C467">
            <v>5</v>
          </cell>
        </row>
        <row r="468">
          <cell r="A468" t="str">
            <v>52.47 Sprzedaż detaliczna książek, gazet i artykułów piśmiennych</v>
          </cell>
          <cell r="B468" t="str">
            <v>52.47</v>
          </cell>
          <cell r="C468">
            <v>5</v>
          </cell>
        </row>
        <row r="469">
          <cell r="A469" t="str">
            <v>52.48 Pozostała sprzedaż detaliczna w wyspecjalizowanych sklepach</v>
          </cell>
          <cell r="B469" t="str">
            <v>52.48</v>
          </cell>
          <cell r="C469">
            <v>4</v>
          </cell>
        </row>
        <row r="470">
          <cell r="A470" t="str">
            <v>52.50 Sprzedaż detaliczna artykułów używanych prowadzona w sklepach</v>
          </cell>
          <cell r="B470" t="str">
            <v>52.50</v>
          </cell>
          <cell r="C470">
            <v>6</v>
          </cell>
        </row>
        <row r="471">
          <cell r="A471" t="str">
            <v>52.61 Sprzedaż detaliczna prowadzona przez domy sprzedaży wysyłkowej</v>
          </cell>
          <cell r="B471" t="str">
            <v>52.61</v>
          </cell>
          <cell r="C471">
            <v>6</v>
          </cell>
        </row>
        <row r="472">
          <cell r="A472" t="str">
            <v>52.62 Sprzedaż detaliczna na straganach i targowiskach</v>
          </cell>
          <cell r="B472" t="str">
            <v>52.62</v>
          </cell>
          <cell r="C472">
            <v>6</v>
          </cell>
        </row>
        <row r="473">
          <cell r="A473" t="str">
            <v>52.63 Pozostała sprzedaż detaliczna poza siecią sklepową</v>
          </cell>
          <cell r="B473" t="str">
            <v>52.63</v>
          </cell>
          <cell r="C473">
            <v>6</v>
          </cell>
        </row>
        <row r="474">
          <cell r="A474" t="str">
            <v>52.71 Naprawa obuwia i innych wyrobów skórzanych</v>
          </cell>
          <cell r="B474" t="str">
            <v>52.71</v>
          </cell>
          <cell r="C474">
            <v>5</v>
          </cell>
        </row>
        <row r="475">
          <cell r="A475" t="str">
            <v>52.72 Naprawa elektrycznych artykułów gospodarstwa domowego</v>
          </cell>
          <cell r="B475" t="str">
            <v>52.72</v>
          </cell>
          <cell r="C475">
            <v>7</v>
          </cell>
        </row>
        <row r="476">
          <cell r="A476" t="str">
            <v>52.73 Naprawa zegarków, zegarów i biżuterii</v>
          </cell>
          <cell r="B476" t="str">
            <v>52.73</v>
          </cell>
          <cell r="C476">
            <v>5</v>
          </cell>
        </row>
        <row r="477">
          <cell r="A477" t="str">
            <v>52.74 Naprawa artykułów użytku osobistego i domowego, gdzie indziej nie sklasyfikowana</v>
          </cell>
          <cell r="B477" t="str">
            <v>52.74</v>
          </cell>
          <cell r="C477">
            <v>7</v>
          </cell>
        </row>
        <row r="478">
          <cell r="A478" t="str">
            <v>55.11 Hotele i motele z restauracjami</v>
          </cell>
          <cell r="B478" t="str">
            <v>55.11</v>
          </cell>
          <cell r="C478">
            <v>3</v>
          </cell>
        </row>
        <row r="479">
          <cell r="A479" t="str">
            <v>55.12 Hotele i motele bez restauracji</v>
          </cell>
          <cell r="B479" t="str">
            <v>55.12</v>
          </cell>
          <cell r="C479">
            <v>4</v>
          </cell>
        </row>
        <row r="480">
          <cell r="A480" t="str">
            <v>55.21 Schroniska turystyczne</v>
          </cell>
          <cell r="B480" t="str">
            <v>55.21</v>
          </cell>
          <cell r="C480">
            <v>6</v>
          </cell>
        </row>
        <row r="481">
          <cell r="A481" t="str">
            <v>55.22 Pola kempingowe, łącznie z polami dla samochodowych przyczep kempingowych</v>
          </cell>
          <cell r="B481" t="str">
            <v>55.22</v>
          </cell>
          <cell r="C481">
            <v>5</v>
          </cell>
        </row>
        <row r="482">
          <cell r="A482" t="str">
            <v>55.23 Pozostałe miejsca krótkotrwałego zakwaterowania, gdzie indziej nie sklasyfikowane</v>
          </cell>
          <cell r="B482" t="str">
            <v>55.23</v>
          </cell>
          <cell r="C482">
            <v>7</v>
          </cell>
        </row>
        <row r="483">
          <cell r="A483" t="str">
            <v>55.30 Restauracje i inne placówki gastronomiczne</v>
          </cell>
          <cell r="B483" t="str">
            <v>55.30</v>
          </cell>
          <cell r="C483">
            <v>6</v>
          </cell>
        </row>
        <row r="484">
          <cell r="A484" t="str">
            <v>55.40 Bary</v>
          </cell>
          <cell r="B484" t="str">
            <v>55.40</v>
          </cell>
          <cell r="C484">
            <v>5</v>
          </cell>
        </row>
        <row r="485">
          <cell r="A485" t="str">
            <v>55.51 Stołówki</v>
          </cell>
          <cell r="B485" t="str">
            <v>55.51</v>
          </cell>
          <cell r="C485">
            <v>5</v>
          </cell>
        </row>
        <row r="486">
          <cell r="A486" t="str">
            <v>55.52 Przygotowywanie i dostarczanie żywności dla odbiorców zewnętrznych (katering)</v>
          </cell>
          <cell r="B486" t="str">
            <v>55.52</v>
          </cell>
          <cell r="C486">
            <v>5</v>
          </cell>
        </row>
        <row r="487">
          <cell r="A487" t="str">
            <v>60.10 Transport kolejowy</v>
          </cell>
          <cell r="B487" t="str">
            <v>60.10</v>
          </cell>
          <cell r="C487">
            <v>8</v>
          </cell>
        </row>
        <row r="488">
          <cell r="A488" t="str">
            <v>60.21 Pozostały pasażerski transport rozkładowy lądowy</v>
          </cell>
          <cell r="B488" t="str">
            <v>60.21</v>
          </cell>
          <cell r="C488">
            <v>6</v>
          </cell>
        </row>
        <row r="489">
          <cell r="A489" t="str">
            <v>60.22 Działalność taksówek osobowych</v>
          </cell>
          <cell r="B489" t="str">
            <v>60.22</v>
          </cell>
          <cell r="C489">
            <v>5</v>
          </cell>
        </row>
        <row r="490">
          <cell r="A490" t="str">
            <v>60.23 Pozostały pasażerski transport lądowy</v>
          </cell>
          <cell r="B490" t="str">
            <v>60.23</v>
          </cell>
          <cell r="C490">
            <v>4</v>
          </cell>
        </row>
        <row r="491">
          <cell r="A491" t="str">
            <v>60.24 Towarowy transport drogowy</v>
          </cell>
          <cell r="B491" t="str">
            <v>60.24</v>
          </cell>
          <cell r="C491">
            <v>4</v>
          </cell>
        </row>
        <row r="492">
          <cell r="A492" t="str">
            <v>60.30 Transport rurociągowy</v>
          </cell>
          <cell r="B492" t="str">
            <v>60.30</v>
          </cell>
          <cell r="C492">
            <v>3</v>
          </cell>
        </row>
        <row r="493">
          <cell r="A493" t="str">
            <v>61.10 Morski i przybrzeżny transport wodny</v>
          </cell>
          <cell r="B493" t="str">
            <v>61.10</v>
          </cell>
          <cell r="C493">
            <v>6</v>
          </cell>
        </row>
        <row r="494">
          <cell r="A494" t="str">
            <v>61.20 Śródlądowy transport wodny</v>
          </cell>
          <cell r="B494" t="str">
            <v>61.20</v>
          </cell>
          <cell r="C494">
            <v>7</v>
          </cell>
        </row>
        <row r="495">
          <cell r="A495" t="str">
            <v>62.10 Rozkładowy transport lotniczy</v>
          </cell>
          <cell r="B495" t="str">
            <v>62.10</v>
          </cell>
          <cell r="C495">
            <v>6</v>
          </cell>
        </row>
        <row r="496">
          <cell r="A496" t="str">
            <v>62.20 Pozarozkładowy transport lotniczy</v>
          </cell>
          <cell r="B496" t="str">
            <v>62.20</v>
          </cell>
          <cell r="C496">
            <v>6</v>
          </cell>
        </row>
        <row r="497">
          <cell r="A497" t="str">
            <v>62.30 Transport kosmiczny</v>
          </cell>
          <cell r="B497" t="str">
            <v>62.30</v>
          </cell>
          <cell r="C497">
            <v>7</v>
          </cell>
        </row>
        <row r="498">
          <cell r="A498" t="str">
            <v>63.11 Przeładunek towarów</v>
          </cell>
          <cell r="B498" t="str">
            <v>63.11</v>
          </cell>
          <cell r="C498">
            <v>1</v>
          </cell>
        </row>
        <row r="499">
          <cell r="A499" t="str">
            <v>63.12 Magazynowanie i przechowywanie towarów</v>
          </cell>
          <cell r="B499" t="str">
            <v>63.12</v>
          </cell>
          <cell r="C499">
            <v>3</v>
          </cell>
        </row>
        <row r="500">
          <cell r="A500" t="str">
            <v>63.21 Pozostała działalność wspomagająca transport lądowy</v>
          </cell>
          <cell r="B500" t="str">
            <v>63.21</v>
          </cell>
          <cell r="C500">
            <v>3</v>
          </cell>
        </row>
        <row r="501">
          <cell r="A501" t="str">
            <v>63.22 Pozostała działalność wspomagająca transport wodny</v>
          </cell>
          <cell r="B501" t="str">
            <v>63.22</v>
          </cell>
          <cell r="C501">
            <v>3</v>
          </cell>
        </row>
        <row r="502">
          <cell r="A502" t="str">
            <v>63.23 Pozostała działalność wspomagająca transport lotniczy</v>
          </cell>
          <cell r="B502" t="str">
            <v>63.23</v>
          </cell>
          <cell r="C502">
            <v>3</v>
          </cell>
        </row>
        <row r="503">
          <cell r="A503" t="str">
            <v>63.30 Działalność związana z turystyką</v>
          </cell>
          <cell r="B503" t="str">
            <v>63.30</v>
          </cell>
          <cell r="C503">
            <v>4</v>
          </cell>
        </row>
        <row r="504">
          <cell r="A504" t="str">
            <v>63.40 Działalność pozostałych agencji transportowych</v>
          </cell>
          <cell r="B504" t="str">
            <v>63.40</v>
          </cell>
          <cell r="C504">
            <v>2</v>
          </cell>
        </row>
        <row r="505">
          <cell r="A505" t="str">
            <v>64.11 Działalność poczty państwowej</v>
          </cell>
          <cell r="B505" t="str">
            <v>64.11</v>
          </cell>
          <cell r="C505">
            <v>3</v>
          </cell>
        </row>
        <row r="506">
          <cell r="A506" t="str">
            <v>64.12 Działalność pocztowa podmiotów innych niż poczta państwowa</v>
          </cell>
          <cell r="B506" t="str">
            <v>64.12</v>
          </cell>
          <cell r="C506">
            <v>4</v>
          </cell>
        </row>
        <row r="507">
          <cell r="A507" t="str">
            <v>64.20 Telekomunikacja</v>
          </cell>
          <cell r="B507" t="str">
            <v>64.20</v>
          </cell>
          <cell r="C507">
            <v>4</v>
          </cell>
        </row>
        <row r="508">
          <cell r="A508" t="str">
            <v>65.11 Działalność banku centralnego</v>
          </cell>
          <cell r="B508" t="str">
            <v>65.11</v>
          </cell>
          <cell r="C508">
            <v>1</v>
          </cell>
        </row>
        <row r="509">
          <cell r="A509" t="str">
            <v>65.12 Pozostałe pośrednictwo pieniężne</v>
          </cell>
          <cell r="B509" t="str">
            <v>65.12</v>
          </cell>
          <cell r="C509">
            <v>3</v>
          </cell>
        </row>
        <row r="510">
          <cell r="A510" t="str">
            <v>65.21 Leasing finansowy</v>
          </cell>
          <cell r="B510" t="str">
            <v>65.21</v>
          </cell>
          <cell r="C510">
            <v>5</v>
          </cell>
        </row>
        <row r="511">
          <cell r="A511" t="str">
            <v>65.22 Pozostałe formy udzielania kredytów</v>
          </cell>
          <cell r="B511" t="str">
            <v>65.22</v>
          </cell>
          <cell r="C511">
            <v>3</v>
          </cell>
        </row>
        <row r="512">
          <cell r="A512" t="str">
            <v>65.23 Pozostałe pośrednictwo finansowe, gdzie indziej nie sklasyfikowane</v>
          </cell>
          <cell r="B512" t="str">
            <v>65.23</v>
          </cell>
          <cell r="C512">
            <v>2</v>
          </cell>
        </row>
        <row r="513">
          <cell r="A513" t="str">
            <v>66.01 Ubezpieczenia na życie</v>
          </cell>
          <cell r="B513" t="str">
            <v>66.01</v>
          </cell>
          <cell r="C513">
            <v>5</v>
          </cell>
        </row>
        <row r="514">
          <cell r="A514" t="str">
            <v>66.02 Fundusze emerytalno-rentowe</v>
          </cell>
          <cell r="B514" t="str">
            <v>66.02</v>
          </cell>
          <cell r="C514">
            <v>5</v>
          </cell>
        </row>
        <row r="515">
          <cell r="A515" t="str">
            <v>66.03 Ubezpieczenia pozostałe</v>
          </cell>
          <cell r="B515" t="str">
            <v>66.03</v>
          </cell>
          <cell r="C515">
            <v>5</v>
          </cell>
        </row>
        <row r="516">
          <cell r="A516" t="str">
            <v>67.11 Zarządzanie rynkiem finansowym</v>
          </cell>
          <cell r="B516" t="str">
            <v>67.11</v>
          </cell>
          <cell r="C516">
            <v>4</v>
          </cell>
        </row>
        <row r="517">
          <cell r="A517" t="str">
            <v>67.12 Działalność maklerska i zarządzanie funduszami</v>
          </cell>
          <cell r="B517" t="str">
            <v>67.12</v>
          </cell>
          <cell r="C517">
            <v>4</v>
          </cell>
        </row>
        <row r="518">
          <cell r="A518" t="str">
            <v>67.13 Działalność pomocnicza finansowa, gdzie indziej nie sklasyfikowana</v>
          </cell>
          <cell r="B518" t="str">
            <v>67.13</v>
          </cell>
          <cell r="C518">
            <v>4</v>
          </cell>
        </row>
        <row r="519">
          <cell r="A519" t="str">
            <v>67.20 Działalność pomocnicza związana z ubezpieczeniami i funduszami emerytalno-rentowymi</v>
          </cell>
          <cell r="B519" t="str">
            <v>67.20</v>
          </cell>
          <cell r="C519">
            <v>3</v>
          </cell>
        </row>
        <row r="520">
          <cell r="A520" t="str">
            <v>70.11 Zagospodarowanie i sprzedaż nieruchomości na własny rachunek</v>
          </cell>
          <cell r="B520" t="str">
            <v>70.11</v>
          </cell>
          <cell r="C520">
            <v>5</v>
          </cell>
        </row>
        <row r="521">
          <cell r="A521" t="str">
            <v>70.12 Kupno i sprzedaż nieruchomości na własny rachunek</v>
          </cell>
          <cell r="B521" t="str">
            <v>70.12</v>
          </cell>
          <cell r="C521">
            <v>5</v>
          </cell>
        </row>
        <row r="522">
          <cell r="A522" t="str">
            <v>70.20 Wynajem nieruchomości na własny rachunek</v>
          </cell>
          <cell r="B522" t="str">
            <v>70.20</v>
          </cell>
          <cell r="C522">
            <v>3</v>
          </cell>
        </row>
        <row r="523">
          <cell r="A523" t="str">
            <v>70.31 Działalność agencji obsługi nieruchomości</v>
          </cell>
          <cell r="B523" t="str">
            <v>70.31</v>
          </cell>
          <cell r="C523">
            <v>3</v>
          </cell>
        </row>
        <row r="524">
          <cell r="A524" t="str">
            <v>70.32 Zarządzanie nieruchomościami na zlecenie</v>
          </cell>
          <cell r="B524" t="str">
            <v>70.32</v>
          </cell>
          <cell r="C524">
            <v>3</v>
          </cell>
        </row>
        <row r="525">
          <cell r="A525" t="str">
            <v>71.10 Wynajem samochodów osobowych</v>
          </cell>
          <cell r="B525" t="str">
            <v>71.10</v>
          </cell>
          <cell r="C525">
            <v>4</v>
          </cell>
        </row>
        <row r="526">
          <cell r="A526" t="str">
            <v>71.21 Wynajem pozostałych środków transportu lądowego</v>
          </cell>
          <cell r="B526" t="str">
            <v>71.21</v>
          </cell>
          <cell r="C526">
            <v>5</v>
          </cell>
        </row>
        <row r="527">
          <cell r="A527" t="str">
            <v>71.22 Wynajem środków transportu wodnego</v>
          </cell>
          <cell r="B527" t="str">
            <v>71.22</v>
          </cell>
          <cell r="C527">
            <v>5</v>
          </cell>
        </row>
        <row r="528">
          <cell r="A528" t="str">
            <v>71.23 Wynajem środków transportu lotniczego</v>
          </cell>
          <cell r="B528" t="str">
            <v>71.23</v>
          </cell>
          <cell r="C528">
            <v>5</v>
          </cell>
        </row>
        <row r="529">
          <cell r="A529" t="str">
            <v>71.31 Wynajem maszyn i urządzeń rolniczych</v>
          </cell>
          <cell r="B529" t="str">
            <v>71.31</v>
          </cell>
          <cell r="C529">
            <v>4</v>
          </cell>
        </row>
        <row r="530">
          <cell r="A530" t="str">
            <v>71.32 Wynajem maszyn i urządzeń budowlanych</v>
          </cell>
          <cell r="B530" t="str">
            <v>71.32</v>
          </cell>
          <cell r="C530">
            <v>4</v>
          </cell>
        </row>
        <row r="531">
          <cell r="A531" t="str">
            <v>71.33 Wynajem maszyn i urządzeń biurowych</v>
          </cell>
          <cell r="B531" t="str">
            <v>71.33</v>
          </cell>
          <cell r="C531">
            <v>5</v>
          </cell>
        </row>
        <row r="532">
          <cell r="A532" t="str">
            <v>71.34 Wynajem pozostałych maszyn i urządzeń</v>
          </cell>
          <cell r="B532" t="str">
            <v>71.34</v>
          </cell>
          <cell r="C532">
            <v>5</v>
          </cell>
        </row>
        <row r="533">
          <cell r="A533" t="str">
            <v>71.40 Wypożyczanie artykułów użytku osobistego i domowego</v>
          </cell>
          <cell r="B533" t="str">
            <v>71.40</v>
          </cell>
          <cell r="C533">
            <v>6</v>
          </cell>
        </row>
        <row r="534">
          <cell r="A534" t="str">
            <v>72.10 Doradztwo w zakresie sprzętu komputerowego</v>
          </cell>
          <cell r="B534" t="str">
            <v>72.10</v>
          </cell>
          <cell r="C534">
            <v>4</v>
          </cell>
        </row>
        <row r="535">
          <cell r="A535" t="str">
            <v>72.20 Działalność w zakresie oprogramowania</v>
          </cell>
          <cell r="B535" t="str">
            <v>72.20</v>
          </cell>
          <cell r="C535">
            <v>1</v>
          </cell>
        </row>
        <row r="536">
          <cell r="A536" t="str">
            <v>72.30 Przetwarzanie danych</v>
          </cell>
          <cell r="B536" t="str">
            <v>72.30</v>
          </cell>
          <cell r="C536">
            <v>1</v>
          </cell>
        </row>
        <row r="537">
          <cell r="A537" t="str">
            <v>72.40 Działalność związana z bazami danych</v>
          </cell>
          <cell r="B537" t="str">
            <v>72.40</v>
          </cell>
          <cell r="C537">
            <v>1</v>
          </cell>
        </row>
        <row r="538">
          <cell r="A538" t="str">
            <v>72.50 Konserwacja i naprawa maszyn biurowych, księgujących i liczących</v>
          </cell>
          <cell r="B538" t="str">
            <v>72.50</v>
          </cell>
          <cell r="C538">
            <v>2</v>
          </cell>
        </row>
        <row r="539">
          <cell r="A539" t="str">
            <v>72.60 Pozostała działalność związana z informatyką</v>
          </cell>
          <cell r="B539" t="str">
            <v>72.60</v>
          </cell>
          <cell r="C539">
            <v>8</v>
          </cell>
        </row>
        <row r="540">
          <cell r="A540" t="str">
            <v>73.10 Prace badawczo-rozwojowe w dziedzinie nauk przyrodniczych i technicznych</v>
          </cell>
          <cell r="B540" t="str">
            <v>73.10</v>
          </cell>
          <cell r="C540">
            <v>2</v>
          </cell>
        </row>
        <row r="541">
          <cell r="A541" t="str">
            <v>73.20 Prace badawczo-rozwojowe w dziedzinie nauk społecznych i humanistycznych</v>
          </cell>
          <cell r="B541" t="str">
            <v>73.20</v>
          </cell>
          <cell r="C541">
            <v>5</v>
          </cell>
        </row>
        <row r="542">
          <cell r="A542" t="str">
            <v>74.11 Działalność prawnicza</v>
          </cell>
          <cell r="B542" t="str">
            <v>74.11</v>
          </cell>
          <cell r="C542">
            <v>1</v>
          </cell>
        </row>
        <row r="543">
          <cell r="A543" t="str">
            <v>74.12 Działalność rachunkowo-księgowa</v>
          </cell>
          <cell r="B543" t="str">
            <v>74.12</v>
          </cell>
          <cell r="C543">
            <v>3</v>
          </cell>
        </row>
        <row r="544">
          <cell r="A544" t="str">
            <v>74.13 Badanie rynku i opinii publicznej</v>
          </cell>
          <cell r="B544" t="str">
            <v>74.13</v>
          </cell>
          <cell r="C544">
            <v>3</v>
          </cell>
        </row>
        <row r="545">
          <cell r="A545" t="str">
            <v>74.14 Doradztwo w zakresie prowadzenia działalności gospodarczej i zarządzania</v>
          </cell>
          <cell r="B545" t="str">
            <v>74.14</v>
          </cell>
          <cell r="C545">
            <v>3</v>
          </cell>
        </row>
        <row r="546">
          <cell r="A546" t="str">
            <v>74.15 Działalność związana z zarządzaniem holdingami</v>
          </cell>
          <cell r="B546" t="str">
            <v>74.15</v>
          </cell>
          <cell r="C546">
            <v>4</v>
          </cell>
        </row>
        <row r="547">
          <cell r="A547" t="str">
            <v>74.20 Działalność w zakresie architektury, inżynierii</v>
          </cell>
          <cell r="B547" t="str">
            <v>74.20</v>
          </cell>
          <cell r="C547">
            <v>7</v>
          </cell>
        </row>
        <row r="548">
          <cell r="A548" t="str">
            <v>74.30 Badania i analizy techniczne</v>
          </cell>
          <cell r="B548" t="str">
            <v>74.30</v>
          </cell>
          <cell r="C548">
            <v>2</v>
          </cell>
        </row>
        <row r="549">
          <cell r="A549" t="str">
            <v>74.40 Reklama</v>
          </cell>
          <cell r="B549" t="str">
            <v>74.40</v>
          </cell>
          <cell r="C549">
            <v>6</v>
          </cell>
        </row>
        <row r="550">
          <cell r="A550" t="str">
            <v>74.50 Rekrutacja pracowników i pozyskiwanie personelu</v>
          </cell>
          <cell r="B550" t="str">
            <v>74.50</v>
          </cell>
          <cell r="C550">
            <v>5</v>
          </cell>
        </row>
        <row r="551">
          <cell r="A551" t="str">
            <v>74.60 Działalność detektywistyczna i ochroniarska</v>
          </cell>
          <cell r="B551" t="str">
            <v>74.60</v>
          </cell>
          <cell r="C551">
            <v>3</v>
          </cell>
        </row>
        <row r="552">
          <cell r="A552" t="str">
            <v>74.70 Sprzątanie i czyszczenie obiektów</v>
          </cell>
          <cell r="B552" t="str">
            <v>74.70</v>
          </cell>
          <cell r="C552">
            <v>2</v>
          </cell>
        </row>
        <row r="553">
          <cell r="A553" t="str">
            <v>74.81 Działalność fotograficzna</v>
          </cell>
          <cell r="B553" t="str">
            <v>74.81</v>
          </cell>
          <cell r="C553">
            <v>5</v>
          </cell>
        </row>
        <row r="554">
          <cell r="A554" t="str">
            <v>74.82 Działalność związana z pakowaniem</v>
          </cell>
          <cell r="B554" t="str">
            <v>74.82</v>
          </cell>
          <cell r="C554">
            <v>3</v>
          </cell>
        </row>
        <row r="555">
          <cell r="A555" t="str">
            <v>74.83 Działalność związana z tłumaczeniami i usługami sekretarskimi</v>
          </cell>
          <cell r="B555" t="str">
            <v>74.83</v>
          </cell>
          <cell r="C555">
            <v>4</v>
          </cell>
        </row>
        <row r="556">
          <cell r="A556" t="str">
            <v>74.84 Pozostała działalność komercyjna</v>
          </cell>
          <cell r="B556" t="str">
            <v>74.84</v>
          </cell>
          <cell r="C556">
            <v>5</v>
          </cell>
        </row>
        <row r="557">
          <cell r="A557" t="str">
            <v>75.11 Kierowanie podstawowymi rodzajami działalności publicznej</v>
          </cell>
          <cell r="B557" t="str">
            <v>75.11</v>
          </cell>
          <cell r="C557">
            <v>5</v>
          </cell>
        </row>
        <row r="558">
          <cell r="A558" t="str">
            <v>75.12 Kierowanie w zakresie działalności społecznej</v>
          </cell>
          <cell r="B558" t="str">
            <v>75.12</v>
          </cell>
          <cell r="C558">
            <v>5</v>
          </cell>
        </row>
        <row r="559">
          <cell r="A559" t="str">
            <v>75.13 Kierowanie w zakresie efektywności gospodarowania</v>
          </cell>
          <cell r="B559" t="str">
            <v>75.13</v>
          </cell>
          <cell r="C559">
            <v>5</v>
          </cell>
        </row>
        <row r="560">
          <cell r="A560" t="str">
            <v>75.14 Działalność pomocnicza na rzecz administracji publicznej</v>
          </cell>
          <cell r="B560" t="str">
            <v>75.14</v>
          </cell>
          <cell r="C560">
            <v>5</v>
          </cell>
        </row>
        <row r="561">
          <cell r="A561" t="str">
            <v>75.21 Sprawy zagraniczne</v>
          </cell>
          <cell r="B561" t="str">
            <v>75.21</v>
          </cell>
          <cell r="C561">
            <v>5</v>
          </cell>
        </row>
        <row r="562">
          <cell r="A562" t="str">
            <v>75.22 Obrona narodowa</v>
          </cell>
          <cell r="B562" t="str">
            <v>75.22</v>
          </cell>
          <cell r="C562">
            <v>5</v>
          </cell>
        </row>
        <row r="563">
          <cell r="A563" t="str">
            <v>75.23 Wymiar sprawiedliwości</v>
          </cell>
          <cell r="B563" t="str">
            <v>75.23</v>
          </cell>
          <cell r="C563">
            <v>5</v>
          </cell>
        </row>
        <row r="564">
          <cell r="A564" t="str">
            <v>75.24 Bezpieczeństwo publiczne</v>
          </cell>
          <cell r="B564" t="str">
            <v>75.24</v>
          </cell>
          <cell r="C564">
            <v>5</v>
          </cell>
        </row>
        <row r="565">
          <cell r="A565" t="str">
            <v>75.25 Ochrona przeciwpożarowa</v>
          </cell>
          <cell r="B565" t="str">
            <v>75.25</v>
          </cell>
          <cell r="C565">
            <v>5</v>
          </cell>
        </row>
        <row r="566">
          <cell r="A566" t="str">
            <v>75.30 Obowiązkowe ubezpieczenia społeczne</v>
          </cell>
          <cell r="B566" t="str">
            <v>75.30</v>
          </cell>
          <cell r="C566">
            <v>5</v>
          </cell>
        </row>
        <row r="567">
          <cell r="A567" t="str">
            <v>80.10 Szkolnictwo podstawowe</v>
          </cell>
          <cell r="B567" t="str">
            <v>80.10</v>
          </cell>
          <cell r="C567">
            <v>3</v>
          </cell>
        </row>
        <row r="568">
          <cell r="A568" t="str">
            <v>80.21 Szkolnictwo średnie ogólnokształcące</v>
          </cell>
          <cell r="B568" t="str">
            <v>80.21</v>
          </cell>
          <cell r="C568">
            <v>5</v>
          </cell>
        </row>
        <row r="569">
          <cell r="A569" t="str">
            <v>80.22 Szkolnictwo średnie zawodowe</v>
          </cell>
          <cell r="B569" t="str">
            <v>80.22</v>
          </cell>
          <cell r="C569">
            <v>5</v>
          </cell>
        </row>
        <row r="570">
          <cell r="A570" t="str">
            <v>80.30 Szkolnictwo wyższe</v>
          </cell>
          <cell r="B570" t="str">
            <v>80.30</v>
          </cell>
          <cell r="C570">
            <v>5</v>
          </cell>
        </row>
        <row r="571">
          <cell r="A571" t="str">
            <v>80.41 Działalność placówek organizujących kursy na prawo jazdy</v>
          </cell>
          <cell r="B571" t="str">
            <v>80.41</v>
          </cell>
          <cell r="C571">
            <v>7</v>
          </cell>
        </row>
        <row r="572">
          <cell r="A572" t="str">
            <v>80.42 Pozaszkolne formy kształcenia, gdzie indziej nie sklasyfikowane</v>
          </cell>
          <cell r="B572" t="str">
            <v>80.42</v>
          </cell>
          <cell r="C572">
            <v>7</v>
          </cell>
        </row>
        <row r="573">
          <cell r="A573" t="str">
            <v>85.11 Szpitalnictwo</v>
          </cell>
          <cell r="B573" t="str">
            <v>85.11</v>
          </cell>
          <cell r="C573">
            <v>6</v>
          </cell>
        </row>
        <row r="574">
          <cell r="A574" t="str">
            <v>85.12 Praktyka lekarska</v>
          </cell>
          <cell r="B574" t="str">
            <v>85.12</v>
          </cell>
          <cell r="C574">
            <v>3</v>
          </cell>
        </row>
        <row r="575">
          <cell r="A575" t="str">
            <v>85.13 Praktyka stomatologiczna</v>
          </cell>
          <cell r="B575" t="str">
            <v>85.13</v>
          </cell>
          <cell r="C575">
            <v>4</v>
          </cell>
        </row>
        <row r="576">
          <cell r="A576" t="str">
            <v>85.14 Pozostała działalność związana z ochroną zdrowia ludzkiego</v>
          </cell>
          <cell r="B576" t="str">
            <v>85.14</v>
          </cell>
          <cell r="C576">
            <v>8</v>
          </cell>
        </row>
        <row r="577">
          <cell r="A577" t="str">
            <v>85.20 Działalność weterynaryjna</v>
          </cell>
          <cell r="B577" t="str">
            <v>85.20</v>
          </cell>
          <cell r="C577">
            <v>7</v>
          </cell>
        </row>
        <row r="578">
          <cell r="A578" t="str">
            <v>85.31 Opieka wychowawcza i społeczna z zakwaterowaniem</v>
          </cell>
          <cell r="B578" t="str">
            <v>85.31</v>
          </cell>
          <cell r="C578">
            <v>8</v>
          </cell>
        </row>
        <row r="579">
          <cell r="A579" t="str">
            <v>85.32 Opieka wychowawcza i społeczna bez zakwaterowania</v>
          </cell>
          <cell r="B579" t="str">
            <v>85.32</v>
          </cell>
          <cell r="C579">
            <v>8</v>
          </cell>
        </row>
        <row r="580">
          <cell r="A580" t="str">
            <v>90.00 Odprowadzanie ścieków, wywóz odpadów, usługi sanitarne i pokrewne</v>
          </cell>
          <cell r="B580" t="str">
            <v>90.00</v>
          </cell>
          <cell r="C580">
            <v>1</v>
          </cell>
        </row>
        <row r="581">
          <cell r="A581" t="str">
            <v>91.11 Działalność organizacji komercyjnych i pracodawców</v>
          </cell>
          <cell r="B581" t="str">
            <v>91.11</v>
          </cell>
          <cell r="C581">
            <v>8</v>
          </cell>
        </row>
        <row r="582">
          <cell r="A582" t="str">
            <v>91.12 Działalność organizacji profesjonalnych</v>
          </cell>
          <cell r="B582" t="str">
            <v>91.12</v>
          </cell>
          <cell r="C582">
            <v>5</v>
          </cell>
        </row>
        <row r="583">
          <cell r="A583" t="str">
            <v>91.20 Działalność związków zawodowych</v>
          </cell>
          <cell r="B583" t="str">
            <v>91.20</v>
          </cell>
          <cell r="C583">
            <v>5</v>
          </cell>
        </row>
        <row r="584">
          <cell r="A584" t="str">
            <v>91.31 Działalność organizacji religijnych</v>
          </cell>
          <cell r="B584" t="str">
            <v>91.31</v>
          </cell>
          <cell r="C584">
            <v>5</v>
          </cell>
        </row>
        <row r="585">
          <cell r="A585" t="str">
            <v>91.32 Działalność organizacji politycznych</v>
          </cell>
          <cell r="B585" t="str">
            <v>91.32</v>
          </cell>
          <cell r="C585">
            <v>5</v>
          </cell>
        </row>
        <row r="586">
          <cell r="A586" t="str">
            <v>91.33 Działalność pozostałych organizacji członkowskich, gdzie indziej nie sklasyfikowana</v>
          </cell>
          <cell r="B586" t="str">
            <v>91.33</v>
          </cell>
          <cell r="C586">
            <v>8</v>
          </cell>
        </row>
        <row r="587">
          <cell r="A587" t="str">
            <v>92.11 Produkcja filmów i nagrań wideo</v>
          </cell>
          <cell r="B587" t="str">
            <v>92.11</v>
          </cell>
          <cell r="C587">
            <v>8</v>
          </cell>
        </row>
        <row r="588">
          <cell r="A588" t="str">
            <v>92.12 Rozpowszechnianie filmów i nagrań wideo</v>
          </cell>
          <cell r="B588" t="str">
            <v>92.12</v>
          </cell>
          <cell r="C588">
            <v>8</v>
          </cell>
        </row>
        <row r="589">
          <cell r="A589" t="str">
            <v>92.13 Projekcja filmów</v>
          </cell>
          <cell r="B589" t="str">
            <v>92.13</v>
          </cell>
          <cell r="C589">
            <v>8</v>
          </cell>
        </row>
        <row r="590">
          <cell r="A590" t="str">
            <v>92.20 Działalność radiowa i telewizyjna</v>
          </cell>
          <cell r="B590" t="str">
            <v>92.20</v>
          </cell>
          <cell r="C590">
            <v>6</v>
          </cell>
        </row>
        <row r="591">
          <cell r="A591" t="str">
            <v>92.31 Artystyczna i literacka działalność twórcza</v>
          </cell>
          <cell r="B591" t="str">
            <v>92.31</v>
          </cell>
          <cell r="C591">
            <v>7</v>
          </cell>
        </row>
        <row r="592">
          <cell r="A592" t="str">
            <v>92.32 Działalność obiektów kulturalnych</v>
          </cell>
          <cell r="B592" t="str">
            <v>92.32</v>
          </cell>
          <cell r="C592">
            <v>7</v>
          </cell>
        </row>
        <row r="593">
          <cell r="A593" t="str">
            <v>92.33 Działalność wesołych miasteczek i parków rozrywki</v>
          </cell>
          <cell r="B593" t="str">
            <v>92.33</v>
          </cell>
          <cell r="C593">
            <v>7</v>
          </cell>
        </row>
        <row r="594">
          <cell r="A594" t="str">
            <v>92.34 Pozostała działalność rozrywkowa, gdzie indziej nie sklasyfikowana</v>
          </cell>
          <cell r="B594" t="str">
            <v>92.34</v>
          </cell>
          <cell r="C594">
            <v>7</v>
          </cell>
        </row>
        <row r="595">
          <cell r="A595" t="str">
            <v>92.40 Działalność agencji informacyjnych</v>
          </cell>
          <cell r="B595" t="str">
            <v>92.40</v>
          </cell>
          <cell r="C595">
            <v>8</v>
          </cell>
        </row>
        <row r="596">
          <cell r="A596" t="str">
            <v>92.51 Działalność bibliotek i archiwów</v>
          </cell>
          <cell r="B596" t="str">
            <v>92.51</v>
          </cell>
          <cell r="C596">
            <v>8</v>
          </cell>
        </row>
        <row r="597">
          <cell r="A597" t="str">
            <v>92.52 Działalność muzeów i ochrona zabytków</v>
          </cell>
          <cell r="B597" t="str">
            <v>92.52</v>
          </cell>
          <cell r="C597">
            <v>7</v>
          </cell>
        </row>
        <row r="598">
          <cell r="A598" t="str">
            <v>92.53 Działalność ogrodów botanicznych i zoologicznych oraz naturalnych obszarów i obiektów chronionej przyrody</v>
          </cell>
          <cell r="B598" t="str">
            <v>92.53</v>
          </cell>
          <cell r="C598">
            <v>5</v>
          </cell>
        </row>
        <row r="599">
          <cell r="A599" t="str">
            <v>92.61 Działalność stadionów i innych obiektów sportowych</v>
          </cell>
          <cell r="B599" t="str">
            <v>92.61</v>
          </cell>
          <cell r="C599">
            <v>7</v>
          </cell>
        </row>
        <row r="600">
          <cell r="A600" t="str">
            <v>92.62 Pozostała działalność związana ze sportem</v>
          </cell>
          <cell r="B600" t="str">
            <v>92.62</v>
          </cell>
          <cell r="C600">
            <v>7</v>
          </cell>
        </row>
        <row r="601">
          <cell r="A601" t="str">
            <v>92.71 Działalność związana z grami losowymi i zakładami wzajemnymi</v>
          </cell>
          <cell r="B601" t="str">
            <v>92.71</v>
          </cell>
          <cell r="C601">
            <v>5</v>
          </cell>
        </row>
        <row r="602">
          <cell r="A602" t="str">
            <v>92.72 Pozostała działalność rekreacyjna, gdzie indziej nie sklasyfikowana</v>
          </cell>
          <cell r="B602" t="str">
            <v>92.72</v>
          </cell>
          <cell r="C602">
            <v>7</v>
          </cell>
        </row>
        <row r="603">
          <cell r="A603" t="str">
            <v>93.01 Pranie i czyszczenie wyrobów włókienniczych i futrzarskich</v>
          </cell>
          <cell r="B603" t="str">
            <v>93.01</v>
          </cell>
          <cell r="C603">
            <v>7</v>
          </cell>
        </row>
        <row r="604">
          <cell r="A604" t="str">
            <v>93.02 Fryzjerstwo i pozostałe zabiegi kosmetyczne</v>
          </cell>
          <cell r="B604" t="str">
            <v>93.02</v>
          </cell>
          <cell r="C604">
            <v>8</v>
          </cell>
        </row>
        <row r="605">
          <cell r="A605" t="str">
            <v>93.03 Pogrzeby i działalność pokrewna</v>
          </cell>
          <cell r="B605" t="str">
            <v>93.03</v>
          </cell>
          <cell r="C605">
            <v>1</v>
          </cell>
        </row>
        <row r="606">
          <cell r="A606" t="str">
            <v>93.04 Działalność związana z poprawą kondycji fizycznej</v>
          </cell>
          <cell r="B606" t="str">
            <v>93.04</v>
          </cell>
          <cell r="C606">
            <v>7</v>
          </cell>
        </row>
        <row r="607">
          <cell r="A607" t="str">
            <v>93.05 Pozostała działalność usługowa, gdzie indziej nie sklasyfikowana</v>
          </cell>
          <cell r="B607" t="str">
            <v>93.05</v>
          </cell>
          <cell r="C607">
            <v>3</v>
          </cell>
        </row>
        <row r="608">
          <cell r="A608" t="str">
            <v>95.00 Gospodarstwa domowe zatrudniające pracowników</v>
          </cell>
          <cell r="B608" t="str">
            <v>95.00</v>
          </cell>
          <cell r="C608">
            <v>5</v>
          </cell>
        </row>
        <row r="609">
          <cell r="A609" t="str">
            <v>99.00 Organizacje i zespoły eksterytorialne</v>
          </cell>
          <cell r="B609" t="str">
            <v>99.00</v>
          </cell>
          <cell r="C609">
            <v>5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osno -&gt; grupę, amortyzację"/>
      <sheetName val="krosno __ grupę_ amortyzację"/>
      <sheetName val="adv"/>
    </sheetNames>
    <sheetDataSet>
      <sheetData sheetId="0" refreshError="1">
        <row r="2">
          <cell r="J2">
            <v>1.1000000000000001</v>
          </cell>
          <cell r="M2">
            <v>0</v>
          </cell>
        </row>
        <row r="3">
          <cell r="J3">
            <v>1.1000000000000001</v>
          </cell>
          <cell r="M3">
            <v>0</v>
          </cell>
        </row>
        <row r="4">
          <cell r="J4">
            <v>1.1000000000000001</v>
          </cell>
          <cell r="M4">
            <v>0</v>
          </cell>
        </row>
        <row r="5">
          <cell r="J5">
            <v>1.1000000000000001</v>
          </cell>
          <cell r="M5">
            <v>0</v>
          </cell>
        </row>
        <row r="6">
          <cell r="J6">
            <v>1.2</v>
          </cell>
          <cell r="M6">
            <v>3212.1</v>
          </cell>
        </row>
        <row r="7">
          <cell r="J7">
            <v>1.2</v>
          </cell>
          <cell r="M7">
            <v>3211.86</v>
          </cell>
        </row>
        <row r="8">
          <cell r="J8">
            <v>1.2</v>
          </cell>
          <cell r="M8">
            <v>3592.44</v>
          </cell>
        </row>
        <row r="9">
          <cell r="J9">
            <v>1.2</v>
          </cell>
          <cell r="M9">
            <v>1486.86</v>
          </cell>
        </row>
        <row r="10">
          <cell r="J10">
            <v>1.2</v>
          </cell>
          <cell r="M10">
            <v>1486.86</v>
          </cell>
        </row>
        <row r="11">
          <cell r="J11">
            <v>1.2</v>
          </cell>
          <cell r="M11">
            <v>1486.86</v>
          </cell>
        </row>
        <row r="12">
          <cell r="J12">
            <v>1.2</v>
          </cell>
          <cell r="M12">
            <v>1486.86</v>
          </cell>
        </row>
        <row r="13">
          <cell r="J13">
            <v>2</v>
          </cell>
          <cell r="M13">
            <v>3779.88</v>
          </cell>
        </row>
        <row r="14">
          <cell r="J14">
            <v>2</v>
          </cell>
          <cell r="M14">
            <v>3779.88</v>
          </cell>
        </row>
        <row r="15">
          <cell r="J15">
            <v>2</v>
          </cell>
          <cell r="M15">
            <v>4091.58</v>
          </cell>
        </row>
        <row r="16">
          <cell r="J16">
            <v>2</v>
          </cell>
          <cell r="M16">
            <v>4615.92</v>
          </cell>
        </row>
        <row r="17">
          <cell r="J17">
            <v>2</v>
          </cell>
          <cell r="M17">
            <v>4615.92</v>
          </cell>
        </row>
        <row r="18">
          <cell r="J18">
            <v>2</v>
          </cell>
          <cell r="M18">
            <v>4615.92</v>
          </cell>
        </row>
        <row r="19">
          <cell r="J19">
            <v>2</v>
          </cell>
          <cell r="M19">
            <v>4615.92</v>
          </cell>
        </row>
        <row r="20">
          <cell r="J20">
            <v>2</v>
          </cell>
          <cell r="M20">
            <v>4615.92</v>
          </cell>
        </row>
        <row r="21">
          <cell r="J21">
            <v>2</v>
          </cell>
          <cell r="M21">
            <v>4615.92</v>
          </cell>
        </row>
        <row r="22">
          <cell r="J22">
            <v>2</v>
          </cell>
          <cell r="M22">
            <v>3598.62</v>
          </cell>
        </row>
        <row r="23">
          <cell r="J23">
            <v>2</v>
          </cell>
          <cell r="M23">
            <v>3708.72</v>
          </cell>
        </row>
        <row r="24">
          <cell r="J24">
            <v>2</v>
          </cell>
          <cell r="M24">
            <v>3708.72</v>
          </cell>
        </row>
        <row r="25">
          <cell r="J25">
            <v>2</v>
          </cell>
          <cell r="M25">
            <v>3708.72</v>
          </cell>
        </row>
        <row r="26">
          <cell r="J26">
            <v>2</v>
          </cell>
          <cell r="M26">
            <v>3708.72</v>
          </cell>
        </row>
        <row r="27">
          <cell r="J27">
            <v>2</v>
          </cell>
          <cell r="M27">
            <v>3708.72</v>
          </cell>
        </row>
        <row r="28">
          <cell r="J28">
            <v>2</v>
          </cell>
          <cell r="M28">
            <v>3708.72</v>
          </cell>
        </row>
        <row r="29">
          <cell r="J29">
            <v>3.1</v>
          </cell>
          <cell r="M29">
            <v>5175.3599999999997</v>
          </cell>
        </row>
        <row r="30">
          <cell r="J30">
            <v>3.1</v>
          </cell>
          <cell r="M30">
            <v>3708.72</v>
          </cell>
        </row>
        <row r="31">
          <cell r="J31">
            <v>3.1</v>
          </cell>
          <cell r="M31">
            <v>3708.72</v>
          </cell>
        </row>
        <row r="32">
          <cell r="J32">
            <v>3.1</v>
          </cell>
          <cell r="M32">
            <v>3708.72</v>
          </cell>
        </row>
        <row r="33">
          <cell r="J33">
            <v>3.1</v>
          </cell>
          <cell r="M33">
            <v>3708.72</v>
          </cell>
        </row>
        <row r="34">
          <cell r="J34">
            <v>3.1</v>
          </cell>
          <cell r="M34">
            <v>3708.72</v>
          </cell>
        </row>
        <row r="35">
          <cell r="J35">
            <v>3.1</v>
          </cell>
          <cell r="M35">
            <v>3708.72</v>
          </cell>
        </row>
        <row r="36">
          <cell r="J36">
            <v>3.1</v>
          </cell>
          <cell r="M36">
            <v>3708.72</v>
          </cell>
        </row>
        <row r="37">
          <cell r="J37">
            <v>3.1</v>
          </cell>
          <cell r="M37">
            <v>3708.72</v>
          </cell>
        </row>
        <row r="38">
          <cell r="J38">
            <v>4</v>
          </cell>
          <cell r="M38">
            <v>3592.44</v>
          </cell>
        </row>
        <row r="39">
          <cell r="J39">
            <v>4</v>
          </cell>
          <cell r="M39">
            <v>3592.44</v>
          </cell>
        </row>
        <row r="40">
          <cell r="J40">
            <v>4</v>
          </cell>
          <cell r="M40">
            <v>3212.1</v>
          </cell>
        </row>
        <row r="41">
          <cell r="J41">
            <v>5</v>
          </cell>
          <cell r="M41">
            <v>0</v>
          </cell>
        </row>
        <row r="42">
          <cell r="J42">
            <v>5</v>
          </cell>
          <cell r="M42">
            <v>0</v>
          </cell>
        </row>
        <row r="43">
          <cell r="J43">
            <v>5</v>
          </cell>
          <cell r="M43">
            <v>0</v>
          </cell>
        </row>
        <row r="44">
          <cell r="J44">
            <v>5</v>
          </cell>
          <cell r="M44">
            <v>0</v>
          </cell>
        </row>
        <row r="45">
          <cell r="J45">
            <v>5</v>
          </cell>
          <cell r="M45">
            <v>0</v>
          </cell>
        </row>
        <row r="46">
          <cell r="J46">
            <v>5</v>
          </cell>
          <cell r="M46">
            <v>0</v>
          </cell>
        </row>
        <row r="47">
          <cell r="J47">
            <v>6</v>
          </cell>
          <cell r="M47">
            <v>0</v>
          </cell>
        </row>
        <row r="48">
          <cell r="J48">
            <v>6</v>
          </cell>
          <cell r="M48">
            <v>0</v>
          </cell>
        </row>
        <row r="49">
          <cell r="J49">
            <v>6</v>
          </cell>
          <cell r="M49">
            <v>0</v>
          </cell>
        </row>
        <row r="50">
          <cell r="J50">
            <v>6</v>
          </cell>
          <cell r="M50">
            <v>0</v>
          </cell>
        </row>
        <row r="51">
          <cell r="J51">
            <v>6</v>
          </cell>
          <cell r="M51">
            <v>0</v>
          </cell>
        </row>
        <row r="52">
          <cell r="J52">
            <v>6</v>
          </cell>
          <cell r="M52">
            <v>0</v>
          </cell>
        </row>
        <row r="53">
          <cell r="J53">
            <v>6</v>
          </cell>
          <cell r="M53">
            <v>0</v>
          </cell>
        </row>
        <row r="54">
          <cell r="J54">
            <v>6</v>
          </cell>
          <cell r="M54">
            <v>888.54</v>
          </cell>
        </row>
        <row r="55">
          <cell r="J55">
            <v>7</v>
          </cell>
          <cell r="M55">
            <v>1486.86</v>
          </cell>
        </row>
        <row r="56">
          <cell r="J56">
            <v>7</v>
          </cell>
          <cell r="M56">
            <v>1486.86</v>
          </cell>
        </row>
        <row r="57">
          <cell r="J57">
            <v>7</v>
          </cell>
          <cell r="M57">
            <v>1709.7</v>
          </cell>
        </row>
        <row r="58">
          <cell r="J58">
            <v>7</v>
          </cell>
          <cell r="M58">
            <v>1486.86</v>
          </cell>
        </row>
        <row r="59">
          <cell r="J59">
            <v>8</v>
          </cell>
          <cell r="M59">
            <v>3212.1</v>
          </cell>
        </row>
        <row r="60">
          <cell r="J60">
            <v>8</v>
          </cell>
          <cell r="M60">
            <v>3212.1</v>
          </cell>
        </row>
        <row r="61">
          <cell r="J61">
            <v>8</v>
          </cell>
          <cell r="M61">
            <v>3084.66</v>
          </cell>
        </row>
        <row r="62">
          <cell r="J62">
            <v>8</v>
          </cell>
          <cell r="M62">
            <v>3084.66</v>
          </cell>
        </row>
        <row r="63">
          <cell r="J63">
            <v>8</v>
          </cell>
          <cell r="M63">
            <v>979.14</v>
          </cell>
        </row>
        <row r="64">
          <cell r="J64">
            <v>8</v>
          </cell>
          <cell r="M64">
            <v>0</v>
          </cell>
        </row>
        <row r="65">
          <cell r="J65">
            <v>8</v>
          </cell>
          <cell r="M65">
            <v>0</v>
          </cell>
        </row>
        <row r="66">
          <cell r="J66">
            <v>8</v>
          </cell>
          <cell r="M66">
            <v>1241.3399999999999</v>
          </cell>
        </row>
        <row r="67">
          <cell r="J67">
            <v>8</v>
          </cell>
          <cell r="M67">
            <v>0</v>
          </cell>
        </row>
        <row r="68">
          <cell r="J68">
            <v>8</v>
          </cell>
          <cell r="M68">
            <v>0</v>
          </cell>
        </row>
        <row r="69">
          <cell r="J69">
            <v>8</v>
          </cell>
          <cell r="M69">
            <v>0</v>
          </cell>
        </row>
        <row r="70">
          <cell r="J70">
            <v>8</v>
          </cell>
          <cell r="M70">
            <v>0</v>
          </cell>
        </row>
        <row r="71">
          <cell r="J71">
            <v>8</v>
          </cell>
          <cell r="M71">
            <v>0</v>
          </cell>
        </row>
        <row r="72">
          <cell r="J72">
            <v>8</v>
          </cell>
          <cell r="M72">
            <v>0</v>
          </cell>
        </row>
        <row r="73">
          <cell r="J73">
            <v>8</v>
          </cell>
          <cell r="M73">
            <v>0</v>
          </cell>
        </row>
        <row r="74">
          <cell r="J74">
            <v>8</v>
          </cell>
          <cell r="M74">
            <v>0</v>
          </cell>
        </row>
        <row r="75">
          <cell r="J75">
            <v>8</v>
          </cell>
          <cell r="M75">
            <v>1241.3399999999999</v>
          </cell>
        </row>
        <row r="76">
          <cell r="J76">
            <v>8</v>
          </cell>
          <cell r="M76">
            <v>187.62</v>
          </cell>
        </row>
        <row r="77">
          <cell r="J77">
            <v>8</v>
          </cell>
          <cell r="M77">
            <v>48.18</v>
          </cell>
        </row>
        <row r="78">
          <cell r="J78">
            <v>8</v>
          </cell>
          <cell r="M78">
            <v>48.18</v>
          </cell>
        </row>
        <row r="79">
          <cell r="J79">
            <v>8</v>
          </cell>
          <cell r="M79">
            <v>48.18</v>
          </cell>
        </row>
        <row r="80">
          <cell r="J80">
            <v>8</v>
          </cell>
          <cell r="M80">
            <v>48.18</v>
          </cell>
        </row>
        <row r="81">
          <cell r="J81">
            <v>8</v>
          </cell>
          <cell r="M81">
            <v>48.18</v>
          </cell>
        </row>
        <row r="82">
          <cell r="J82">
            <v>9</v>
          </cell>
          <cell r="M82">
            <v>0</v>
          </cell>
        </row>
        <row r="83">
          <cell r="J83">
            <v>9</v>
          </cell>
          <cell r="M83">
            <v>0</v>
          </cell>
        </row>
        <row r="84">
          <cell r="J84">
            <v>9</v>
          </cell>
          <cell r="M84">
            <v>0</v>
          </cell>
        </row>
        <row r="85">
          <cell r="J85">
            <v>9</v>
          </cell>
          <cell r="M85">
            <v>0</v>
          </cell>
        </row>
        <row r="86">
          <cell r="J86">
            <v>3.2</v>
          </cell>
          <cell r="M86">
            <v>6541.08</v>
          </cell>
        </row>
        <row r="87">
          <cell r="J87">
            <v>3.2</v>
          </cell>
          <cell r="M87">
            <v>6541.08</v>
          </cell>
        </row>
      </sheetData>
      <sheetData sheetId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BL" id="{9F664929-FAF8-4A76-A9E5-9A729C275928}" userId="MBL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Z1" dT="2020-04-02T07:42:39.08" personId="{9F664929-FAF8-4A76-A9E5-9A729C275928}" id="{AB64EF32-FF83-40C3-A816-CCAF182E81C7}">
    <text>poprawiłam ilość dni</text>
  </threadedComment>
</ThreadedComment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EFL_DL2318E\Umowa_17416_JG_19.pdf" TargetMode="External"/><Relationship Id="rId13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SGEquipment_spycharka\OT%20731_2019.pdf" TargetMode="External"/><Relationship Id="rId18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Millennium_ST9437K\Umowa_298066.pdf" TargetMode="External"/><Relationship Id="rId3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IDEA_GETIN_System_ppoz&#775;\Umowa_166473.pdf" TargetMode="External"/><Relationship Id="rId21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Millennium_maszyna%20prze&#322;adunkowa\OT.pdf" TargetMode="External"/><Relationship Id="rId7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EFL_DL2319E\OT%20734_2019.pdf" TargetMode="External"/><Relationship Id="rId12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SGEquipment_spycharka\Umowa_76851.pdf" TargetMode="External"/><Relationship Id="rId17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Millennium_ST5157R\OT%20756_2020.pdf" TargetMode="External"/><Relationship Id="rId2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IDEA_LEASING_Toyota\OT%20619_2017.pdf" TargetMode="External"/><Relationship Id="rId16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Millennium_ST5157R\Umowa_315289.pdf" TargetMode="External"/><Relationship Id="rId20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Millennium_maszyna%20prze&#322;adunkowa\Umowa.pdf" TargetMode="External"/><Relationship Id="rId1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IDEA_LEASING_Toyota\Umowa_140468.pdf" TargetMode="External"/><Relationship Id="rId6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EFL_DL2319E\Umowa_1741_JG_19.pdf" TargetMode="External"/><Relationship Id="rId11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SGEquipment_zamiatarka\OT%20732_2019.pdf" TargetMode="External"/><Relationship Id="rId5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IDEA_GETIN_System_ppoz&#775;\166473_harmonogram.pdf" TargetMode="External"/><Relationship Id="rId15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Millennium_&#322;adowarka\OT%20758_2020.pdf" TargetMode="External"/><Relationship Id="rId10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SGEquipment_zamiatarka\Umowa_73304.pdf" TargetMode="External"/><Relationship Id="rId19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Millennium_ST9437K\OT%20730_2019.pdf" TargetMode="External"/><Relationship Id="rId4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IDEA_GETIN_System_ppoz&#775;\OT%20746_2019.pdf" TargetMode="External"/><Relationship Id="rId9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EFL_DL2318E\OT%20733_2019.pdf" TargetMode="External"/><Relationship Id="rId14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Millennium_&#322;adowarka\Umowa_316083.pdf" TargetMode="External"/><Relationship Id="rId22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Kredyty\Kredyt_S_9_12_2017_1128_F_KI_EKO_&#322;adowarka_13532\umowa%20kredytu.pdf" TargetMode="External"/><Relationship Id="rId13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Poz&#775;yczki\Poz&#775;yczka_225_2019_82_OZ_uk_P\Przelew_2.pdf" TargetMode="External"/><Relationship Id="rId3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Poz&#775;yczki\Poz&#775;yczka_225_2019_82_OZ_uk_P\Umowa%20poz&#775;yczki.pdf" TargetMode="External"/><Relationship Id="rId7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Poz&#775;yczki\Poz&#775;yczka_280_2011_Wn12_OZ-uk_ps_P\Umowa_NFOS&#769;iGW.pdf" TargetMode="External"/><Relationship Id="rId12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Poz&#775;yczki\Poz&#775;yczka_225_2019_82_OZ_uk_P\Przelew_1.pdf" TargetMode="External"/><Relationship Id="rId2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Poz&#775;yczki\Poz&#775;yczka_67_2020_82_OZ_si_P\Umowa.pdf" TargetMode="External"/><Relationship Id="rId1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Poz&#775;yczki\Poz&#775;yczka_66_2020_82_OZ_uk_P\Umowa.pdf" TargetMode="External"/><Relationship Id="rId6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Poz&#775;yczki\Poz&#775;yczka%20_149_2017_Wn12_OZ-uk_go_P\NFOS&#769;IGW%20umowa%20o%20dofinas..pdf" TargetMode="External"/><Relationship Id="rId11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Poz&#775;yczki\Poz&#775;yczka_67_2020_82_OZ_si_P\Przelew_1.pdf" TargetMode="External"/><Relationship Id="rId5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Poz&#775;yczki\Poz&#775;yczka_177_2012_82_OZ_si_p\Umowa%20poz&#775;yczki_WFOS&#769;iGW.pdf" TargetMode="External"/><Relationship Id="rId10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Poz&#775;yczki\Poz&#775;yczka_66_2020_82_OZ_uk_P\Przelew_1.pdf" TargetMode="External"/><Relationship Id="rId4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Poz&#775;yczki\Poz&#775;yczka_252_2018_82_OZ_uk_P\Umowa_WFOS&#769;iGW.pdf" TargetMode="External"/><Relationship Id="rId9" Type="http://schemas.openxmlformats.org/officeDocument/2006/relationships/hyperlink" Target="file://C:\..\Library\Containers\com.apple.mail\Data\Library\Containers\com.apple.mail\Library\Containers\Library\Containers\com.apple.mail\Data\Library\Mail%20Downloads\Library\Library\Containers\com.apple.mail\Library\Containers\Library\Containers\com.apple.mail\Data\Library\Mail%20Downloads\studium%20wykonalnosci\materia&#322;y%20od%20klienta\Kredyty\Kredyt_S_49_04_2018_1128_F_KI_EKO_ro&#769;w_13522\Umowa%20kredytowa.pdf" TargetMode="External"/><Relationship Id="rId14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52"/>
  <sheetViews>
    <sheetView showGridLines="0" tabSelected="1" topLeftCell="A8" zoomScale="75" zoomScaleNormal="100" workbookViewId="0">
      <selection activeCell="O33" sqref="O33"/>
    </sheetView>
  </sheetViews>
  <sheetFormatPr defaultColWidth="8.85546875" defaultRowHeight="12.75"/>
  <cols>
    <col min="1" max="1" width="3.42578125" style="82" bestFit="1" customWidth="1"/>
    <col min="2" max="2" width="25.7109375" style="82" customWidth="1"/>
    <col min="3" max="3" width="69.7109375" style="82" customWidth="1"/>
    <col min="4" max="4" width="4.7109375" style="82" bestFit="1" customWidth="1"/>
    <col min="5" max="15" width="15.7109375" style="82" bestFit="1" customWidth="1"/>
    <col min="16" max="16384" width="8.85546875" style="82"/>
  </cols>
  <sheetData>
    <row r="1" spans="1:15" ht="25.5">
      <c r="A1" s="97" t="s">
        <v>0</v>
      </c>
      <c r="B1" s="457" t="s">
        <v>245</v>
      </c>
      <c r="C1" s="457"/>
      <c r="D1" s="97" t="s">
        <v>2</v>
      </c>
      <c r="E1" s="97" t="s">
        <v>3</v>
      </c>
      <c r="F1" s="97" t="s">
        <v>4</v>
      </c>
      <c r="G1" s="97" t="s">
        <v>5</v>
      </c>
      <c r="H1" s="97" t="s">
        <v>6</v>
      </c>
      <c r="I1" s="97" t="s">
        <v>323</v>
      </c>
      <c r="J1" s="97" t="s">
        <v>324</v>
      </c>
      <c r="K1" s="97" t="s">
        <v>361</v>
      </c>
      <c r="L1" s="97" t="s">
        <v>362</v>
      </c>
      <c r="M1" s="97" t="s">
        <v>363</v>
      </c>
      <c r="N1" s="97" t="s">
        <v>364</v>
      </c>
      <c r="O1" s="97" t="s">
        <v>365</v>
      </c>
    </row>
    <row r="2" spans="1:15" ht="13.7" customHeight="1">
      <c r="A2" s="81" t="s">
        <v>7</v>
      </c>
      <c r="B2" s="458" t="s">
        <v>8</v>
      </c>
      <c r="C2" s="458"/>
      <c r="D2" s="81" t="s">
        <v>9</v>
      </c>
      <c r="E2" s="81" t="s">
        <v>10</v>
      </c>
      <c r="F2" s="81" t="s">
        <v>11</v>
      </c>
      <c r="G2" s="81" t="s">
        <v>12</v>
      </c>
      <c r="H2" s="81" t="s">
        <v>13</v>
      </c>
      <c r="I2" s="81" t="s">
        <v>374</v>
      </c>
      <c r="J2" s="81" t="s">
        <v>375</v>
      </c>
      <c r="K2" s="81" t="s">
        <v>376</v>
      </c>
      <c r="L2" s="81" t="s">
        <v>377</v>
      </c>
      <c r="M2" s="81" t="s">
        <v>378</v>
      </c>
      <c r="N2" s="81" t="s">
        <v>379</v>
      </c>
      <c r="O2" s="81" t="s">
        <v>380</v>
      </c>
    </row>
    <row r="3" spans="1:15" ht="13.7" customHeight="1">
      <c r="A3" s="83" t="s">
        <v>17</v>
      </c>
      <c r="B3" s="459" t="s">
        <v>246</v>
      </c>
      <c r="C3" s="459"/>
      <c r="D3" s="84" t="s">
        <v>17</v>
      </c>
      <c r="E3" s="85" t="s">
        <v>17</v>
      </c>
      <c r="F3" s="85" t="s">
        <v>17</v>
      </c>
      <c r="G3" s="85" t="s">
        <v>17</v>
      </c>
      <c r="H3" s="85" t="s">
        <v>17</v>
      </c>
      <c r="I3" s="85" t="s">
        <v>17</v>
      </c>
      <c r="J3" s="85" t="s">
        <v>17</v>
      </c>
      <c r="K3" s="85" t="s">
        <v>17</v>
      </c>
      <c r="L3" s="85" t="s">
        <v>17</v>
      </c>
      <c r="M3" s="85" t="s">
        <v>17</v>
      </c>
      <c r="N3" s="85" t="s">
        <v>17</v>
      </c>
      <c r="O3" s="85" t="s">
        <v>17</v>
      </c>
    </row>
    <row r="4" spans="1:15" ht="13.7" customHeight="1">
      <c r="A4" s="97" t="s">
        <v>14</v>
      </c>
      <c r="B4" s="456" t="s">
        <v>247</v>
      </c>
      <c r="C4" s="456"/>
      <c r="D4" s="81" t="s">
        <v>16</v>
      </c>
      <c r="E4" s="86">
        <f>E5+E6+E8+E9+E10</f>
        <v>107563713.2</v>
      </c>
      <c r="F4" s="86">
        <f t="shared" ref="F4:O4" si="0">F5+F6+F8+F9+F10</f>
        <v>107942567.59000002</v>
      </c>
      <c r="G4" s="86">
        <f t="shared" si="0"/>
        <v>106587642.48999999</v>
      </c>
      <c r="H4" s="86">
        <f t="shared" si="0"/>
        <v>108907599.03</v>
      </c>
      <c r="I4" s="86">
        <f>I5+I6+I8+I9+I10</f>
        <v>103566315.88999999</v>
      </c>
      <c r="J4" s="86">
        <f t="shared" si="0"/>
        <v>102767876.84</v>
      </c>
      <c r="K4" s="86">
        <f t="shared" si="0"/>
        <v>104520538.84</v>
      </c>
      <c r="L4" s="86">
        <f t="shared" si="0"/>
        <v>92658617.75999999</v>
      </c>
      <c r="M4" s="86">
        <f t="shared" si="0"/>
        <v>81832444.120000005</v>
      </c>
      <c r="N4" s="86">
        <f t="shared" si="0"/>
        <v>71728854.989999995</v>
      </c>
      <c r="O4" s="86">
        <f t="shared" si="0"/>
        <v>62165953.849999994</v>
      </c>
    </row>
    <row r="5" spans="1:15" ht="13.7" customHeight="1">
      <c r="A5" s="97" t="s">
        <v>20</v>
      </c>
      <c r="B5" s="456" t="s">
        <v>248</v>
      </c>
      <c r="C5" s="456"/>
      <c r="D5" s="81" t="s">
        <v>16</v>
      </c>
      <c r="E5" s="87">
        <v>9872.36</v>
      </c>
      <c r="F5" s="87">
        <v>2003.62</v>
      </c>
      <c r="G5" s="87">
        <v>42131.360000000001</v>
      </c>
      <c r="H5" s="87">
        <v>18415.68</v>
      </c>
      <c r="I5" s="87">
        <v>9225</v>
      </c>
      <c r="J5" s="87">
        <v>0</v>
      </c>
      <c r="K5" s="87">
        <v>0</v>
      </c>
      <c r="L5" s="87">
        <v>0</v>
      </c>
      <c r="M5" s="87">
        <v>0</v>
      </c>
      <c r="N5" s="87">
        <v>0</v>
      </c>
      <c r="O5" s="87">
        <v>0</v>
      </c>
    </row>
    <row r="6" spans="1:15" ht="13.7" customHeight="1">
      <c r="A6" s="97" t="s">
        <v>22</v>
      </c>
      <c r="B6" s="456" t="s">
        <v>249</v>
      </c>
      <c r="C6" s="456"/>
      <c r="D6" s="81" t="s">
        <v>16</v>
      </c>
      <c r="E6" s="87">
        <v>104490677.22</v>
      </c>
      <c r="F6" s="87">
        <v>104297080.42</v>
      </c>
      <c r="G6" s="87">
        <v>102815702.86</v>
      </c>
      <c r="H6" s="87">
        <v>104061170.08</v>
      </c>
      <c r="I6" s="87">
        <v>100214683.36</v>
      </c>
      <c r="J6" s="87">
        <f>I6+RPP!J19-'Amortyzacja obecna i projektowa'!Y270</f>
        <v>97939863.569999993</v>
      </c>
      <c r="K6" s="87">
        <f>J6+RPP!K19-'Amortyzacja obecna i projektowa'!Z270</f>
        <v>99692525.569999993</v>
      </c>
      <c r="L6" s="87">
        <f>K6-'Amortyzacja obecna i projektowa'!AA270</f>
        <v>87830604.489999995</v>
      </c>
      <c r="M6" s="87">
        <f>L6-'Amortyzacja obecna i projektowa'!AB270</f>
        <v>77004430.849999994</v>
      </c>
      <c r="N6" s="87">
        <f>M6-'Amortyzacja obecna i projektowa'!AC270</f>
        <v>66900841.719999991</v>
      </c>
      <c r="O6" s="87">
        <f>N6-'Amortyzacja obecna i projektowa'!AD270</f>
        <v>57337940.579999991</v>
      </c>
    </row>
    <row r="7" spans="1:15" ht="13.7" hidden="1" customHeight="1">
      <c r="A7" s="97" t="s">
        <v>17</v>
      </c>
      <c r="B7" s="456" t="s">
        <v>250</v>
      </c>
      <c r="C7" s="456"/>
      <c r="D7" s="81" t="s">
        <v>16</v>
      </c>
      <c r="E7" s="87">
        <v>0</v>
      </c>
      <c r="F7" s="87">
        <v>0</v>
      </c>
      <c r="G7" s="87">
        <v>0</v>
      </c>
      <c r="H7" s="87">
        <v>0</v>
      </c>
      <c r="I7" s="443">
        <f>H7+RPP!I20</f>
        <v>42000</v>
      </c>
      <c r="J7" s="443">
        <f>I7+RPP!J20</f>
        <v>692000</v>
      </c>
      <c r="K7" s="443">
        <f>J7+RPP!K20</f>
        <v>2392000</v>
      </c>
      <c r="L7" s="87">
        <v>0</v>
      </c>
      <c r="M7" s="87">
        <v>0</v>
      </c>
      <c r="N7" s="87">
        <v>0</v>
      </c>
      <c r="O7" s="87">
        <v>0</v>
      </c>
    </row>
    <row r="8" spans="1:15" ht="13.7" customHeight="1">
      <c r="A8" s="97" t="s">
        <v>24</v>
      </c>
      <c r="B8" s="456" t="s">
        <v>251</v>
      </c>
      <c r="C8" s="456"/>
      <c r="D8" s="81" t="s">
        <v>16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</row>
    <row r="9" spans="1:15" ht="13.7" customHeight="1">
      <c r="A9" s="97" t="s">
        <v>26</v>
      </c>
      <c r="B9" s="456" t="s">
        <v>252</v>
      </c>
      <c r="C9" s="456"/>
      <c r="D9" s="81" t="s">
        <v>16</v>
      </c>
      <c r="E9" s="87">
        <v>71932.92</v>
      </c>
      <c r="F9" s="87">
        <v>57782.18</v>
      </c>
      <c r="G9" s="87">
        <v>43631.44</v>
      </c>
      <c r="H9" s="87">
        <v>29480.7</v>
      </c>
      <c r="I9" s="87">
        <v>15329.96</v>
      </c>
      <c r="J9" s="87">
        <v>29480.7</v>
      </c>
      <c r="K9" s="87">
        <v>29480.7</v>
      </c>
      <c r="L9" s="87">
        <v>29480.7</v>
      </c>
      <c r="M9" s="87">
        <v>29480.7</v>
      </c>
      <c r="N9" s="87">
        <v>29480.7</v>
      </c>
      <c r="O9" s="87">
        <v>29480.7</v>
      </c>
    </row>
    <row r="10" spans="1:15" ht="13.7" customHeight="1">
      <c r="A10" s="97" t="s">
        <v>28</v>
      </c>
      <c r="B10" s="456" t="s">
        <v>253</v>
      </c>
      <c r="C10" s="456"/>
      <c r="D10" s="81" t="s">
        <v>16</v>
      </c>
      <c r="E10" s="87">
        <v>2991230.7</v>
      </c>
      <c r="F10" s="87">
        <v>3585701.37</v>
      </c>
      <c r="G10" s="87">
        <v>3686176.83</v>
      </c>
      <c r="H10" s="87">
        <v>4798532.57</v>
      </c>
      <c r="I10" s="87">
        <v>3327077.57</v>
      </c>
      <c r="J10" s="87">
        <v>4798532.57</v>
      </c>
      <c r="K10" s="87">
        <v>4798532.57</v>
      </c>
      <c r="L10" s="87">
        <v>4798532.57</v>
      </c>
      <c r="M10" s="87">
        <v>4798532.57</v>
      </c>
      <c r="N10" s="87">
        <v>4798532.57</v>
      </c>
      <c r="O10" s="87">
        <v>4798532.57</v>
      </c>
    </row>
    <row r="11" spans="1:15" ht="13.7" customHeight="1">
      <c r="A11" s="97" t="s">
        <v>18</v>
      </c>
      <c r="B11" s="456" t="s">
        <v>254</v>
      </c>
      <c r="C11" s="456"/>
      <c r="D11" s="81" t="s">
        <v>16</v>
      </c>
      <c r="E11" s="86">
        <f>E12+E13+E14+E16</f>
        <v>27874683.430000003</v>
      </c>
      <c r="F11" s="86">
        <f t="shared" ref="F11:O11" si="1">F12+F13+F14+F16</f>
        <v>23329400.860000003</v>
      </c>
      <c r="G11" s="86">
        <f t="shared" si="1"/>
        <v>22822178.250000004</v>
      </c>
      <c r="H11" s="86">
        <f t="shared" si="1"/>
        <v>24588409.740000002</v>
      </c>
      <c r="I11" s="86">
        <f t="shared" si="1"/>
        <v>33579214.549999997</v>
      </c>
      <c r="J11" s="86">
        <f t="shared" si="1"/>
        <v>26269315.424472697</v>
      </c>
      <c r="K11" s="86">
        <f t="shared" si="1"/>
        <v>29580248.638002198</v>
      </c>
      <c r="L11" s="86">
        <f t="shared" si="1"/>
        <v>38368846.861414306</v>
      </c>
      <c r="M11" s="86">
        <f t="shared" si="1"/>
        <v>45790006.635326728</v>
      </c>
      <c r="N11" s="86">
        <f t="shared" si="1"/>
        <v>53827110.469723091</v>
      </c>
      <c r="O11" s="86">
        <f t="shared" si="1"/>
        <v>59969860.500824526</v>
      </c>
    </row>
    <row r="12" spans="1:15" ht="13.7" customHeight="1">
      <c r="A12" s="97" t="s">
        <v>20</v>
      </c>
      <c r="B12" s="456" t="s">
        <v>255</v>
      </c>
      <c r="C12" s="456"/>
      <c r="D12" s="81" t="s">
        <v>16</v>
      </c>
      <c r="E12" s="87">
        <v>1397559.68</v>
      </c>
      <c r="F12" s="87">
        <v>1596220.93</v>
      </c>
      <c r="G12" s="87">
        <v>1654923.05</v>
      </c>
      <c r="H12" s="87">
        <v>1658259.24</v>
      </c>
      <c r="I12" s="87">
        <v>1408679.38</v>
      </c>
      <c r="J12" s="87">
        <f>RZiS!J3*' VAT i KON'!E27/365</f>
        <v>1867935.9407291175</v>
      </c>
      <c r="K12" s="87">
        <f>RZiS!K3*' VAT i KON'!F27/365</f>
        <v>2044455.887128019</v>
      </c>
      <c r="L12" s="87">
        <f>RZiS!L3*' VAT i KON'!G27/365</f>
        <v>2435277.9490640112</v>
      </c>
      <c r="M12" s="87">
        <f>RZiS!M3*' VAT i KON'!H27/365</f>
        <v>2658094.9545965991</v>
      </c>
      <c r="N12" s="87">
        <f>RZiS!N3*' VAT i KON'!I27/365</f>
        <v>2898331.8350923709</v>
      </c>
      <c r="O12" s="87">
        <f>RZiS!O3*' VAT i KON'!J27/365</f>
        <v>3141228.9505787236</v>
      </c>
    </row>
    <row r="13" spans="1:15" ht="13.7" customHeight="1">
      <c r="A13" s="97" t="s">
        <v>22</v>
      </c>
      <c r="B13" s="456" t="s">
        <v>256</v>
      </c>
      <c r="C13" s="456"/>
      <c r="D13" s="81" t="s">
        <v>16</v>
      </c>
      <c r="E13" s="87">
        <v>5970043.4100000001</v>
      </c>
      <c r="F13" s="87">
        <v>7194884.8600000003</v>
      </c>
      <c r="G13" s="87">
        <v>7635843.4800000004</v>
      </c>
      <c r="H13" s="87">
        <v>9628914.4800000004</v>
      </c>
      <c r="I13" s="87">
        <v>11360261.68</v>
      </c>
      <c r="J13" s="87">
        <f>RZiS!J3*' VAT i KON'!E28/365-' VAT i KON'!E8</f>
        <v>10846431.603419874</v>
      </c>
      <c r="K13" s="87">
        <f>RZiS!K3*' VAT i KON'!F28/365-' VAT i KON'!F8</f>
        <v>11871419.389943052</v>
      </c>
      <c r="L13" s="87">
        <f>RZiS!L3*' VAT i KON'!G28/365-' VAT i KON'!G8</f>
        <v>14140782.418656785</v>
      </c>
      <c r="M13" s="87">
        <f>RZiS!M3*' VAT i KON'!H28/365-' VAT i KON'!H8</f>
        <v>15434600.561930314</v>
      </c>
      <c r="N13" s="87">
        <f>RZiS!N3*' VAT i KON'!I28/365-' VAT i KON'!I8</f>
        <v>16829569.648450084</v>
      </c>
      <c r="O13" s="87">
        <f>RZiS!O3*' VAT i KON'!J28/365-' VAT i KON'!J8</f>
        <v>18239985.761950392</v>
      </c>
    </row>
    <row r="14" spans="1:15" ht="13.7" customHeight="1">
      <c r="A14" s="97" t="s">
        <v>24</v>
      </c>
      <c r="B14" s="456" t="s">
        <v>257</v>
      </c>
      <c r="C14" s="456"/>
      <c r="D14" s="81" t="s">
        <v>16</v>
      </c>
      <c r="E14" s="87">
        <v>20057544.420000002</v>
      </c>
      <c r="F14" s="87">
        <v>14145661.91</v>
      </c>
      <c r="G14" s="87">
        <v>12585817.380000001</v>
      </c>
      <c r="H14" s="87">
        <v>12788192.52</v>
      </c>
      <c r="I14" s="87">
        <v>20310345.280000001</v>
      </c>
      <c r="J14" s="87">
        <f>J15</f>
        <v>13554947.880323704</v>
      </c>
      <c r="K14" s="87">
        <f t="shared" ref="K14:O14" si="2">K15</f>
        <v>15664373.360931126</v>
      </c>
      <c r="L14" s="87">
        <f t="shared" si="2"/>
        <v>21792786.493693508</v>
      </c>
      <c r="M14" s="87">
        <f t="shared" si="2"/>
        <v>27697311.118799817</v>
      </c>
      <c r="N14" s="87">
        <f t="shared" si="2"/>
        <v>34099208.986180633</v>
      </c>
      <c r="O14" s="87">
        <f t="shared" si="2"/>
        <v>38588645.788295411</v>
      </c>
    </row>
    <row r="15" spans="1:15" ht="13.7" customHeight="1">
      <c r="A15" s="97" t="s">
        <v>17</v>
      </c>
      <c r="B15" s="456" t="s">
        <v>258</v>
      </c>
      <c r="C15" s="456"/>
      <c r="D15" s="81" t="s">
        <v>16</v>
      </c>
      <c r="E15" s="87">
        <f>RPP!E35</f>
        <v>20057544.420000002</v>
      </c>
      <c r="F15" s="87">
        <f>RPP!F35</f>
        <v>11536762.180000007</v>
      </c>
      <c r="G15" s="87">
        <f>RPP!G35</f>
        <v>11602377.219999995</v>
      </c>
      <c r="H15" s="87">
        <f>RPP!H35</f>
        <v>11798773.620000001</v>
      </c>
      <c r="I15" s="87">
        <f>RPP!I35</f>
        <v>19450442.850000001</v>
      </c>
      <c r="J15" s="87">
        <f>RPP!J35</f>
        <v>13554947.880323704</v>
      </c>
      <c r="K15" s="87">
        <f>RPP!K35</f>
        <v>15664373.360931126</v>
      </c>
      <c r="L15" s="87">
        <f>RPP!L35</f>
        <v>21792786.493693508</v>
      </c>
      <c r="M15" s="87">
        <f>RPP!M35</f>
        <v>27697311.118799817</v>
      </c>
      <c r="N15" s="87">
        <f>RPP!N35</f>
        <v>34099208.986180633</v>
      </c>
      <c r="O15" s="87">
        <f>RPP!O35</f>
        <v>38588645.788295411</v>
      </c>
    </row>
    <row r="16" spans="1:15" ht="13.7" customHeight="1">
      <c r="A16" s="97" t="s">
        <v>26</v>
      </c>
      <c r="B16" s="456" t="s">
        <v>259</v>
      </c>
      <c r="C16" s="456"/>
      <c r="D16" s="81" t="s">
        <v>16</v>
      </c>
      <c r="E16" s="87">
        <v>449535.92</v>
      </c>
      <c r="F16" s="87">
        <v>392633.16</v>
      </c>
      <c r="G16" s="87">
        <v>945594.34</v>
      </c>
      <c r="H16" s="87">
        <v>513043.5</v>
      </c>
      <c r="I16" s="87">
        <v>499928.21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</row>
    <row r="17" spans="1:15" ht="13.7" customHeight="1">
      <c r="A17" s="97" t="s">
        <v>17</v>
      </c>
      <c r="B17" s="456" t="s">
        <v>260</v>
      </c>
      <c r="C17" s="456"/>
      <c r="D17" s="81" t="s">
        <v>16</v>
      </c>
      <c r="E17" s="86">
        <f>E4+E11</f>
        <v>135438396.63</v>
      </c>
      <c r="F17" s="86">
        <f t="shared" ref="F17:O17" si="3">F4+F11</f>
        <v>131271968.45000002</v>
      </c>
      <c r="G17" s="86">
        <f t="shared" si="3"/>
        <v>129409820.73999999</v>
      </c>
      <c r="H17" s="86">
        <f t="shared" si="3"/>
        <v>133496008.77000001</v>
      </c>
      <c r="I17" s="86">
        <f t="shared" si="3"/>
        <v>137145530.44</v>
      </c>
      <c r="J17" s="86">
        <f t="shared" si="3"/>
        <v>129037192.26447269</v>
      </c>
      <c r="K17" s="86">
        <f t="shared" si="3"/>
        <v>134100787.47800221</v>
      </c>
      <c r="L17" s="86">
        <f t="shared" si="3"/>
        <v>131027464.6214143</v>
      </c>
      <c r="M17" s="86">
        <f t="shared" si="3"/>
        <v>127622450.75532673</v>
      </c>
      <c r="N17" s="86">
        <f t="shared" si="3"/>
        <v>125555965.45972309</v>
      </c>
      <c r="O17" s="86">
        <f t="shared" si="3"/>
        <v>122135814.35082452</v>
      </c>
    </row>
    <row r="18" spans="1:15" ht="13.7" customHeight="1">
      <c r="A18" s="83" t="s">
        <v>17</v>
      </c>
      <c r="B18" s="459" t="s">
        <v>261</v>
      </c>
      <c r="C18" s="459"/>
      <c r="D18" s="88" t="s">
        <v>17</v>
      </c>
      <c r="E18" s="89" t="s">
        <v>17</v>
      </c>
      <c r="F18" s="89" t="s">
        <v>17</v>
      </c>
      <c r="G18" s="89" t="s">
        <v>17</v>
      </c>
      <c r="H18" s="89" t="s">
        <v>17</v>
      </c>
      <c r="I18" s="90"/>
      <c r="J18" s="90"/>
      <c r="K18" s="90"/>
      <c r="L18" s="90"/>
      <c r="M18" s="90"/>
      <c r="N18" s="90"/>
      <c r="O18" s="90"/>
    </row>
    <row r="19" spans="1:15" ht="13.7" customHeight="1">
      <c r="A19" s="97" t="s">
        <v>14</v>
      </c>
      <c r="B19" s="456" t="s">
        <v>262</v>
      </c>
      <c r="C19" s="456"/>
      <c r="D19" s="81" t="s">
        <v>16</v>
      </c>
      <c r="E19" s="86">
        <f>SUM(E20:E28)</f>
        <v>36491743.650000006</v>
      </c>
      <c r="F19" s="86">
        <f t="shared" ref="F19:O19" si="4">SUM(F20:F28)</f>
        <v>35067515.150000013</v>
      </c>
      <c r="G19" s="86">
        <f t="shared" si="4"/>
        <v>35706006.539999999</v>
      </c>
      <c r="H19" s="86">
        <f t="shared" si="4"/>
        <v>36292354.68</v>
      </c>
      <c r="I19" s="86">
        <f t="shared" si="4"/>
        <v>39738424.990000002</v>
      </c>
      <c r="J19" s="86">
        <f t="shared" si="4"/>
        <v>41222477.990000002</v>
      </c>
      <c r="K19" s="86">
        <f t="shared" si="4"/>
        <v>44056915.166780777</v>
      </c>
      <c r="L19" s="86">
        <f t="shared" si="4"/>
        <v>48271057.800933667</v>
      </c>
      <c r="M19" s="86">
        <f t="shared" si="4"/>
        <v>51354047.737866648</v>
      </c>
      <c r="N19" s="86">
        <f t="shared" si="4"/>
        <v>53342138.414939865</v>
      </c>
      <c r="O19" s="86">
        <f t="shared" si="4"/>
        <v>53892145.264026165</v>
      </c>
    </row>
    <row r="20" spans="1:15">
      <c r="A20" s="97" t="s">
        <v>20</v>
      </c>
      <c r="B20" s="456" t="s">
        <v>263</v>
      </c>
      <c r="C20" s="456"/>
      <c r="D20" s="81" t="s">
        <v>16</v>
      </c>
      <c r="E20" s="87">
        <v>8840000</v>
      </c>
      <c r="F20" s="87">
        <v>8840000</v>
      </c>
      <c r="G20" s="87">
        <v>8840000</v>
      </c>
      <c r="H20" s="87">
        <v>8840000</v>
      </c>
      <c r="I20" s="87">
        <v>8840000</v>
      </c>
      <c r="J20" s="87">
        <v>9128000</v>
      </c>
      <c r="K20" s="87">
        <v>9128000</v>
      </c>
      <c r="L20" s="87">
        <v>9128000</v>
      </c>
      <c r="M20" s="87">
        <v>9128000</v>
      </c>
      <c r="N20" s="87">
        <v>9128000</v>
      </c>
      <c r="O20" s="87">
        <v>9128000</v>
      </c>
    </row>
    <row r="21" spans="1:15" ht="13.7" customHeight="1">
      <c r="A21" s="97" t="s">
        <v>22</v>
      </c>
      <c r="B21" s="456" t="s">
        <v>264</v>
      </c>
      <c r="C21" s="456"/>
      <c r="D21" s="81" t="s">
        <v>16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</row>
    <row r="22" spans="1:15" ht="13.7" customHeight="1">
      <c r="A22" s="97" t="s">
        <v>24</v>
      </c>
      <c r="B22" s="456" t="s">
        <v>265</v>
      </c>
      <c r="C22" s="456"/>
      <c r="D22" s="81" t="s">
        <v>16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</row>
    <row r="23" spans="1:15" ht="13.7" customHeight="1">
      <c r="A23" s="97" t="s">
        <v>26</v>
      </c>
      <c r="B23" s="456" t="s">
        <v>266</v>
      </c>
      <c r="C23" s="456"/>
      <c r="D23" s="81" t="s">
        <v>16</v>
      </c>
      <c r="E23" s="87">
        <v>26864391.350000001</v>
      </c>
      <c r="F23" s="87">
        <f>E23+E27</f>
        <v>27651743.650000002</v>
      </c>
      <c r="G23" s="87">
        <f t="shared" ref="G23:O23" si="5">F23+F27</f>
        <v>26227515.150000006</v>
      </c>
      <c r="H23" s="87">
        <f t="shared" si="5"/>
        <v>26866006.539999995</v>
      </c>
      <c r="I23" s="87">
        <f t="shared" si="5"/>
        <v>27452354.680000003</v>
      </c>
      <c r="J23" s="87">
        <f>I23+I27-288000</f>
        <v>30322424.990000002</v>
      </c>
      <c r="K23" s="87">
        <f t="shared" si="5"/>
        <v>32094477.990000002</v>
      </c>
      <c r="L23" s="87">
        <f t="shared" si="5"/>
        <v>34928915.166780777</v>
      </c>
      <c r="M23" s="87">
        <f t="shared" si="5"/>
        <v>39143057.800933667</v>
      </c>
      <c r="N23" s="87">
        <f t="shared" si="5"/>
        <v>42226047.737866648</v>
      </c>
      <c r="O23" s="87">
        <f t="shared" si="5"/>
        <v>44214138.414939865</v>
      </c>
    </row>
    <row r="24" spans="1:15" ht="13.7" customHeight="1">
      <c r="A24" s="97" t="s">
        <v>28</v>
      </c>
      <c r="B24" s="456" t="s">
        <v>267</v>
      </c>
      <c r="C24" s="456"/>
      <c r="D24" s="81" t="s">
        <v>16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87">
        <v>0</v>
      </c>
      <c r="O24" s="87">
        <v>0</v>
      </c>
    </row>
    <row r="25" spans="1:15" ht="13.7" customHeight="1">
      <c r="A25" s="97" t="s">
        <v>30</v>
      </c>
      <c r="B25" s="456" t="s">
        <v>268</v>
      </c>
      <c r="C25" s="456"/>
      <c r="D25" s="81" t="s">
        <v>16</v>
      </c>
      <c r="E25" s="87">
        <v>0</v>
      </c>
      <c r="F25" s="87">
        <v>0</v>
      </c>
      <c r="G25" s="87">
        <v>0</v>
      </c>
      <c r="H25" s="87">
        <v>0</v>
      </c>
      <c r="I25" s="87">
        <v>288000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</row>
    <row r="26" spans="1:15" ht="13.7" customHeight="1">
      <c r="A26" s="97" t="s">
        <v>269</v>
      </c>
      <c r="B26" s="456" t="s">
        <v>270</v>
      </c>
      <c r="C26" s="456"/>
      <c r="D26" s="81" t="s">
        <v>16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7">
        <v>0</v>
      </c>
      <c r="M26" s="87">
        <v>0</v>
      </c>
      <c r="N26" s="87">
        <v>0</v>
      </c>
      <c r="O26" s="87">
        <v>0</v>
      </c>
    </row>
    <row r="27" spans="1:15" ht="13.7" customHeight="1">
      <c r="A27" s="97" t="s">
        <v>34</v>
      </c>
      <c r="B27" s="456" t="s">
        <v>271</v>
      </c>
      <c r="C27" s="456"/>
      <c r="D27" s="81" t="s">
        <v>16</v>
      </c>
      <c r="E27" s="87">
        <f>RZiS!E26</f>
        <v>787352.30000000214</v>
      </c>
      <c r="F27" s="87">
        <f>RZiS!F26</f>
        <v>-1424228.499999996</v>
      </c>
      <c r="G27" s="87">
        <f>RZiS!G26</f>
        <v>638491.38999998954</v>
      </c>
      <c r="H27" s="87">
        <f>RZiS!H26</f>
        <v>586348.14000000781</v>
      </c>
      <c r="I27" s="87">
        <f>RZiS!I26</f>
        <v>3158070.3099999968</v>
      </c>
      <c r="J27" s="87">
        <f>RZiS!J26</f>
        <v>1772053</v>
      </c>
      <c r="K27" s="87">
        <f>RZiS!K26</f>
        <v>2834437.176780778</v>
      </c>
      <c r="L27" s="87">
        <f>RZiS!L26</f>
        <v>4214142.6341528893</v>
      </c>
      <c r="M27" s="87">
        <f>RZiS!M26</f>
        <v>3082989.9369329824</v>
      </c>
      <c r="N27" s="87">
        <f>RZiS!N26</f>
        <v>1988090.6770732175</v>
      </c>
      <c r="O27" s="87">
        <f>RZiS!O26</f>
        <v>550006.84908630163</v>
      </c>
    </row>
    <row r="28" spans="1:15" ht="13.7" customHeight="1">
      <c r="A28" s="97" t="s">
        <v>272</v>
      </c>
      <c r="B28" s="456" t="s">
        <v>273</v>
      </c>
      <c r="C28" s="456"/>
      <c r="D28" s="81" t="s">
        <v>16</v>
      </c>
      <c r="E28" s="87">
        <v>0</v>
      </c>
      <c r="F28" s="87"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</row>
    <row r="29" spans="1:15" ht="13.7" customHeight="1">
      <c r="A29" s="97" t="s">
        <v>18</v>
      </c>
      <c r="B29" s="456" t="s">
        <v>274</v>
      </c>
      <c r="C29" s="456"/>
      <c r="D29" s="81" t="s">
        <v>16</v>
      </c>
      <c r="E29" s="86">
        <f t="shared" ref="E29:O29" si="6">E30+E31+E33+E34</f>
        <v>98946652.980000004</v>
      </c>
      <c r="F29" s="86">
        <f t="shared" si="6"/>
        <v>96204453.300000012</v>
      </c>
      <c r="G29" s="86">
        <f t="shared" si="6"/>
        <v>93703814.199999988</v>
      </c>
      <c r="H29" s="86">
        <f t="shared" si="6"/>
        <v>97203654.090000004</v>
      </c>
      <c r="I29" s="86">
        <f t="shared" si="6"/>
        <v>97407105.447258085</v>
      </c>
      <c r="J29" s="86">
        <f t="shared" si="6"/>
        <v>87814714.271730781</v>
      </c>
      <c r="K29" s="86">
        <f t="shared" si="6"/>
        <v>90043872.308479488</v>
      </c>
      <c r="L29" s="86">
        <f t="shared" si="6"/>
        <v>82756406.817738712</v>
      </c>
      <c r="M29" s="86">
        <f t="shared" si="6"/>
        <v>76268403.01471816</v>
      </c>
      <c r="N29" s="86">
        <f t="shared" si="6"/>
        <v>72213827.042041302</v>
      </c>
      <c r="O29" s="86">
        <f t="shared" si="6"/>
        <v>68243669.084056437</v>
      </c>
    </row>
    <row r="30" spans="1:15" ht="13.7" customHeight="1">
      <c r="A30" s="97" t="s">
        <v>20</v>
      </c>
      <c r="B30" s="456" t="s">
        <v>275</v>
      </c>
      <c r="C30" s="456"/>
      <c r="D30" s="81" t="s">
        <v>16</v>
      </c>
      <c r="E30" s="87">
        <v>14510876.800000001</v>
      </c>
      <c r="F30" s="87">
        <v>14632907.91</v>
      </c>
      <c r="G30" s="87">
        <v>12522975.75</v>
      </c>
      <c r="H30" s="87">
        <v>12926891.859999999</v>
      </c>
      <c r="I30" s="87">
        <f>Analityka!J1739+3532877.63</f>
        <v>14494080.34</v>
      </c>
      <c r="J30" s="87">
        <f>I30</f>
        <v>14494080.34</v>
      </c>
      <c r="K30" s="87">
        <f t="shared" ref="K30:O30" si="7">J30</f>
        <v>14494080.34</v>
      </c>
      <c r="L30" s="87">
        <f t="shared" si="7"/>
        <v>14494080.34</v>
      </c>
      <c r="M30" s="87">
        <f t="shared" si="7"/>
        <v>14494080.34</v>
      </c>
      <c r="N30" s="87">
        <f t="shared" si="7"/>
        <v>14494080.34</v>
      </c>
      <c r="O30" s="87">
        <f t="shared" si="7"/>
        <v>14494080.34</v>
      </c>
    </row>
    <row r="31" spans="1:15" ht="13.7" customHeight="1">
      <c r="A31" s="97" t="s">
        <v>22</v>
      </c>
      <c r="B31" s="456" t="s">
        <v>276</v>
      </c>
      <c r="C31" s="456"/>
      <c r="D31" s="81" t="s">
        <v>16</v>
      </c>
      <c r="E31" s="87">
        <v>15686136.65</v>
      </c>
      <c r="F31" s="87">
        <v>17423115.379999999</v>
      </c>
      <c r="G31" s="87">
        <v>16545255.189999999</v>
      </c>
      <c r="H31" s="87">
        <v>16836456.32</v>
      </c>
      <c r="I31" s="87">
        <f>H31-'Leasingi - obecnie'!AN88-'Kredyty - obecnie'!AD59+Transze!F7-'Pożyczka - projekt 1'!J15+'Projekt 2-4 - majątek'!E20*1000000-'Pożyczka - projekt 2-4'!J15+682190.16</f>
        <v>14607014.5</v>
      </c>
      <c r="J31" s="87">
        <f>I31-'Leasingi - obecnie'!AZ88-'Kredyty - obecnie'!AQ59+Transze!G7-'Pożyczka - projekt 1'!J27+'Projekt 2-4 - majątek'!F20*1000000-'Pożyczka - projekt 2-4'!J27+('Projekt 1 - majątek'!O14+1000000*'Projekt 2-4 - majątek'!E18)*0.7+487109</f>
        <v>15937760.726666668</v>
      </c>
      <c r="K31" s="87">
        <f>J31-'Leasingi - obecnie'!BL88-'Kredyty - obecnie'!BD59+Transze!H7-'Pożyczka - projekt 1'!J39+'Projekt 2-4 - majątek'!G20*1000000-'Pożyczka - projekt 2-4'!J39-41422</f>
        <v>18982934.953333337</v>
      </c>
      <c r="L31" s="87">
        <f>K31-'Leasingi - obecnie'!BW88-'Kredyty - obecnie'!BQ59-'Pożyczka - projekt 1'!J51-'Pożyczka - projekt 2-4'!J51-41422</f>
        <v>15008517.900000006</v>
      </c>
      <c r="M31" s="87">
        <f>L31-'Kredyty - obecnie'!CD59-'Pożyczka - projekt 1'!J63-'Pożyczka - projekt 2-4'!J63+34</f>
        <v>11582397.566666674</v>
      </c>
      <c r="N31" s="87">
        <f>M31-'Kredyty - obecnie'!CQ59-'Pożyczka - projekt 1'!J75-'Pożyczka - projekt 2-4'!J75+124400</f>
        <v>10631344.233333342</v>
      </c>
      <c r="O31" s="87">
        <f>N31-'Kredyty - obecnie'!DD59-'Pożyczka - projekt 1'!J87-'Pożyczka - projekt 2-4'!J87+93300</f>
        <v>9649190.9000000097</v>
      </c>
    </row>
    <row r="32" spans="1:15" ht="13.7" hidden="1" customHeight="1">
      <c r="A32" s="97" t="s">
        <v>17</v>
      </c>
      <c r="B32" s="456" t="s">
        <v>277</v>
      </c>
      <c r="C32" s="456"/>
      <c r="D32" s="81" t="s">
        <v>16</v>
      </c>
      <c r="E32" s="87">
        <v>0</v>
      </c>
      <c r="F32" s="87">
        <v>0</v>
      </c>
      <c r="G32" s="87">
        <v>0</v>
      </c>
      <c r="H32" s="87">
        <v>0</v>
      </c>
      <c r="I32" s="443">
        <f>'Pożyczka-projekt wnioskowany'!C15</f>
        <v>29399.999999999996</v>
      </c>
      <c r="J32" s="443">
        <f>'Pożyczka-projekt wnioskowany'!G27</f>
        <v>372773.33333333302</v>
      </c>
      <c r="K32" s="443">
        <f>'Pożyczka-projekt wnioskowany'!G39</f>
        <v>1451146.666666666</v>
      </c>
      <c r="L32" s="443">
        <f>'Pożyczka-projekt wnioskowany'!G51</f>
        <v>1339519.9999999991</v>
      </c>
      <c r="M32" s="443">
        <f>'Pożyczka-projekt wnioskowany'!G63</f>
        <v>1227893.3333333321</v>
      </c>
      <c r="N32" s="443">
        <f>'Pożyczka-projekt wnioskowany'!G75</f>
        <v>1116266.6666666651</v>
      </c>
      <c r="O32" s="443">
        <f>'Pożyczka-projekt wnioskowany'!G87</f>
        <v>1004639.9999999981</v>
      </c>
    </row>
    <row r="33" spans="1:15" ht="13.7" customHeight="1">
      <c r="A33" s="97" t="s">
        <v>24</v>
      </c>
      <c r="B33" s="456" t="s">
        <v>278</v>
      </c>
      <c r="C33" s="456"/>
      <c r="D33" s="81" t="s">
        <v>16</v>
      </c>
      <c r="E33" s="87">
        <v>12279118.560000001</v>
      </c>
      <c r="F33" s="87">
        <v>12505042.02</v>
      </c>
      <c r="G33" s="87">
        <v>16236596.02</v>
      </c>
      <c r="H33" s="87">
        <v>19238141.75</v>
      </c>
      <c r="I33" s="87">
        <f>(RZiS!I6+RZiS!I7+RZiS!I11+RZiS!I12)*' VAT i KON'!D29/365+' VAT i KON'!D9-'Leasingi - obecnie'!AN89-'Kredyty - obecnie'!AD58+8016054.33</f>
        <v>22676644.749726027</v>
      </c>
      <c r="J33" s="87">
        <f>(RZiS!J6+RZiS!J7+RZiS!J11+RZiS!J12)*' VAT i KON'!E29/365+' VAT i KON'!E9-'Leasingi - obecnie'!AZ89-'Kredyty - obecnie'!AQ58</f>
        <v>14700207.23</v>
      </c>
      <c r="K33" s="87">
        <f>(RZiS!K6+RZiS!K7+RZiS!K11+RZiS!K12)*' VAT i KON'!F29/365+' VAT i KON'!F9-'Leasingi - obecnie'!BL89-'Kredyty - obecnie'!BD58</f>
        <v>16830890.92255</v>
      </c>
      <c r="L33" s="87">
        <f>(RZiS!L6+RZiS!L7+RZiS!L11+RZiS!L12)*' VAT i KON'!G29/365+' VAT i KON'!G9-'Leasingi - obecnie'!BW89-'Kredyty - obecnie'!BQ58</f>
        <v>16606142.367610499</v>
      </c>
      <c r="M33" s="87">
        <f>(RZiS!M6+RZiS!M7+RZiS!M11+RZiS!M12)*' VAT i KON'!H29/365+' VAT i KON'!H9-'Kredyty - obecnie'!CD58</f>
        <v>17563758.780391224</v>
      </c>
      <c r="N33" s="87">
        <f>(RZiS!N6+RZiS!N7+RZiS!N11+RZiS!N12)*' VAT i KON'!I29/365+' VAT i KON'!I9-'Kredyty - obecnie'!CQ58</f>
        <v>18479736.023515642</v>
      </c>
      <c r="O33" s="87">
        <f>(RZiS!O6+RZiS!O7+RZiS!O11+RZiS!O12)*' VAT i KON'!J29/365+' VAT i KON'!J9-'Kredyty - obecnie'!DD58</f>
        <v>19511231.281332061</v>
      </c>
    </row>
    <row r="34" spans="1:15">
      <c r="A34" s="97" t="s">
        <v>26</v>
      </c>
      <c r="B34" s="456" t="s">
        <v>279</v>
      </c>
      <c r="C34" s="456"/>
      <c r="D34" s="81" t="s">
        <v>16</v>
      </c>
      <c r="E34" s="87">
        <v>56470520.969999999</v>
      </c>
      <c r="F34" s="87">
        <v>51643387.990000002</v>
      </c>
      <c r="G34" s="87">
        <v>48398987.240000002</v>
      </c>
      <c r="H34" s="87">
        <v>48202164.159999996</v>
      </c>
      <c r="I34" s="87">
        <f>Analityka!J1821+Analityka!J1815-RMK!$AE$43+1170120.06</f>
        <v>45629365.857532054</v>
      </c>
      <c r="J34" s="87">
        <f>I34-RMK!$AE$43</f>
        <v>42682665.975064106</v>
      </c>
      <c r="K34" s="87">
        <f>J34-RMK!$AE$43</f>
        <v>39735966.092596158</v>
      </c>
      <c r="L34" s="87">
        <f>K34-RMK!$AE$43+Transze!I13-'Amortyzacja obecna i projektowa'!AA272</f>
        <v>36647666.21012821</v>
      </c>
      <c r="M34" s="87">
        <f>L34-RMK!$AE$43-'Amortyzacja obecna i projektowa'!AB272</f>
        <v>32628166.327660263</v>
      </c>
      <c r="N34" s="87">
        <f>M34-RMK!$AE$43-'Amortyzacja obecna i projektowa'!AC272</f>
        <v>28608666.445192315</v>
      </c>
      <c r="O34" s="87">
        <f>N34-RMK!$AE$43-'Amortyzacja obecna i projektowa'!AD272</f>
        <v>24589166.562724367</v>
      </c>
    </row>
    <row r="35" spans="1:15" ht="12.95" hidden="1" customHeight="1">
      <c r="A35" s="97" t="s">
        <v>17</v>
      </c>
      <c r="B35" s="456" t="s">
        <v>40</v>
      </c>
      <c r="C35" s="456"/>
      <c r="D35" s="81" t="s">
        <v>16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87">
        <v>0</v>
      </c>
      <c r="K35" s="87">
        <v>0</v>
      </c>
      <c r="L35" s="443">
        <f>RZiS!L15</f>
        <v>143520.00000000003</v>
      </c>
      <c r="M35" s="443">
        <f>RZiS!M15</f>
        <v>143520.00000000003</v>
      </c>
      <c r="N35" s="443">
        <f>RZiS!N15</f>
        <v>143520.00000000003</v>
      </c>
      <c r="O35" s="443">
        <f>RZiS!O15</f>
        <v>143520.00000000003</v>
      </c>
    </row>
    <row r="36" spans="1:15" ht="13.7" customHeight="1">
      <c r="A36" s="97" t="s">
        <v>17</v>
      </c>
      <c r="B36" s="456" t="s">
        <v>280</v>
      </c>
      <c r="C36" s="456"/>
      <c r="D36" s="81" t="s">
        <v>16</v>
      </c>
      <c r="E36" s="86">
        <f t="shared" ref="E36:O36" si="8">E19+E29</f>
        <v>135438396.63</v>
      </c>
      <c r="F36" s="86">
        <f t="shared" si="8"/>
        <v>131271968.45000002</v>
      </c>
      <c r="G36" s="86">
        <f t="shared" si="8"/>
        <v>129409820.73999998</v>
      </c>
      <c r="H36" s="86">
        <f t="shared" si="8"/>
        <v>133496008.77000001</v>
      </c>
      <c r="I36" s="86">
        <f t="shared" si="8"/>
        <v>137145530.43725809</v>
      </c>
      <c r="J36" s="86">
        <f>J19+J29</f>
        <v>129037192.26173079</v>
      </c>
      <c r="K36" s="86">
        <f t="shared" si="8"/>
        <v>134100787.47526026</v>
      </c>
      <c r="L36" s="86">
        <f t="shared" si="8"/>
        <v>131027464.61867237</v>
      </c>
      <c r="M36" s="86">
        <f t="shared" si="8"/>
        <v>127622450.75258482</v>
      </c>
      <c r="N36" s="86">
        <f t="shared" si="8"/>
        <v>125555965.45698117</v>
      </c>
      <c r="O36" s="86">
        <f t="shared" si="8"/>
        <v>122135814.3480826</v>
      </c>
    </row>
    <row r="37" spans="1:15" ht="15.2" customHeight="1">
      <c r="A37" s="460"/>
      <c r="B37" s="460"/>
    </row>
    <row r="38" spans="1:15">
      <c r="E38" s="91">
        <f t="shared" ref="E38:O38" si="9">E17-E36</f>
        <v>0</v>
      </c>
      <c r="F38" s="91">
        <f t="shared" si="9"/>
        <v>0</v>
      </c>
      <c r="G38" s="91">
        <f t="shared" si="9"/>
        <v>0</v>
      </c>
      <c r="H38" s="91">
        <f t="shared" si="9"/>
        <v>0</v>
      </c>
      <c r="I38" s="91">
        <f t="shared" si="9"/>
        <v>2.7419030666351318E-3</v>
      </c>
      <c r="J38" s="91">
        <f>J17-J36</f>
        <v>2.7419030666351318E-3</v>
      </c>
      <c r="K38" s="91">
        <f t="shared" si="9"/>
        <v>2.7419477701187134E-3</v>
      </c>
      <c r="L38" s="91">
        <f t="shared" si="9"/>
        <v>2.7419328689575195E-3</v>
      </c>
      <c r="M38" s="91">
        <f t="shared" si="9"/>
        <v>2.7419179677963257E-3</v>
      </c>
      <c r="N38" s="91">
        <f t="shared" si="9"/>
        <v>2.7419179677963257E-3</v>
      </c>
      <c r="O38" s="91">
        <f t="shared" si="9"/>
        <v>2.7419179677963257E-3</v>
      </c>
    </row>
    <row r="39" spans="1:15">
      <c r="I39" s="92"/>
      <c r="J39" s="92"/>
      <c r="K39" s="92"/>
      <c r="L39" s="92"/>
      <c r="M39" s="92"/>
      <c r="N39" s="92"/>
      <c r="O39" s="92"/>
    </row>
    <row r="40" spans="1:15">
      <c r="I40" s="92"/>
    </row>
    <row r="42" spans="1:15" ht="25.5">
      <c r="B42" s="461" t="s">
        <v>4078</v>
      </c>
      <c r="C42" s="461"/>
      <c r="D42" s="98" t="s">
        <v>2</v>
      </c>
      <c r="E42" s="97" t="s">
        <v>3</v>
      </c>
      <c r="F42" s="97" t="s">
        <v>4</v>
      </c>
      <c r="G42" s="97" t="s">
        <v>5</v>
      </c>
      <c r="H42" s="97" t="s">
        <v>6</v>
      </c>
      <c r="I42" s="97" t="s">
        <v>323</v>
      </c>
      <c r="J42" s="97" t="s">
        <v>324</v>
      </c>
      <c r="K42" s="97" t="s">
        <v>361</v>
      </c>
      <c r="L42" s="97" t="s">
        <v>362</v>
      </c>
      <c r="M42" s="97" t="s">
        <v>363</v>
      </c>
      <c r="N42" s="97" t="s">
        <v>364</v>
      </c>
      <c r="O42" s="97" t="s">
        <v>365</v>
      </c>
    </row>
    <row r="43" spans="1:15">
      <c r="B43" s="456" t="s">
        <v>4079</v>
      </c>
      <c r="C43" s="456"/>
      <c r="D43" s="99" t="s">
        <v>1058</v>
      </c>
      <c r="E43" s="93">
        <f>(RZiS!E17-RZiS!E5)/RZiS!E3</f>
        <v>-0.17675270179916711</v>
      </c>
      <c r="F43" s="93">
        <f>(RZiS!F17-RZiS!F5)/RZiS!F3</f>
        <v>-0.2147935573039369</v>
      </c>
      <c r="G43" s="93">
        <f>(RZiS!G17-RZiS!G5)/RZiS!G3</f>
        <v>-0.12004569699180698</v>
      </c>
      <c r="H43" s="93">
        <f>(RZiS!H17-RZiS!H5)/RZiS!H3</f>
        <v>-9.5857836968284815E-2</v>
      </c>
      <c r="I43" s="93">
        <f>(RZiS!I17-RZiS!I5)/RZiS!I3</f>
        <v>-5.2590464511016052E-2</v>
      </c>
      <c r="J43" s="93">
        <f>(RZiS!J17-RZiS!J5)/RZiS!J3</f>
        <v>-7.5001906557319933E-2</v>
      </c>
      <c r="K43" s="93">
        <f>(RZiS!K17-RZiS!K5)/RZiS!K3</f>
        <v>-4.8484793376397252E-2</v>
      </c>
      <c r="L43" s="93">
        <f>(RZiS!L17-RZiS!L5)/RZiS!L3</f>
        <v>-5.4703562983889037E-2</v>
      </c>
      <c r="M43" s="93">
        <f>(RZiS!M17-RZiS!M5)/RZiS!M3</f>
        <v>-5.3998726934373499E-2</v>
      </c>
      <c r="N43" s="93">
        <f>(RZiS!N17-RZiS!N5)/RZiS!N3</f>
        <v>-5.4654962699508168E-2</v>
      </c>
      <c r="O43" s="93">
        <f>(RZiS!O17-RZiS!O5)/RZiS!O3</f>
        <v>-5.8706379786319915E-2</v>
      </c>
    </row>
    <row r="44" spans="1:15">
      <c r="B44" s="456" t="s">
        <v>4080</v>
      </c>
      <c r="C44" s="456"/>
      <c r="D44" s="99" t="s">
        <v>1058</v>
      </c>
      <c r="E44" s="93">
        <f>RZiS!E17/RZiS!E3</f>
        <v>2.9760363465054906E-2</v>
      </c>
      <c r="F44" s="93">
        <f>RZiS!F17/RZiS!F3</f>
        <v>-2.0091629465479075E-2</v>
      </c>
      <c r="G44" s="93">
        <f>RZiS!G17/RZiS!G3</f>
        <v>1.4664131137064419E-2</v>
      </c>
      <c r="H44" s="93">
        <f>RZiS!H17/RZiS!H3</f>
        <v>1.2890226541968116E-2</v>
      </c>
      <c r="I44" s="93">
        <f>RZiS!I17/RZiS!I3</f>
        <v>4.8720872387656447E-2</v>
      </c>
      <c r="J44" s="93">
        <f>RZiS!J17/RZiS!J3</f>
        <v>3.3058837821148053E-2</v>
      </c>
      <c r="K44" s="93">
        <f>RZiS!K17/RZiS!K3</f>
        <v>4.2175799251648029E-2</v>
      </c>
      <c r="L44" s="93">
        <f>RZiS!L17/RZiS!L3</f>
        <v>4.8710479050512435E-2</v>
      </c>
      <c r="M44" s="93">
        <f>RZiS!M17/RZiS!M3</f>
        <v>3.2559533837758906E-2</v>
      </c>
      <c r="N44" s="93">
        <f>RZiS!N17/RZiS!N3</f>
        <v>1.9490451090379359E-2</v>
      </c>
      <c r="O44" s="93">
        <f>RZiS!O17/RZiS!O3</f>
        <v>5.8811767556105803E-3</v>
      </c>
    </row>
    <row r="45" spans="1:15">
      <c r="B45" s="456" t="s">
        <v>4081</v>
      </c>
      <c r="C45" s="456"/>
      <c r="D45" s="99" t="s">
        <v>1058</v>
      </c>
      <c r="E45" s="93">
        <f>RZiS!E26/RZiS!E3</f>
        <v>1.4288200198965571E-2</v>
      </c>
      <c r="F45" s="93">
        <f>RZiS!F26/RZiS!F3</f>
        <v>-2.4924651173930362E-2</v>
      </c>
      <c r="G45" s="93">
        <f>RZiS!G26/RZiS!G3</f>
        <v>9.7652991599368119E-3</v>
      </c>
      <c r="H45" s="93">
        <f>RZiS!H26/RZiS!H3</f>
        <v>7.4292550554248011E-3</v>
      </c>
      <c r="I45" s="93">
        <f>RZiS!I26/RZiS!I3</f>
        <v>3.3887115185417094E-2</v>
      </c>
      <c r="J45" s="93">
        <f>RZiS!J26/RZiS!J3</f>
        <v>1.9932275034672348E-2</v>
      </c>
      <c r="K45" s="93">
        <f>RZiS!K26/RZiS!K3</f>
        <v>2.9129379518402023E-2</v>
      </c>
      <c r="L45" s="93">
        <f>RZiS!L26/RZiS!L3</f>
        <v>3.6358238745532609E-2</v>
      </c>
      <c r="M45" s="93">
        <f>RZiS!M26/RZiS!M3</f>
        <v>2.4369339515158503E-2</v>
      </c>
      <c r="N45" s="93">
        <f>RZiS!N26/RZiS!N3</f>
        <v>1.4412198138835073E-2</v>
      </c>
      <c r="O45" s="93">
        <f>RZiS!O26/RZiS!O3</f>
        <v>3.6788378730696712E-3</v>
      </c>
    </row>
    <row r="46" spans="1:15">
      <c r="B46" s="456" t="s">
        <v>4082</v>
      </c>
      <c r="C46" s="456"/>
      <c r="D46" s="99" t="s">
        <v>1058</v>
      </c>
      <c r="E46" s="93">
        <f>RZiS!E26/'Bilans i a. wskaźnikowa'!E19</f>
        <v>2.1576176451080654E-2</v>
      </c>
      <c r="F46" s="93">
        <f>RZiS!F26/'Bilans i a. wskaźnikowa'!F19</f>
        <v>-4.0613898472928886E-2</v>
      </c>
      <c r="G46" s="93">
        <f>RZiS!G26/'Bilans i a. wskaźnikowa'!G19</f>
        <v>1.7881904247250766E-2</v>
      </c>
      <c r="H46" s="93">
        <f>RZiS!H26/'Bilans i a. wskaźnikowa'!H19</f>
        <v>1.6156244067655735E-2</v>
      </c>
      <c r="I46" s="93">
        <f>RZiS!I26/'Bilans i a. wskaźnikowa'!I19</f>
        <v>7.9471451392316414E-2</v>
      </c>
      <c r="J46" s="93">
        <f>RZiS!J26/'Bilans i a. wskaźnikowa'!J19</f>
        <v>4.2987541904440471E-2</v>
      </c>
      <c r="K46" s="93">
        <f>RZiS!K26/'Bilans i a. wskaźnikowa'!K19</f>
        <v>6.4335806673045587E-2</v>
      </c>
      <c r="L46" s="93">
        <f>RZiS!L26/'Bilans i a. wskaźnikowa'!L19</f>
        <v>8.7301642560469822E-2</v>
      </c>
      <c r="M46" s="93">
        <f>RZiS!M26/'Bilans i a. wskaźnikowa'!M19</f>
        <v>6.003402015494283E-2</v>
      </c>
      <c r="N46" s="93">
        <f>RZiS!N26/'Bilans i a. wskaźnikowa'!N19</f>
        <v>3.7270547003724931E-2</v>
      </c>
      <c r="O46" s="93">
        <f>RZiS!O26/'Bilans i a. wskaźnikowa'!O19</f>
        <v>1.0205695957949547E-2</v>
      </c>
    </row>
    <row r="47" spans="1:15">
      <c r="B47" s="456" t="s">
        <v>4083</v>
      </c>
      <c r="C47" s="456"/>
      <c r="D47" s="99" t="s">
        <v>1058</v>
      </c>
      <c r="E47" s="93">
        <f>RZiS!E26/'Bilans i a. wskaźnikowa'!E17</f>
        <v>5.8133610526337354E-3</v>
      </c>
      <c r="F47" s="93">
        <f>RZiS!F26/'Bilans i a. wskaźnikowa'!F17</f>
        <v>-1.084944879563125E-2</v>
      </c>
      <c r="G47" s="93">
        <f>RZiS!G26/'Bilans i a. wskaźnikowa'!G17</f>
        <v>4.9338712189610102E-3</v>
      </c>
      <c r="H47" s="93">
        <f>RZiS!H26/'Bilans i a. wskaźnikowa'!H17</f>
        <v>4.3922522133993218E-3</v>
      </c>
      <c r="I47" s="93">
        <f>RZiS!I26/'Bilans i a. wskaźnikowa'!I17</f>
        <v>2.3027147147034629E-2</v>
      </c>
      <c r="J47" s="93">
        <f>RZiS!J26/'Bilans i a. wskaźnikowa'!J17</f>
        <v>1.3732885603772491E-2</v>
      </c>
      <c r="K47" s="93">
        <f>RZiS!K26/'Bilans i a. wskaźnikowa'!K17</f>
        <v>2.1136618435188062E-2</v>
      </c>
      <c r="L47" s="93">
        <f>RZiS!L26/'Bilans i a. wskaźnikowa'!L17</f>
        <v>3.2162284802877548E-2</v>
      </c>
      <c r="M47" s="93">
        <f>RZiS!M26/'Bilans i a. wskaźnikowa'!M17</f>
        <v>2.415711278608481E-2</v>
      </c>
      <c r="N47" s="93">
        <f>RZiS!N26/'Bilans i a. wskaźnikowa'!N17</f>
        <v>1.5834298830755072E-2</v>
      </c>
      <c r="O47" s="93">
        <f>RZiS!O26/'Bilans i a. wskaźnikowa'!O17</f>
        <v>4.5032397090869246E-3</v>
      </c>
    </row>
    <row r="48" spans="1:15">
      <c r="B48" s="456" t="s">
        <v>4084</v>
      </c>
      <c r="C48" s="456"/>
      <c r="D48" s="99"/>
      <c r="E48" s="94">
        <f>E11/E33</f>
        <v>2.2700883042862321</v>
      </c>
      <c r="F48" s="94">
        <f t="shared" ref="F48:O48" si="10">F11/F33</f>
        <v>1.8655995575774966</v>
      </c>
      <c r="G48" s="94">
        <f t="shared" si="10"/>
        <v>1.4056011630694007</v>
      </c>
      <c r="H48" s="94">
        <f t="shared" si="10"/>
        <v>1.2781073171996979</v>
      </c>
      <c r="I48" s="94">
        <f t="shared" si="10"/>
        <v>1.4807840807404142</v>
      </c>
      <c r="J48" s="94">
        <f t="shared" si="10"/>
        <v>1.7870030682875411</v>
      </c>
      <c r="K48" s="94">
        <f t="shared" si="10"/>
        <v>1.7574974951783824</v>
      </c>
      <c r="L48" s="94">
        <f t="shared" si="10"/>
        <v>2.3105213728777212</v>
      </c>
      <c r="M48" s="94">
        <f t="shared" si="10"/>
        <v>2.6070733040611014</v>
      </c>
      <c r="N48" s="94">
        <f t="shared" si="10"/>
        <v>2.9127640352236406</v>
      </c>
      <c r="O48" s="94">
        <f t="shared" si="10"/>
        <v>3.0736071771237952</v>
      </c>
    </row>
    <row r="49" spans="2:15">
      <c r="B49" s="456" t="s">
        <v>4085</v>
      </c>
      <c r="C49" s="456"/>
      <c r="D49" s="99" t="s">
        <v>1058</v>
      </c>
      <c r="E49" s="93">
        <f>E29/E17</f>
        <v>0.7305657438511276</v>
      </c>
      <c r="F49" s="93">
        <f t="shared" ref="F49:O49" si="11">F29/F17</f>
        <v>0.73286364511737467</v>
      </c>
      <c r="G49" s="93">
        <f t="shared" si="11"/>
        <v>0.72408580480350326</v>
      </c>
      <c r="H49" s="93">
        <f t="shared" si="11"/>
        <v>0.72813902816729126</v>
      </c>
      <c r="I49" s="93">
        <f t="shared" si="11"/>
        <v>0.71024629920311444</v>
      </c>
      <c r="J49" s="93">
        <f t="shared" si="11"/>
        <v>0.68053801179854456</v>
      </c>
      <c r="K49" s="93">
        <f t="shared" si="11"/>
        <v>0.67146415768252088</v>
      </c>
      <c r="L49" s="93">
        <f t="shared" si="11"/>
        <v>0.63159587996953059</v>
      </c>
      <c r="M49" s="93">
        <f t="shared" si="11"/>
        <v>0.59760960993404877</v>
      </c>
      <c r="N49" s="93">
        <f t="shared" si="11"/>
        <v>0.57515249695727655</v>
      </c>
      <c r="O49" s="93">
        <f t="shared" si="11"/>
        <v>0.5587523155823273</v>
      </c>
    </row>
    <row r="50" spans="2:15">
      <c r="B50" s="456" t="s">
        <v>4087</v>
      </c>
      <c r="C50" s="456"/>
      <c r="D50" s="99" t="s">
        <v>1058</v>
      </c>
      <c r="E50" s="93">
        <f>E33/E19</f>
        <v>0.3364903216950007</v>
      </c>
      <c r="F50" s="93">
        <f t="shared" ref="F50:O50" si="12">F33/F19</f>
        <v>0.35659903379267505</v>
      </c>
      <c r="G50" s="93">
        <f t="shared" si="12"/>
        <v>0.45473010267364389</v>
      </c>
      <c r="H50" s="93">
        <f t="shared" si="12"/>
        <v>0.53008800116796395</v>
      </c>
      <c r="I50" s="93">
        <f t="shared" si="12"/>
        <v>0.57064779883532135</v>
      </c>
      <c r="J50" s="93">
        <f t="shared" si="12"/>
        <v>0.35660658812325802</v>
      </c>
      <c r="K50" s="93">
        <f t="shared" si="12"/>
        <v>0.38202608736529536</v>
      </c>
      <c r="L50" s="93">
        <f t="shared" si="12"/>
        <v>0.34401861330847611</v>
      </c>
      <c r="M50" s="93">
        <f t="shared" si="12"/>
        <v>0.34201313341538864</v>
      </c>
      <c r="N50" s="93">
        <f t="shared" si="12"/>
        <v>0.34643785518617132</v>
      </c>
      <c r="O50" s="93">
        <f t="shared" si="12"/>
        <v>0.36204220829850892</v>
      </c>
    </row>
    <row r="51" spans="2:15">
      <c r="B51" s="456" t="s">
        <v>4086</v>
      </c>
      <c r="C51" s="456"/>
      <c r="D51" s="99" t="s">
        <v>1058</v>
      </c>
      <c r="E51" s="93">
        <f>E31/E19</f>
        <v>0.42985440214775811</v>
      </c>
      <c r="F51" s="93">
        <f t="shared" ref="F51:O51" si="13">F31/F19</f>
        <v>0.49684488066728594</v>
      </c>
      <c r="G51" s="93">
        <f t="shared" si="13"/>
        <v>0.46337456336555077</v>
      </c>
      <c r="H51" s="93">
        <f t="shared" si="13"/>
        <v>0.46391193044518103</v>
      </c>
      <c r="I51" s="93">
        <f t="shared" si="13"/>
        <v>0.36757910017006939</v>
      </c>
      <c r="J51" s="93">
        <f t="shared" si="13"/>
        <v>0.38662791524888307</v>
      </c>
      <c r="K51" s="93">
        <f t="shared" si="13"/>
        <v>0.43087299420470099</v>
      </c>
      <c r="L51" s="93">
        <f t="shared" si="13"/>
        <v>0.31092166991438314</v>
      </c>
      <c r="M51" s="93">
        <f t="shared" si="13"/>
        <v>0.22554010982324624</v>
      </c>
      <c r="N51" s="93">
        <f t="shared" si="13"/>
        <v>0.19930480009319901</v>
      </c>
      <c r="O51" s="93">
        <f t="shared" si="13"/>
        <v>0.17904633138515999</v>
      </c>
    </row>
    <row r="52" spans="2:15">
      <c r="B52" s="456" t="s">
        <v>4123</v>
      </c>
      <c r="C52" s="456"/>
      <c r="D52" s="100" t="s">
        <v>4161</v>
      </c>
      <c r="E52" s="96">
        <f>(E13*360)/RZiS!E3</f>
        <v>39.002138125327313</v>
      </c>
      <c r="F52" s="96">
        <f>(F13*360)/RZiS!F3</f>
        <v>45.328961142087508</v>
      </c>
      <c r="G52" s="96">
        <f>(G13*360)/RZiS!G3</f>
        <v>42.042644508386424</v>
      </c>
      <c r="H52" s="96">
        <f>(H13*360)/RZiS!H3</f>
        <v>43.920729702263856</v>
      </c>
      <c r="I52" s="96">
        <f>(I13*360)/RZiS!I3</f>
        <v>43.883740698347687</v>
      </c>
      <c r="J52" s="96">
        <f>(J13*360)/RZiS!J3</f>
        <v>43.920729702263849</v>
      </c>
      <c r="K52" s="96">
        <f>(K13*360)/RZiS!K3</f>
        <v>43.920729702263849</v>
      </c>
      <c r="L52" s="96">
        <f>(L13*360)/RZiS!L3</f>
        <v>43.920729702263856</v>
      </c>
      <c r="M52" s="96">
        <f>(M13*360)/RZiS!M3</f>
        <v>43.920729702263849</v>
      </c>
      <c r="N52" s="96">
        <f>(N13*360)/RZiS!N3</f>
        <v>43.920729702263849</v>
      </c>
      <c r="O52" s="96">
        <f>(O13*360)/RZiS!O3</f>
        <v>43.920729702263849</v>
      </c>
    </row>
  </sheetData>
  <mergeCells count="48">
    <mergeCell ref="B52:C52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6:C36"/>
    <mergeCell ref="A37:B37"/>
    <mergeCell ref="B31:C31"/>
    <mergeCell ref="B32:C32"/>
    <mergeCell ref="B33:C33"/>
    <mergeCell ref="B34:C34"/>
    <mergeCell ref="B35:C35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6:C6"/>
    <mergeCell ref="B1:C1"/>
    <mergeCell ref="B2:C2"/>
    <mergeCell ref="B3:C3"/>
    <mergeCell ref="B4:C4"/>
    <mergeCell ref="B5:C5"/>
  </mergeCells>
  <phoneticPr fontId="4" type="noConversion"/>
  <pageMargins left="0" right="0" top="0" bottom="0" header="0" footer="0"/>
  <pageSetup paperSize="0" orientation="portrait" horizontalDpi="300" verticalDpi="300"/>
  <rowBreaks count="37" manualBreakCount="37">
    <brk id="1" max="16383" man="1"/>
    <brk id="2" max="16383" man="1"/>
    <brk id="3" max="16383" man="1"/>
    <brk id="4" max="16383" man="1"/>
    <brk id="5" max="16383" man="1"/>
    <brk id="6" max="16383" man="1"/>
    <brk id="7" max="16383" man="1"/>
    <brk id="8" max="16383" man="1"/>
    <brk id="9" max="16383" man="1"/>
    <brk id="10" max="16383" man="1"/>
    <brk id="11" max="16383" man="1"/>
    <brk id="12" max="16383" man="1"/>
    <brk id="13" max="16383" man="1"/>
    <brk id="14" max="16383" man="1"/>
    <brk id="15" max="16383" man="1"/>
    <brk id="16" max="16383" man="1"/>
    <brk id="17" max="16383" man="1"/>
    <brk id="18" max="16383" man="1"/>
    <brk id="19" max="16383" man="1"/>
    <brk id="20" max="16383" man="1"/>
    <brk id="21" max="16383" man="1"/>
    <brk id="22" max="16383" man="1"/>
    <brk id="23" max="16383" man="1"/>
    <brk id="24" max="16383" man="1"/>
    <brk id="25" max="16383" man="1"/>
    <brk id="26" max="16383" man="1"/>
    <brk id="27" max="16383" man="1"/>
    <brk id="28" max="16383" man="1"/>
    <brk id="29" max="16383" man="1"/>
    <brk id="30" max="16383" man="1"/>
    <brk id="31" max="16383" man="1"/>
    <brk id="32" max="16383" man="1"/>
    <brk id="33" max="16383" man="1"/>
    <brk id="34" max="16383" man="1"/>
    <brk id="35" max="16383" man="1"/>
    <brk id="36" max="16383" man="1"/>
    <brk id="3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X61"/>
  <sheetViews>
    <sheetView showGridLines="0" workbookViewId="0">
      <selection activeCell="Y15" sqref="Y15"/>
    </sheetView>
  </sheetViews>
  <sheetFormatPr defaultColWidth="8.85546875" defaultRowHeight="12.75"/>
  <cols>
    <col min="1" max="1" width="6" style="82" customWidth="1"/>
    <col min="2" max="2" width="30" style="82" customWidth="1"/>
    <col min="3" max="3" width="35.7109375" style="82" bestFit="1" customWidth="1"/>
    <col min="4" max="4" width="9" style="82" customWidth="1"/>
    <col min="5" max="6" width="12" style="82" customWidth="1"/>
    <col min="7" max="7" width="9" style="82" bestFit="1" customWidth="1"/>
    <col min="8" max="10" width="10.28515625" style="82" bestFit="1" customWidth="1"/>
    <col min="11" max="18" width="10.140625" style="82" bestFit="1" customWidth="1"/>
    <col min="19" max="20" width="10.28515625" style="82" bestFit="1" customWidth="1"/>
    <col min="21" max="21" width="18.28515625" style="82" customWidth="1"/>
    <col min="22" max="22" width="19.7109375" style="82" bestFit="1" customWidth="1"/>
    <col min="23" max="24" width="9" style="82" bestFit="1" customWidth="1"/>
    <col min="25" max="16384" width="8.85546875" style="82"/>
  </cols>
  <sheetData>
    <row r="1" spans="1:24" ht="13.7" customHeight="1">
      <c r="A1" s="165" t="s">
        <v>0</v>
      </c>
      <c r="B1" s="510" t="s">
        <v>322</v>
      </c>
      <c r="C1" s="510"/>
      <c r="D1" s="165" t="s">
        <v>2</v>
      </c>
      <c r="E1" s="165" t="s">
        <v>323</v>
      </c>
      <c r="F1" s="165" t="s">
        <v>324</v>
      </c>
      <c r="G1" s="165" t="s">
        <v>361</v>
      </c>
      <c r="H1" s="165" t="s">
        <v>362</v>
      </c>
      <c r="I1" s="165" t="s">
        <v>363</v>
      </c>
      <c r="J1" s="165" t="s">
        <v>364</v>
      </c>
      <c r="K1" s="165" t="s">
        <v>365</v>
      </c>
      <c r="L1" s="165" t="s">
        <v>366</v>
      </c>
      <c r="M1" s="165" t="s">
        <v>367</v>
      </c>
      <c r="N1" s="165" t="s">
        <v>368</v>
      </c>
      <c r="O1" s="165" t="s">
        <v>369</v>
      </c>
      <c r="P1" s="165" t="s">
        <v>370</v>
      </c>
      <c r="Q1" s="165" t="s">
        <v>371</v>
      </c>
      <c r="R1" s="165" t="s">
        <v>372</v>
      </c>
      <c r="S1" s="165" t="s">
        <v>373</v>
      </c>
      <c r="T1" s="165" t="s">
        <v>1113</v>
      </c>
      <c r="V1" s="513"/>
      <c r="W1" s="513"/>
      <c r="X1" s="513"/>
    </row>
    <row r="2" spans="1:24" ht="13.7" customHeight="1">
      <c r="A2" s="141" t="s">
        <v>7</v>
      </c>
      <c r="B2" s="511" t="s">
        <v>8</v>
      </c>
      <c r="C2" s="511"/>
      <c r="D2" s="141" t="s">
        <v>9</v>
      </c>
      <c r="E2" s="141" t="s">
        <v>10</v>
      </c>
      <c r="F2" s="141" t="s">
        <v>11</v>
      </c>
      <c r="G2" s="141" t="s">
        <v>12</v>
      </c>
      <c r="H2" s="141" t="s">
        <v>13</v>
      </c>
      <c r="I2" s="141" t="s">
        <v>374</v>
      </c>
      <c r="J2" s="141" t="s">
        <v>375</v>
      </c>
      <c r="K2" s="141" t="s">
        <v>376</v>
      </c>
      <c r="L2" s="141" t="s">
        <v>377</v>
      </c>
      <c r="M2" s="141" t="s">
        <v>378</v>
      </c>
      <c r="N2" s="141" t="s">
        <v>379</v>
      </c>
      <c r="O2" s="141" t="s">
        <v>380</v>
      </c>
      <c r="P2" s="141" t="s">
        <v>381</v>
      </c>
      <c r="Q2" s="141" t="s">
        <v>382</v>
      </c>
      <c r="R2" s="141" t="s">
        <v>383</v>
      </c>
      <c r="S2" s="141" t="s">
        <v>384</v>
      </c>
      <c r="T2" s="141" t="s">
        <v>385</v>
      </c>
      <c r="V2" s="431"/>
      <c r="W2" s="431"/>
      <c r="X2" s="431"/>
    </row>
    <row r="3" spans="1:24" ht="13.7" customHeight="1">
      <c r="A3" s="97" t="s">
        <v>325</v>
      </c>
      <c r="B3" s="505" t="s">
        <v>326</v>
      </c>
      <c r="C3" s="505"/>
      <c r="D3" s="81" t="s">
        <v>16</v>
      </c>
      <c r="E3" s="438">
        <f>SUM('Amortyzacja obecna i projektowa'!X262:X266)</f>
        <v>0</v>
      </c>
      <c r="F3" s="438">
        <f>SUM('Amortyzacja obecna i projektowa'!Y262:Y266)</f>
        <v>0</v>
      </c>
      <c r="G3" s="438">
        <f>SUM('Amortyzacja obecna i projektowa'!Z262:Z266)</f>
        <v>0</v>
      </c>
      <c r="H3" s="438">
        <f>SUM('Amortyzacja obecna i projektowa'!AA262:AA266)</f>
        <v>620800</v>
      </c>
      <c r="I3" s="438">
        <f>SUM('Amortyzacja obecna i projektowa'!AB262:AB266)</f>
        <v>620800</v>
      </c>
      <c r="J3" s="438">
        <f>SUM('Amortyzacja obecna i projektowa'!AC262:AC266)</f>
        <v>620800</v>
      </c>
      <c r="K3" s="438">
        <f>SUM('Amortyzacja obecna i projektowa'!AD262:AD266)</f>
        <v>620800</v>
      </c>
      <c r="L3" s="438">
        <f>SUM('Amortyzacja obecna i projektowa'!AE262:AE266)</f>
        <v>620800</v>
      </c>
      <c r="M3" s="438">
        <f>SUM('Amortyzacja obecna i projektowa'!AF262:AF266)</f>
        <v>0</v>
      </c>
      <c r="N3" s="438">
        <f>SUM('Amortyzacja obecna i projektowa'!AG262:AG266)</f>
        <v>0</v>
      </c>
      <c r="O3" s="438">
        <f>SUM('Amortyzacja obecna i projektowa'!AH262:AH266)</f>
        <v>0</v>
      </c>
      <c r="P3" s="438">
        <f>SUM('Amortyzacja obecna i projektowa'!AI262:AI266)</f>
        <v>0</v>
      </c>
      <c r="Q3" s="438">
        <f>SUM('Amortyzacja obecna i projektowa'!AJ262:AJ266)</f>
        <v>0</v>
      </c>
      <c r="R3" s="438">
        <f>SUM('Amortyzacja obecna i projektowa'!AK262:AK266)</f>
        <v>0</v>
      </c>
      <c r="S3" s="438">
        <f>SUM('Amortyzacja obecna i projektowa'!AL262:AL266)</f>
        <v>0</v>
      </c>
      <c r="T3" s="438">
        <f>SUM('Amortyzacja obecna i projektowa'!AM262:AM266)</f>
        <v>0</v>
      </c>
      <c r="V3" s="224"/>
      <c r="W3" s="224"/>
      <c r="X3" s="224"/>
    </row>
    <row r="4" spans="1:24" ht="13.7" customHeight="1">
      <c r="A4" s="97" t="s">
        <v>327</v>
      </c>
      <c r="B4" s="505" t="s">
        <v>328</v>
      </c>
      <c r="C4" s="505"/>
      <c r="D4" s="81" t="s">
        <v>16</v>
      </c>
      <c r="E4" s="438">
        <f>SUM(E5:E10)</f>
        <v>0</v>
      </c>
      <c r="F4" s="438">
        <f t="shared" ref="F4:T4" si="0">SUM(F5:F10)</f>
        <v>0</v>
      </c>
      <c r="G4" s="438">
        <f t="shared" si="0"/>
        <v>0</v>
      </c>
      <c r="H4" s="438">
        <f>SUM(H5:H10)</f>
        <v>1035249.0279999999</v>
      </c>
      <c r="I4" s="438">
        <f t="shared" si="0"/>
        <v>1284811.340044</v>
      </c>
      <c r="J4" s="438">
        <f t="shared" si="0"/>
        <v>1642329.627802212</v>
      </c>
      <c r="K4" s="438">
        <f t="shared" si="0"/>
        <v>1845736.6901012231</v>
      </c>
      <c r="L4" s="438">
        <f t="shared" si="0"/>
        <v>1979622.2358294567</v>
      </c>
      <c r="M4" s="438">
        <f t="shared" si="0"/>
        <v>2123221.7001104099</v>
      </c>
      <c r="N4" s="438">
        <f t="shared" si="0"/>
        <v>2277240.0181584512</v>
      </c>
      <c r="O4" s="438">
        <f t="shared" si="0"/>
        <v>2442433.2927997983</v>
      </c>
      <c r="P4" s="438">
        <f t="shared" si="0"/>
        <v>2619612.5092220679</v>
      </c>
      <c r="Q4" s="438">
        <f t="shared" si="0"/>
        <v>2809647.5194665147</v>
      </c>
      <c r="R4" s="438">
        <f t="shared" si="0"/>
        <v>3013471.3162537939</v>
      </c>
      <c r="S4" s="438">
        <f t="shared" si="0"/>
        <v>3232084.6171571789</v>
      </c>
      <c r="T4" s="438">
        <f t="shared" si="0"/>
        <v>3466560.7816636916</v>
      </c>
    </row>
    <row r="5" spans="1:24" ht="13.7" customHeight="1">
      <c r="A5" s="97" t="s">
        <v>285</v>
      </c>
      <c r="B5" s="507" t="s">
        <v>329</v>
      </c>
      <c r="C5" s="507"/>
      <c r="D5" s="81" t="s">
        <v>16</v>
      </c>
      <c r="E5" s="439">
        <v>0</v>
      </c>
      <c r="F5" s="439">
        <v>0</v>
      </c>
      <c r="G5" s="439">
        <v>0</v>
      </c>
      <c r="H5" s="439">
        <v>0</v>
      </c>
      <c r="I5" s="439">
        <v>0</v>
      </c>
      <c r="J5" s="439">
        <v>0</v>
      </c>
      <c r="K5" s="439">
        <v>0</v>
      </c>
      <c r="L5" s="439">
        <v>0</v>
      </c>
      <c r="M5" s="439">
        <v>0</v>
      </c>
      <c r="N5" s="439">
        <v>0</v>
      </c>
      <c r="O5" s="439">
        <v>0</v>
      </c>
      <c r="P5" s="439">
        <v>0</v>
      </c>
      <c r="Q5" s="439">
        <v>0</v>
      </c>
      <c r="R5" s="439">
        <v>0</v>
      </c>
      <c r="S5" s="439">
        <v>0</v>
      </c>
      <c r="T5" s="439">
        <v>0</v>
      </c>
      <c r="V5" s="434"/>
      <c r="W5" s="224"/>
    </row>
    <row r="6" spans="1:24" ht="13.7" customHeight="1">
      <c r="A6" s="97" t="s">
        <v>286</v>
      </c>
      <c r="B6" s="507" t="s">
        <v>330</v>
      </c>
      <c r="C6" s="507"/>
      <c r="D6" s="81" t="s">
        <v>16</v>
      </c>
      <c r="E6" s="439">
        <v>0</v>
      </c>
      <c r="F6" s="439">
        <v>0</v>
      </c>
      <c r="G6" s="439">
        <v>0</v>
      </c>
      <c r="H6" s="439">
        <f>H44+H45</f>
        <v>346835.02800000005</v>
      </c>
      <c r="I6" s="439">
        <f t="shared" ref="I6:T6" si="1">I44+I45</f>
        <v>372153.98504400003</v>
      </c>
      <c r="J6" s="439">
        <f t="shared" si="1"/>
        <v>399321.225952212</v>
      </c>
      <c r="K6" s="439">
        <f t="shared" si="1"/>
        <v>428471.67544672347</v>
      </c>
      <c r="L6" s="439">
        <f t="shared" si="1"/>
        <v>459750.10775433428</v>
      </c>
      <c r="M6" s="439">
        <f t="shared" si="1"/>
        <v>493311.86562040064</v>
      </c>
      <c r="N6" s="439">
        <f t="shared" si="1"/>
        <v>529323.63181068993</v>
      </c>
      <c r="O6" s="439">
        <f t="shared" si="1"/>
        <v>567964.25693287025</v>
      </c>
      <c r="P6" s="439">
        <f t="shared" si="1"/>
        <v>609425.64768896974</v>
      </c>
      <c r="Q6" s="439">
        <f t="shared" si="1"/>
        <v>653913.71997026447</v>
      </c>
      <c r="R6" s="439">
        <f t="shared" si="1"/>
        <v>701649.42152809375</v>
      </c>
      <c r="S6" s="439">
        <f t="shared" si="1"/>
        <v>752869.82929964457</v>
      </c>
      <c r="T6" s="439">
        <f t="shared" si="1"/>
        <v>807829.32683851861</v>
      </c>
      <c r="V6" s="161"/>
      <c r="W6" s="224"/>
    </row>
    <row r="7" spans="1:24" ht="13.7" customHeight="1">
      <c r="A7" s="97" t="s">
        <v>288</v>
      </c>
      <c r="B7" s="507" t="s">
        <v>331</v>
      </c>
      <c r="C7" s="507"/>
      <c r="D7" s="81" t="s">
        <v>16</v>
      </c>
      <c r="E7" s="439">
        <v>0</v>
      </c>
      <c r="F7" s="439">
        <v>0</v>
      </c>
      <c r="G7" s="439">
        <v>0</v>
      </c>
      <c r="H7" s="439">
        <f>H47+H48+H61</f>
        <v>719500</v>
      </c>
      <c r="I7" s="439">
        <f t="shared" ref="I7:T7" si="2">I47+I48+I61</f>
        <v>1087942.75</v>
      </c>
      <c r="J7" s="439">
        <f t="shared" si="2"/>
        <v>1522761.0848999999</v>
      </c>
      <c r="K7" s="439">
        <f t="shared" si="2"/>
        <v>1783279.6045529998</v>
      </c>
      <c r="L7" s="439">
        <f t="shared" si="2"/>
        <v>1913459.0156853688</v>
      </c>
      <c r="M7" s="439">
        <f t="shared" si="2"/>
        <v>2053141.5238304003</v>
      </c>
      <c r="N7" s="439">
        <f t="shared" si="2"/>
        <v>2203020.8550700196</v>
      </c>
      <c r="O7" s="439">
        <f t="shared" si="2"/>
        <v>2363841.3774901312</v>
      </c>
      <c r="P7" s="439">
        <f t="shared" si="2"/>
        <v>2536401.7980469107</v>
      </c>
      <c r="Q7" s="439">
        <f t="shared" si="2"/>
        <v>2721559.1293043345</v>
      </c>
      <c r="R7" s="439">
        <f t="shared" si="2"/>
        <v>2920232.9457435515</v>
      </c>
      <c r="S7" s="439">
        <f t="shared" si="2"/>
        <v>3133409.9507828304</v>
      </c>
      <c r="T7" s="439">
        <f t="shared" si="2"/>
        <v>3362148.8771899771</v>
      </c>
    </row>
    <row r="8" spans="1:24" ht="13.7" customHeight="1">
      <c r="A8" s="97" t="s">
        <v>290</v>
      </c>
      <c r="B8" s="507" t="s">
        <v>332</v>
      </c>
      <c r="C8" s="507"/>
      <c r="D8" s="81" t="s">
        <v>16</v>
      </c>
      <c r="E8" s="439">
        <v>0</v>
      </c>
      <c r="F8" s="439">
        <v>0</v>
      </c>
      <c r="G8" s="439">
        <v>0</v>
      </c>
      <c r="H8" s="439">
        <f>12*(H36+H42)</f>
        <v>232164</v>
      </c>
      <c r="I8" s="439">
        <f t="shared" ref="I8:T8" si="3">12*(I36+I42)</f>
        <v>248415.48</v>
      </c>
      <c r="J8" s="439">
        <f t="shared" si="3"/>
        <v>265804.56360000005</v>
      </c>
      <c r="K8" s="439">
        <f t="shared" si="3"/>
        <v>284410.88305200002</v>
      </c>
      <c r="L8" s="439">
        <f t="shared" si="3"/>
        <v>304319.64486564009</v>
      </c>
      <c r="M8" s="439">
        <f t="shared" si="3"/>
        <v>325622.02000623487</v>
      </c>
      <c r="N8" s="439">
        <f t="shared" si="3"/>
        <v>348415.56140667136</v>
      </c>
      <c r="O8" s="439">
        <f t="shared" si="3"/>
        <v>372804.65070513834</v>
      </c>
      <c r="P8" s="439">
        <f t="shared" si="3"/>
        <v>398900.97625449806</v>
      </c>
      <c r="Q8" s="439">
        <f t="shared" si="3"/>
        <v>426824.044592313</v>
      </c>
      <c r="R8" s="439">
        <f t="shared" si="3"/>
        <v>456701.72771377489</v>
      </c>
      <c r="S8" s="439">
        <f t="shared" si="3"/>
        <v>488670.8486537392</v>
      </c>
      <c r="T8" s="439">
        <f t="shared" si="3"/>
        <v>522877.80805950088</v>
      </c>
      <c r="V8" s="422" t="s">
        <v>4188</v>
      </c>
      <c r="W8" s="401"/>
      <c r="X8" s="411">
        <v>0.05</v>
      </c>
    </row>
    <row r="9" spans="1:24" ht="13.7" customHeight="1">
      <c r="A9" s="97" t="s">
        <v>292</v>
      </c>
      <c r="B9" s="507" t="s">
        <v>27</v>
      </c>
      <c r="C9" s="507"/>
      <c r="D9" s="81" t="s">
        <v>16</v>
      </c>
      <c r="E9" s="439">
        <v>0</v>
      </c>
      <c r="F9" s="439">
        <v>0</v>
      </c>
      <c r="G9" s="439">
        <v>0</v>
      </c>
      <c r="H9" s="439">
        <f>-H60</f>
        <v>-263250</v>
      </c>
      <c r="I9" s="439">
        <f t="shared" ref="I9:T9" si="4">-I60</f>
        <v>-423700.87499999994</v>
      </c>
      <c r="J9" s="439">
        <f t="shared" si="4"/>
        <v>-545557.24664999987</v>
      </c>
      <c r="K9" s="439">
        <f t="shared" si="4"/>
        <v>-650425.47295049985</v>
      </c>
      <c r="L9" s="439">
        <f t="shared" si="4"/>
        <v>-697906.5324758864</v>
      </c>
      <c r="M9" s="439">
        <f t="shared" si="4"/>
        <v>-748853.70934662595</v>
      </c>
      <c r="N9" s="439">
        <f t="shared" si="4"/>
        <v>-803520.03012892965</v>
      </c>
      <c r="O9" s="439">
        <f t="shared" si="4"/>
        <v>-862176.99232834147</v>
      </c>
      <c r="P9" s="439">
        <f t="shared" si="4"/>
        <v>-925115.9127683104</v>
      </c>
      <c r="Q9" s="439">
        <f t="shared" si="4"/>
        <v>-992649.37440039706</v>
      </c>
      <c r="R9" s="439">
        <f t="shared" si="4"/>
        <v>-1065112.778731626</v>
      </c>
      <c r="S9" s="439">
        <f t="shared" si="4"/>
        <v>-1142866.0115790346</v>
      </c>
      <c r="T9" s="439">
        <f t="shared" si="4"/>
        <v>-1226295.2304243043</v>
      </c>
    </row>
    <row r="10" spans="1:24" ht="13.7" customHeight="1">
      <c r="A10" s="97" t="s">
        <v>294</v>
      </c>
      <c r="B10" s="507" t="s">
        <v>333</v>
      </c>
      <c r="C10" s="507"/>
      <c r="D10" s="81" t="s">
        <v>16</v>
      </c>
      <c r="E10" s="439">
        <v>0</v>
      </c>
      <c r="F10" s="439">
        <v>0</v>
      </c>
      <c r="G10" s="439">
        <v>0</v>
      </c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V10" s="422" t="s">
        <v>4187</v>
      </c>
      <c r="W10" s="401"/>
      <c r="X10" s="411">
        <v>7.0000000000000007E-2</v>
      </c>
    </row>
    <row r="11" spans="1:24" ht="13.7" customHeight="1">
      <c r="A11" s="97" t="s">
        <v>334</v>
      </c>
      <c r="B11" s="507" t="s">
        <v>48</v>
      </c>
      <c r="C11" s="507"/>
      <c r="D11" s="81" t="s">
        <v>16</v>
      </c>
      <c r="E11" s="438">
        <v>0</v>
      </c>
      <c r="F11" s="438">
        <f>'Pożyczka - projekt 1'!I27</f>
        <v>20096.222222222223</v>
      </c>
      <c r="G11" s="438">
        <f>'Pożyczka - projekt 1'!I39</f>
        <v>38174.888888888883</v>
      </c>
      <c r="H11" s="438">
        <f>'Pożyczka - projekt 1'!I51</f>
        <v>34553.555555555518</v>
      </c>
      <c r="I11" s="438">
        <f>'Pożyczka - projekt 1'!I63</f>
        <v>30932.222222222157</v>
      </c>
      <c r="J11" s="438">
        <f>'Pożyczka - projekt 1'!I75</f>
        <v>27310.888888888803</v>
      </c>
      <c r="K11" s="438">
        <f>'Pożyczka - projekt 1'!I87</f>
        <v>23689.555555555442</v>
      </c>
      <c r="L11" s="438">
        <f>'Pożyczka - projekt 1'!I99</f>
        <v>20068.222222222095</v>
      </c>
      <c r="M11" s="438">
        <f>'Pożyczka - projekt 1'!I111</f>
        <v>16446.888888888763</v>
      </c>
      <c r="N11" s="438">
        <f>'Pożyczka - projekt 1'!I123</f>
        <v>12825.555555555431</v>
      </c>
      <c r="O11" s="438">
        <f>'Pożyczka - projekt 1'!I135</f>
        <v>9204.2222222221026</v>
      </c>
      <c r="P11" s="438">
        <f>'Pożyczka - projekt 1'!I147</f>
        <v>5582.8888888887723</v>
      </c>
      <c r="Q11" s="438">
        <f>'Pożyczka - projekt 1'!I159</f>
        <v>1961.5555555554413</v>
      </c>
      <c r="R11" s="438">
        <f>'Pożyczka - projekt 1'!I171</f>
        <v>0</v>
      </c>
      <c r="S11" s="438">
        <f>'Pożyczka - projekt 1'!I183</f>
        <v>0</v>
      </c>
      <c r="T11" s="438">
        <f>'Pożyczka - projekt 1'!I195</f>
        <v>0</v>
      </c>
      <c r="V11" s="386"/>
      <c r="W11" s="161"/>
      <c r="X11" s="401"/>
    </row>
    <row r="12" spans="1:24" ht="13.7" customHeight="1" thickBot="1">
      <c r="A12" s="97" t="s">
        <v>17</v>
      </c>
      <c r="B12" s="507" t="s">
        <v>49</v>
      </c>
      <c r="C12" s="507"/>
      <c r="D12" s="81" t="s">
        <v>17</v>
      </c>
      <c r="E12" s="438">
        <v>0</v>
      </c>
      <c r="F12" s="438">
        <f>F11</f>
        <v>20096.222222222223</v>
      </c>
      <c r="G12" s="438">
        <f t="shared" ref="G12:T12" si="5">G11</f>
        <v>38174.888888888883</v>
      </c>
      <c r="H12" s="438">
        <f t="shared" si="5"/>
        <v>34553.555555555518</v>
      </c>
      <c r="I12" s="438">
        <f t="shared" si="5"/>
        <v>30932.222222222157</v>
      </c>
      <c r="J12" s="438">
        <f t="shared" si="5"/>
        <v>27310.888888888803</v>
      </c>
      <c r="K12" s="438">
        <f t="shared" si="5"/>
        <v>23689.555555555442</v>
      </c>
      <c r="L12" s="438">
        <f t="shared" si="5"/>
        <v>20068.222222222095</v>
      </c>
      <c r="M12" s="438">
        <f t="shared" si="5"/>
        <v>16446.888888888763</v>
      </c>
      <c r="N12" s="438">
        <f t="shared" si="5"/>
        <v>12825.555555555431</v>
      </c>
      <c r="O12" s="438">
        <f t="shared" si="5"/>
        <v>9204.2222222221026</v>
      </c>
      <c r="P12" s="438">
        <f t="shared" si="5"/>
        <v>5582.8888888887723</v>
      </c>
      <c r="Q12" s="438">
        <f t="shared" si="5"/>
        <v>1961.5555555554413</v>
      </c>
      <c r="R12" s="438">
        <f t="shared" si="5"/>
        <v>0</v>
      </c>
      <c r="S12" s="438">
        <f t="shared" si="5"/>
        <v>0</v>
      </c>
      <c r="T12" s="438">
        <f t="shared" si="5"/>
        <v>0</v>
      </c>
      <c r="V12" s="422" t="s">
        <v>4189</v>
      </c>
      <c r="W12" s="401"/>
      <c r="X12" s="401"/>
    </row>
    <row r="13" spans="1:24" ht="13.7" customHeight="1">
      <c r="A13" s="97" t="s">
        <v>335</v>
      </c>
      <c r="B13" s="507" t="s">
        <v>336</v>
      </c>
      <c r="C13" s="507"/>
      <c r="D13" s="81" t="s">
        <v>16</v>
      </c>
      <c r="E13" s="438">
        <v>0</v>
      </c>
      <c r="F13" s="438">
        <v>0</v>
      </c>
      <c r="G13" s="438">
        <v>0</v>
      </c>
      <c r="H13" s="438">
        <v>0</v>
      </c>
      <c r="I13" s="438">
        <v>0</v>
      </c>
      <c r="J13" s="438">
        <v>0</v>
      </c>
      <c r="K13" s="438">
        <v>0</v>
      </c>
      <c r="L13" s="438">
        <v>0</v>
      </c>
      <c r="M13" s="438">
        <v>0</v>
      </c>
      <c r="N13" s="438">
        <v>0</v>
      </c>
      <c r="O13" s="438">
        <v>0</v>
      </c>
      <c r="P13" s="438">
        <v>0</v>
      </c>
      <c r="Q13" s="438">
        <v>0</v>
      </c>
      <c r="R13" s="438">
        <v>0</v>
      </c>
      <c r="S13" s="438">
        <v>0</v>
      </c>
      <c r="T13" s="438">
        <v>0</v>
      </c>
      <c r="V13" s="467" t="s">
        <v>4076</v>
      </c>
      <c r="W13" s="468"/>
      <c r="X13" s="469"/>
    </row>
    <row r="14" spans="1:24" ht="13.7" customHeight="1">
      <c r="A14" s="97" t="s">
        <v>337</v>
      </c>
      <c r="B14" s="508" t="s">
        <v>338</v>
      </c>
      <c r="C14" s="508"/>
      <c r="D14" s="81" t="s">
        <v>16</v>
      </c>
      <c r="E14" s="438">
        <v>0</v>
      </c>
      <c r="F14" s="438">
        <v>0</v>
      </c>
      <c r="G14" s="438">
        <v>0</v>
      </c>
      <c r="H14" s="438">
        <v>0</v>
      </c>
      <c r="I14" s="438">
        <v>0</v>
      </c>
      <c r="J14" s="438">
        <v>0</v>
      </c>
      <c r="K14" s="438">
        <v>0</v>
      </c>
      <c r="L14" s="438">
        <v>0</v>
      </c>
      <c r="M14" s="438">
        <v>0</v>
      </c>
      <c r="N14" s="438">
        <v>0</v>
      </c>
      <c r="O14" s="438">
        <v>0</v>
      </c>
      <c r="P14" s="438">
        <v>0</v>
      </c>
      <c r="Q14" s="438">
        <v>0</v>
      </c>
      <c r="R14" s="438">
        <v>0</v>
      </c>
      <c r="S14" s="438">
        <v>0</v>
      </c>
      <c r="T14" s="438">
        <v>0</v>
      </c>
      <c r="V14" s="142">
        <v>2021</v>
      </c>
      <c r="W14" s="143">
        <v>2022</v>
      </c>
      <c r="X14" s="144">
        <v>2023</v>
      </c>
    </row>
    <row r="15" spans="1:24" ht="13.7" customHeight="1" thickBot="1">
      <c r="A15" s="97" t="s">
        <v>339</v>
      </c>
      <c r="B15" s="507" t="s">
        <v>340</v>
      </c>
      <c r="C15" s="507"/>
      <c r="D15" s="81" t="s">
        <v>16</v>
      </c>
      <c r="E15" s="438">
        <f>E3+E4+E11+E13</f>
        <v>0</v>
      </c>
      <c r="F15" s="438">
        <f t="shared" ref="F15:T15" si="6">F3+F4+F11+F13</f>
        <v>20096.222222222223</v>
      </c>
      <c r="G15" s="438">
        <f t="shared" si="6"/>
        <v>38174.888888888883</v>
      </c>
      <c r="H15" s="438">
        <f>H3+H4+H11+H13</f>
        <v>1690602.5835555554</v>
      </c>
      <c r="I15" s="438">
        <f t="shared" si="6"/>
        <v>1936543.5622662222</v>
      </c>
      <c r="J15" s="438">
        <f t="shared" si="6"/>
        <v>2290440.5166911008</v>
      </c>
      <c r="K15" s="438">
        <f t="shared" si="6"/>
        <v>2490226.2456567786</v>
      </c>
      <c r="L15" s="438">
        <f t="shared" si="6"/>
        <v>2620490.4580516787</v>
      </c>
      <c r="M15" s="438">
        <f t="shared" si="6"/>
        <v>2139668.5889992989</v>
      </c>
      <c r="N15" s="438">
        <f t="shared" si="6"/>
        <v>2290065.5737140067</v>
      </c>
      <c r="O15" s="438">
        <f t="shared" si="6"/>
        <v>2451637.5150220203</v>
      </c>
      <c r="P15" s="438">
        <f t="shared" si="6"/>
        <v>2625195.3981109569</v>
      </c>
      <c r="Q15" s="438">
        <f t="shared" si="6"/>
        <v>2811609.0750220702</v>
      </c>
      <c r="R15" s="438">
        <f t="shared" si="6"/>
        <v>3013471.3162537939</v>
      </c>
      <c r="S15" s="438">
        <f t="shared" si="6"/>
        <v>3232084.6171571789</v>
      </c>
      <c r="T15" s="438">
        <f t="shared" si="6"/>
        <v>3466560.7816636916</v>
      </c>
      <c r="V15" s="146">
        <v>2.5999999999999999E-2</v>
      </c>
      <c r="W15" s="147">
        <v>0.11600000000000001</v>
      </c>
      <c r="X15" s="148">
        <v>7.2999999999999995E-2</v>
      </c>
    </row>
    <row r="16" spans="1:24" ht="13.7" customHeight="1">
      <c r="A16" s="97" t="s">
        <v>285</v>
      </c>
      <c r="B16" s="507" t="s">
        <v>341</v>
      </c>
      <c r="C16" s="507"/>
      <c r="D16" s="81" t="s">
        <v>16</v>
      </c>
      <c r="E16" s="438">
        <f>E17*E18</f>
        <v>0</v>
      </c>
      <c r="F16" s="438">
        <f t="shared" ref="F16:T16" si="7">F17*F18</f>
        <v>0</v>
      </c>
      <c r="G16" s="438">
        <f t="shared" si="7"/>
        <v>0</v>
      </c>
      <c r="H16" s="439">
        <f>H17*H18</f>
        <v>1725000</v>
      </c>
      <c r="I16" s="438">
        <f t="shared" si="7"/>
        <v>2716875</v>
      </c>
      <c r="J16" s="438">
        <f t="shared" si="7"/>
        <v>3423262.5</v>
      </c>
      <c r="K16" s="438">
        <f t="shared" si="7"/>
        <v>3993806.25</v>
      </c>
      <c r="L16" s="438">
        <f t="shared" si="7"/>
        <v>4193496.5625000005</v>
      </c>
      <c r="M16" s="438">
        <f t="shared" si="7"/>
        <v>4403171.3906250009</v>
      </c>
      <c r="N16" s="438">
        <f t="shared" si="7"/>
        <v>4623329.9601562517</v>
      </c>
      <c r="O16" s="438">
        <f t="shared" si="7"/>
        <v>4854496.4581640642</v>
      </c>
      <c r="P16" s="438">
        <f t="shared" si="7"/>
        <v>5097221.2810722673</v>
      </c>
      <c r="Q16" s="438">
        <f t="shared" si="7"/>
        <v>5352082.345125881</v>
      </c>
      <c r="R16" s="438">
        <f t="shared" si="7"/>
        <v>5619686.462382176</v>
      </c>
      <c r="S16" s="438">
        <f t="shared" si="7"/>
        <v>5900670.7855012845</v>
      </c>
      <c r="T16" s="438">
        <f t="shared" si="7"/>
        <v>6195704.3247763487</v>
      </c>
    </row>
    <row r="17" spans="1:20" ht="13.7" customHeight="1">
      <c r="A17" s="97" t="s">
        <v>342</v>
      </c>
      <c r="B17" s="507" t="s">
        <v>343</v>
      </c>
      <c r="C17" s="507"/>
      <c r="D17" s="81" t="s">
        <v>4147</v>
      </c>
      <c r="E17" s="439">
        <v>0</v>
      </c>
      <c r="F17" s="439">
        <v>0</v>
      </c>
      <c r="G17" s="439">
        <v>0</v>
      </c>
      <c r="H17" s="439">
        <f>H51</f>
        <v>3450</v>
      </c>
      <c r="I17" s="439">
        <f t="shared" ref="I17:T17" si="8">I51</f>
        <v>5175</v>
      </c>
      <c r="J17" s="439">
        <f t="shared" si="8"/>
        <v>6210</v>
      </c>
      <c r="K17" s="439">
        <f t="shared" si="8"/>
        <v>6900</v>
      </c>
      <c r="L17" s="439">
        <f t="shared" si="8"/>
        <v>6900</v>
      </c>
      <c r="M17" s="439">
        <f t="shared" si="8"/>
        <v>6900</v>
      </c>
      <c r="N17" s="439">
        <f t="shared" si="8"/>
        <v>6900</v>
      </c>
      <c r="O17" s="439">
        <f t="shared" si="8"/>
        <v>6900</v>
      </c>
      <c r="P17" s="439">
        <f t="shared" si="8"/>
        <v>6900</v>
      </c>
      <c r="Q17" s="439">
        <f t="shared" si="8"/>
        <v>6900</v>
      </c>
      <c r="R17" s="439">
        <f t="shared" si="8"/>
        <v>6900</v>
      </c>
      <c r="S17" s="439">
        <f t="shared" si="8"/>
        <v>6900</v>
      </c>
      <c r="T17" s="439">
        <f t="shared" si="8"/>
        <v>6900</v>
      </c>
    </row>
    <row r="18" spans="1:20" ht="13.7" customHeight="1">
      <c r="A18" s="97" t="s">
        <v>344</v>
      </c>
      <c r="B18" s="505" t="s">
        <v>345</v>
      </c>
      <c r="C18" s="505"/>
      <c r="D18" s="81" t="s">
        <v>16</v>
      </c>
      <c r="E18" s="439">
        <v>0</v>
      </c>
      <c r="F18" s="439">
        <v>0</v>
      </c>
      <c r="G18" s="439">
        <v>0</v>
      </c>
      <c r="H18" s="439">
        <f>H55</f>
        <v>500</v>
      </c>
      <c r="I18" s="439">
        <f t="shared" ref="I18:T18" si="9">I55</f>
        <v>525</v>
      </c>
      <c r="J18" s="439">
        <f t="shared" si="9"/>
        <v>551.25</v>
      </c>
      <c r="K18" s="439">
        <f t="shared" si="9"/>
        <v>578.8125</v>
      </c>
      <c r="L18" s="439">
        <f t="shared" si="9"/>
        <v>607.75312500000007</v>
      </c>
      <c r="M18" s="439">
        <f t="shared" si="9"/>
        <v>638.14078125000015</v>
      </c>
      <c r="N18" s="439">
        <f t="shared" si="9"/>
        <v>670.04782031250022</v>
      </c>
      <c r="O18" s="439">
        <f t="shared" si="9"/>
        <v>703.55021132812522</v>
      </c>
      <c r="P18" s="439">
        <f t="shared" si="9"/>
        <v>738.72772189453156</v>
      </c>
      <c r="Q18" s="439">
        <f t="shared" si="9"/>
        <v>775.66410798925813</v>
      </c>
      <c r="R18" s="439">
        <f t="shared" si="9"/>
        <v>814.44731338872111</v>
      </c>
      <c r="S18" s="439">
        <f t="shared" si="9"/>
        <v>855.16967905815716</v>
      </c>
      <c r="T18" s="439">
        <f t="shared" si="9"/>
        <v>897.92816301106507</v>
      </c>
    </row>
    <row r="19" spans="1:20" ht="13.7" customHeight="1">
      <c r="A19" s="97" t="s">
        <v>286</v>
      </c>
      <c r="B19" s="505" t="s">
        <v>346</v>
      </c>
      <c r="C19" s="505"/>
      <c r="D19" s="81" t="s">
        <v>16</v>
      </c>
      <c r="E19" s="439">
        <f>E20*E21</f>
        <v>0</v>
      </c>
      <c r="F19" s="439">
        <f t="shared" ref="F19:T19" si="10">F20*F21</f>
        <v>0</v>
      </c>
      <c r="G19" s="439">
        <f t="shared" si="10"/>
        <v>0</v>
      </c>
      <c r="H19" s="439">
        <f t="shared" si="10"/>
        <v>0</v>
      </c>
      <c r="I19" s="439">
        <f t="shared" si="10"/>
        <v>0</v>
      </c>
      <c r="J19" s="439">
        <f t="shared" si="10"/>
        <v>0</v>
      </c>
      <c r="K19" s="439">
        <f t="shared" si="10"/>
        <v>0</v>
      </c>
      <c r="L19" s="439">
        <f t="shared" si="10"/>
        <v>0</v>
      </c>
      <c r="M19" s="439">
        <f t="shared" si="10"/>
        <v>0</v>
      </c>
      <c r="N19" s="439">
        <f t="shared" si="10"/>
        <v>0</v>
      </c>
      <c r="O19" s="439">
        <f t="shared" si="10"/>
        <v>0</v>
      </c>
      <c r="P19" s="439">
        <f t="shared" si="10"/>
        <v>0</v>
      </c>
      <c r="Q19" s="439">
        <f t="shared" si="10"/>
        <v>0</v>
      </c>
      <c r="R19" s="439">
        <f t="shared" si="10"/>
        <v>0</v>
      </c>
      <c r="S19" s="439">
        <f t="shared" si="10"/>
        <v>0</v>
      </c>
      <c r="T19" s="439">
        <f t="shared" si="10"/>
        <v>0</v>
      </c>
    </row>
    <row r="20" spans="1:20" ht="13.7" customHeight="1">
      <c r="A20" s="97" t="s">
        <v>347</v>
      </c>
      <c r="B20" s="505" t="s">
        <v>343</v>
      </c>
      <c r="C20" s="505"/>
      <c r="D20" s="81" t="s">
        <v>17</v>
      </c>
      <c r="E20" s="439">
        <v>0</v>
      </c>
      <c r="F20" s="439">
        <v>0</v>
      </c>
      <c r="G20" s="439">
        <v>0</v>
      </c>
      <c r="H20" s="439">
        <v>0</v>
      </c>
      <c r="I20" s="439">
        <f>H20*(1+$W$5)</f>
        <v>0</v>
      </c>
      <c r="J20" s="439">
        <f t="shared" ref="J20:T20" si="11">I20*(1+$W$5)</f>
        <v>0</v>
      </c>
      <c r="K20" s="439">
        <f t="shared" si="11"/>
        <v>0</v>
      </c>
      <c r="L20" s="439">
        <f t="shared" si="11"/>
        <v>0</v>
      </c>
      <c r="M20" s="439">
        <f t="shared" si="11"/>
        <v>0</v>
      </c>
      <c r="N20" s="439">
        <f t="shared" si="11"/>
        <v>0</v>
      </c>
      <c r="O20" s="439">
        <f t="shared" si="11"/>
        <v>0</v>
      </c>
      <c r="P20" s="439">
        <f t="shared" si="11"/>
        <v>0</v>
      </c>
      <c r="Q20" s="439">
        <f t="shared" si="11"/>
        <v>0</v>
      </c>
      <c r="R20" s="439">
        <f t="shared" si="11"/>
        <v>0</v>
      </c>
      <c r="S20" s="439">
        <f t="shared" si="11"/>
        <v>0</v>
      </c>
      <c r="T20" s="439">
        <f t="shared" si="11"/>
        <v>0</v>
      </c>
    </row>
    <row r="21" spans="1:20" ht="13.7" customHeight="1">
      <c r="A21" s="97" t="s">
        <v>348</v>
      </c>
      <c r="B21" s="505" t="s">
        <v>345</v>
      </c>
      <c r="C21" s="505"/>
      <c r="D21" s="81" t="s">
        <v>17</v>
      </c>
      <c r="E21" s="439">
        <v>0</v>
      </c>
      <c r="F21" s="439">
        <v>0</v>
      </c>
      <c r="G21" s="439">
        <v>0</v>
      </c>
      <c r="H21" s="439">
        <v>0</v>
      </c>
      <c r="I21" s="439">
        <f>H21*(1+$X$3)</f>
        <v>0</v>
      </c>
      <c r="J21" s="439">
        <f t="shared" ref="J21:T21" si="12">I21*(1+$X$3)</f>
        <v>0</v>
      </c>
      <c r="K21" s="439">
        <f t="shared" si="12"/>
        <v>0</v>
      </c>
      <c r="L21" s="439">
        <f t="shared" si="12"/>
        <v>0</v>
      </c>
      <c r="M21" s="439">
        <f t="shared" si="12"/>
        <v>0</v>
      </c>
      <c r="N21" s="439">
        <f t="shared" si="12"/>
        <v>0</v>
      </c>
      <c r="O21" s="439">
        <f t="shared" si="12"/>
        <v>0</v>
      </c>
      <c r="P21" s="439">
        <f t="shared" si="12"/>
        <v>0</v>
      </c>
      <c r="Q21" s="439">
        <f t="shared" si="12"/>
        <v>0</v>
      </c>
      <c r="R21" s="439">
        <f t="shared" si="12"/>
        <v>0</v>
      </c>
      <c r="S21" s="439">
        <f t="shared" si="12"/>
        <v>0</v>
      </c>
      <c r="T21" s="439">
        <f t="shared" si="12"/>
        <v>0</v>
      </c>
    </row>
    <row r="22" spans="1:20" ht="13.7" customHeight="1">
      <c r="A22" s="97" t="s">
        <v>288</v>
      </c>
      <c r="B22" s="505" t="s">
        <v>349</v>
      </c>
      <c r="C22" s="505"/>
      <c r="D22" s="81" t="s">
        <v>16</v>
      </c>
      <c r="E22" s="438">
        <v>0</v>
      </c>
      <c r="F22" s="438">
        <v>0</v>
      </c>
      <c r="G22" s="438">
        <v>0</v>
      </c>
      <c r="H22" s="438">
        <f>'Amortyzacja obecna i projektowa'!AA273</f>
        <v>186240</v>
      </c>
      <c r="I22" s="438">
        <f>'Amortyzacja obecna i projektowa'!AB273</f>
        <v>186240</v>
      </c>
      <c r="J22" s="438">
        <f>'Amortyzacja obecna i projektowa'!AC273</f>
        <v>186240</v>
      </c>
      <c r="K22" s="438">
        <f>'Amortyzacja obecna i projektowa'!AD273</f>
        <v>186240</v>
      </c>
      <c r="L22" s="438">
        <f>'Amortyzacja obecna i projektowa'!AE273</f>
        <v>186240</v>
      </c>
      <c r="M22" s="438">
        <f>'Amortyzacja obecna i projektowa'!AF273</f>
        <v>0</v>
      </c>
      <c r="N22" s="438">
        <f>'Amortyzacja obecna i projektowa'!AG273</f>
        <v>0</v>
      </c>
      <c r="O22" s="438">
        <f>'Amortyzacja obecna i projektowa'!AH273</f>
        <v>0</v>
      </c>
      <c r="P22" s="438">
        <f>'Amortyzacja obecna i projektowa'!AI273</f>
        <v>0</v>
      </c>
      <c r="Q22" s="438">
        <f>'Amortyzacja obecna i projektowa'!AJ273</f>
        <v>0</v>
      </c>
      <c r="R22" s="438">
        <f>'Amortyzacja obecna i projektowa'!AK272</f>
        <v>0</v>
      </c>
      <c r="S22" s="438">
        <f>'Amortyzacja obecna i projektowa'!AL272</f>
        <v>0</v>
      </c>
      <c r="T22" s="438">
        <f>'Amortyzacja obecna i projektowa'!AM272</f>
        <v>0</v>
      </c>
    </row>
    <row r="23" spans="1:20" ht="13.7" customHeight="1">
      <c r="A23" s="97" t="s">
        <v>350</v>
      </c>
      <c r="B23" s="505" t="s">
        <v>40</v>
      </c>
      <c r="C23" s="505"/>
      <c r="D23" s="81" t="s">
        <v>16</v>
      </c>
      <c r="E23" s="438">
        <v>0</v>
      </c>
      <c r="F23" s="438">
        <v>0</v>
      </c>
      <c r="G23" s="438">
        <v>0</v>
      </c>
      <c r="H23" s="438">
        <f>H22</f>
        <v>186240</v>
      </c>
      <c r="I23" s="438">
        <f t="shared" ref="I23:T23" si="13">I22</f>
        <v>186240</v>
      </c>
      <c r="J23" s="438">
        <f t="shared" si="13"/>
        <v>186240</v>
      </c>
      <c r="K23" s="438">
        <f t="shared" si="13"/>
        <v>186240</v>
      </c>
      <c r="L23" s="438">
        <f t="shared" si="13"/>
        <v>186240</v>
      </c>
      <c r="M23" s="438">
        <f t="shared" si="13"/>
        <v>0</v>
      </c>
      <c r="N23" s="438">
        <f t="shared" si="13"/>
        <v>0</v>
      </c>
      <c r="O23" s="438">
        <f t="shared" si="13"/>
        <v>0</v>
      </c>
      <c r="P23" s="438">
        <f t="shared" si="13"/>
        <v>0</v>
      </c>
      <c r="Q23" s="438">
        <f t="shared" si="13"/>
        <v>0</v>
      </c>
      <c r="R23" s="438">
        <f t="shared" si="13"/>
        <v>0</v>
      </c>
      <c r="S23" s="438">
        <f t="shared" si="13"/>
        <v>0</v>
      </c>
      <c r="T23" s="438">
        <f t="shared" si="13"/>
        <v>0</v>
      </c>
    </row>
    <row r="24" spans="1:20" ht="13.7" customHeight="1">
      <c r="A24" s="97" t="s">
        <v>351</v>
      </c>
      <c r="B24" s="506" t="s">
        <v>338</v>
      </c>
      <c r="C24" s="506"/>
      <c r="D24" s="81" t="s">
        <v>16</v>
      </c>
      <c r="E24" s="438">
        <v>0</v>
      </c>
      <c r="F24" s="438">
        <v>0</v>
      </c>
      <c r="G24" s="438">
        <v>0</v>
      </c>
      <c r="H24" s="438">
        <v>0</v>
      </c>
      <c r="I24" s="438">
        <v>0</v>
      </c>
      <c r="J24" s="438">
        <v>0</v>
      </c>
      <c r="K24" s="438">
        <v>0</v>
      </c>
      <c r="L24" s="438">
        <v>0</v>
      </c>
      <c r="M24" s="438">
        <v>0</v>
      </c>
      <c r="N24" s="438">
        <v>0</v>
      </c>
      <c r="O24" s="438">
        <v>0</v>
      </c>
      <c r="P24" s="438">
        <v>0</v>
      </c>
      <c r="Q24" s="438">
        <v>0</v>
      </c>
      <c r="R24" s="438">
        <v>0</v>
      </c>
      <c r="S24" s="438">
        <v>0</v>
      </c>
      <c r="T24" s="438">
        <v>0</v>
      </c>
    </row>
    <row r="25" spans="1:20" ht="13.7" customHeight="1">
      <c r="A25" s="97" t="s">
        <v>352</v>
      </c>
      <c r="B25" s="505" t="s">
        <v>353</v>
      </c>
      <c r="C25" s="505"/>
      <c r="D25" s="81" t="s">
        <v>16</v>
      </c>
      <c r="E25" s="438">
        <f>E16+E19+E22</f>
        <v>0</v>
      </c>
      <c r="F25" s="438">
        <f t="shared" ref="F25:T25" si="14">F16+F19+F22</f>
        <v>0</v>
      </c>
      <c r="G25" s="438">
        <f t="shared" si="14"/>
        <v>0</v>
      </c>
      <c r="H25" s="438">
        <f t="shared" si="14"/>
        <v>1911240</v>
      </c>
      <c r="I25" s="438">
        <f t="shared" si="14"/>
        <v>2903115</v>
      </c>
      <c r="J25" s="438">
        <f t="shared" si="14"/>
        <v>3609502.5</v>
      </c>
      <c r="K25" s="438">
        <f t="shared" si="14"/>
        <v>4180046.25</v>
      </c>
      <c r="L25" s="438">
        <f t="shared" si="14"/>
        <v>4379736.5625</v>
      </c>
      <c r="M25" s="438">
        <f t="shared" si="14"/>
        <v>4403171.3906250009</v>
      </c>
      <c r="N25" s="438">
        <f t="shared" si="14"/>
        <v>4623329.9601562517</v>
      </c>
      <c r="O25" s="438">
        <f t="shared" si="14"/>
        <v>4854496.4581640642</v>
      </c>
      <c r="P25" s="438">
        <f t="shared" si="14"/>
        <v>5097221.2810722673</v>
      </c>
      <c r="Q25" s="438">
        <f t="shared" si="14"/>
        <v>5352082.345125881</v>
      </c>
      <c r="R25" s="438">
        <f t="shared" si="14"/>
        <v>5619686.462382176</v>
      </c>
      <c r="S25" s="438">
        <f t="shared" si="14"/>
        <v>5900670.7855012845</v>
      </c>
      <c r="T25" s="438">
        <f t="shared" si="14"/>
        <v>6195704.3247763487</v>
      </c>
    </row>
    <row r="26" spans="1:20" s="114" customFormat="1" ht="13.7" customHeight="1">
      <c r="A26" s="228" t="s">
        <v>354</v>
      </c>
      <c r="B26" s="500" t="s">
        <v>355</v>
      </c>
      <c r="C26" s="500"/>
      <c r="D26" s="80" t="s">
        <v>16</v>
      </c>
      <c r="E26" s="440">
        <f>E25-E15</f>
        <v>0</v>
      </c>
      <c r="F26" s="440">
        <f t="shared" ref="F26:T26" si="15">F25-F15</f>
        <v>-20096.222222222223</v>
      </c>
      <c r="G26" s="440">
        <f t="shared" si="15"/>
        <v>-38174.888888888883</v>
      </c>
      <c r="H26" s="440">
        <f>H25-H15</f>
        <v>220637.41644444456</v>
      </c>
      <c r="I26" s="440">
        <f t="shared" si="15"/>
        <v>966571.4377337778</v>
      </c>
      <c r="J26" s="440">
        <f t="shared" si="15"/>
        <v>1319061.9833088992</v>
      </c>
      <c r="K26" s="440">
        <f t="shared" si="15"/>
        <v>1689820.0043432214</v>
      </c>
      <c r="L26" s="440">
        <f t="shared" si="15"/>
        <v>1759246.1044483213</v>
      </c>
      <c r="M26" s="440">
        <f t="shared" si="15"/>
        <v>2263502.8016257021</v>
      </c>
      <c r="N26" s="440">
        <f t="shared" si="15"/>
        <v>2333264.386442245</v>
      </c>
      <c r="O26" s="440">
        <f t="shared" si="15"/>
        <v>2402858.9431420439</v>
      </c>
      <c r="P26" s="440">
        <f t="shared" si="15"/>
        <v>2472025.8829613104</v>
      </c>
      <c r="Q26" s="440">
        <f t="shared" si="15"/>
        <v>2540473.2701038108</v>
      </c>
      <c r="R26" s="440">
        <f t="shared" si="15"/>
        <v>2606215.1461283821</v>
      </c>
      <c r="S26" s="440">
        <f t="shared" si="15"/>
        <v>2668586.1683441056</v>
      </c>
      <c r="T26" s="440">
        <f t="shared" si="15"/>
        <v>2729143.543112657</v>
      </c>
    </row>
    <row r="27" spans="1:20" ht="13.7" customHeight="1">
      <c r="A27" s="97" t="s">
        <v>356</v>
      </c>
      <c r="B27" s="505" t="s">
        <v>357</v>
      </c>
      <c r="C27" s="505"/>
      <c r="D27" s="81" t="s">
        <v>16</v>
      </c>
      <c r="E27" s="438">
        <f t="shared" ref="E27:T27" si="16">IF(E26&gt;0,E26*19%,0)</f>
        <v>0</v>
      </c>
      <c r="F27" s="438">
        <f t="shared" si="16"/>
        <v>0</v>
      </c>
      <c r="G27" s="438">
        <f t="shared" si="16"/>
        <v>0</v>
      </c>
      <c r="H27" s="438">
        <f t="shared" si="16"/>
        <v>41921.109124444469</v>
      </c>
      <c r="I27" s="438">
        <f t="shared" si="16"/>
        <v>183648.5731694178</v>
      </c>
      <c r="J27" s="438">
        <f t="shared" si="16"/>
        <v>250621.77682869087</v>
      </c>
      <c r="K27" s="438">
        <f t="shared" si="16"/>
        <v>321065.80082521209</v>
      </c>
      <c r="L27" s="438">
        <f t="shared" si="16"/>
        <v>334256.75984518102</v>
      </c>
      <c r="M27" s="438">
        <f t="shared" si="16"/>
        <v>430065.53230888338</v>
      </c>
      <c r="N27" s="438">
        <f t="shared" si="16"/>
        <v>443320.23342402658</v>
      </c>
      <c r="O27" s="438">
        <f t="shared" si="16"/>
        <v>456543.19919698837</v>
      </c>
      <c r="P27" s="438">
        <f t="shared" si="16"/>
        <v>469684.91776264901</v>
      </c>
      <c r="Q27" s="438">
        <f t="shared" si="16"/>
        <v>482689.92131972406</v>
      </c>
      <c r="R27" s="438">
        <f t="shared" si="16"/>
        <v>495180.87776439259</v>
      </c>
      <c r="S27" s="438">
        <f t="shared" si="16"/>
        <v>507031.37198538007</v>
      </c>
      <c r="T27" s="438">
        <f t="shared" si="16"/>
        <v>518537.27319140482</v>
      </c>
    </row>
    <row r="28" spans="1:20" s="114" customFormat="1" ht="13.7" customHeight="1">
      <c r="A28" s="228" t="s">
        <v>20</v>
      </c>
      <c r="B28" s="500" t="s">
        <v>358</v>
      </c>
      <c r="C28" s="500"/>
      <c r="D28" s="80" t="s">
        <v>16</v>
      </c>
      <c r="E28" s="440">
        <f>E26-E27</f>
        <v>0</v>
      </c>
      <c r="F28" s="440">
        <f t="shared" ref="F28:T28" si="17">F26-F27</f>
        <v>-20096.222222222223</v>
      </c>
      <c r="G28" s="440">
        <f t="shared" si="17"/>
        <v>-38174.888888888883</v>
      </c>
      <c r="H28" s="440">
        <f>H26-H27</f>
        <v>178716.30732000008</v>
      </c>
      <c r="I28" s="440">
        <f t="shared" si="17"/>
        <v>782922.86456436</v>
      </c>
      <c r="J28" s="440">
        <f t="shared" si="17"/>
        <v>1068440.2064802083</v>
      </c>
      <c r="K28" s="440">
        <f t="shared" si="17"/>
        <v>1368754.2035180093</v>
      </c>
      <c r="L28" s="440">
        <f t="shared" si="17"/>
        <v>1424989.3446031404</v>
      </c>
      <c r="M28" s="440">
        <f t="shared" si="17"/>
        <v>1833437.2693168186</v>
      </c>
      <c r="N28" s="440">
        <f t="shared" si="17"/>
        <v>1889944.1530182185</v>
      </c>
      <c r="O28" s="440">
        <f t="shared" si="17"/>
        <v>1946315.7439450556</v>
      </c>
      <c r="P28" s="440">
        <f t="shared" si="17"/>
        <v>2002340.9651986614</v>
      </c>
      <c r="Q28" s="440">
        <f t="shared" si="17"/>
        <v>2057783.3487840868</v>
      </c>
      <c r="R28" s="440">
        <f t="shared" si="17"/>
        <v>2111034.2683639894</v>
      </c>
      <c r="S28" s="440">
        <f t="shared" si="17"/>
        <v>2161554.7963587255</v>
      </c>
      <c r="T28" s="440">
        <f t="shared" si="17"/>
        <v>2210606.269921252</v>
      </c>
    </row>
    <row r="29" spans="1:20" s="114" customFormat="1" ht="13.7" customHeight="1">
      <c r="A29" s="228" t="s">
        <v>359</v>
      </c>
      <c r="B29" s="500" t="s">
        <v>360</v>
      </c>
      <c r="C29" s="500"/>
      <c r="D29" s="80" t="s">
        <v>16</v>
      </c>
      <c r="E29" s="440">
        <f>E3+E28</f>
        <v>0</v>
      </c>
      <c r="F29" s="440">
        <f t="shared" ref="F29:T29" si="18">F3+F28</f>
        <v>-20096.222222222223</v>
      </c>
      <c r="G29" s="440">
        <f t="shared" si="18"/>
        <v>-38174.888888888883</v>
      </c>
      <c r="H29" s="440">
        <f>H3+H28</f>
        <v>799516.30732000014</v>
      </c>
      <c r="I29" s="440">
        <f t="shared" si="18"/>
        <v>1403722.8645643601</v>
      </c>
      <c r="J29" s="440">
        <f t="shared" si="18"/>
        <v>1689240.2064802083</v>
      </c>
      <c r="K29" s="440">
        <f t="shared" si="18"/>
        <v>1989554.2035180093</v>
      </c>
      <c r="L29" s="440">
        <f t="shared" si="18"/>
        <v>2045789.3446031404</v>
      </c>
      <c r="M29" s="440">
        <f t="shared" si="18"/>
        <v>1833437.2693168186</v>
      </c>
      <c r="N29" s="440">
        <f t="shared" si="18"/>
        <v>1889944.1530182185</v>
      </c>
      <c r="O29" s="440">
        <f t="shared" si="18"/>
        <v>1946315.7439450556</v>
      </c>
      <c r="P29" s="440">
        <f t="shared" si="18"/>
        <v>2002340.9651986614</v>
      </c>
      <c r="Q29" s="440">
        <f t="shared" si="18"/>
        <v>2057783.3487840868</v>
      </c>
      <c r="R29" s="440">
        <f t="shared" si="18"/>
        <v>2111034.2683639894</v>
      </c>
      <c r="S29" s="440">
        <f t="shared" si="18"/>
        <v>2161554.7963587255</v>
      </c>
      <c r="T29" s="440">
        <f t="shared" si="18"/>
        <v>2210606.269921252</v>
      </c>
    </row>
    <row r="30" spans="1:20" ht="15.2" customHeight="1">
      <c r="A30" s="460"/>
      <c r="B30" s="460"/>
    </row>
    <row r="31" spans="1:20" ht="15.2" customHeight="1">
      <c r="A31" s="460"/>
      <c r="B31" s="460"/>
      <c r="H31" s="150"/>
    </row>
    <row r="32" spans="1:20" ht="15.2" customHeight="1">
      <c r="A32" s="460"/>
      <c r="B32" s="460"/>
      <c r="C32" s="167" t="s">
        <v>4074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</row>
    <row r="33" spans="2:21">
      <c r="C33" s="168" t="s">
        <v>4070</v>
      </c>
      <c r="D33" s="95"/>
      <c r="E33" s="152"/>
      <c r="F33" s="152"/>
      <c r="G33" s="152"/>
      <c r="H33" s="152">
        <v>4026</v>
      </c>
      <c r="I33" s="152">
        <f>H33*(1+$X$10)</f>
        <v>4307.8200000000006</v>
      </c>
      <c r="J33" s="152">
        <f t="shared" ref="J33:T33" si="19">I33*(1+$X$10)</f>
        <v>4609.367400000001</v>
      </c>
      <c r="K33" s="152">
        <f t="shared" si="19"/>
        <v>4932.023118000001</v>
      </c>
      <c r="L33" s="152">
        <f t="shared" si="19"/>
        <v>5277.264736260001</v>
      </c>
      <c r="M33" s="152">
        <f t="shared" si="19"/>
        <v>5646.6732677982018</v>
      </c>
      <c r="N33" s="152">
        <f t="shared" si="19"/>
        <v>6041.9403965440761</v>
      </c>
      <c r="O33" s="152">
        <f t="shared" si="19"/>
        <v>6464.876224302162</v>
      </c>
      <c r="P33" s="152">
        <f t="shared" si="19"/>
        <v>6917.4175600033141</v>
      </c>
      <c r="Q33" s="152">
        <f t="shared" si="19"/>
        <v>7401.6367892035469</v>
      </c>
      <c r="R33" s="152">
        <f t="shared" si="19"/>
        <v>7919.7513644477958</v>
      </c>
      <c r="S33" s="152">
        <f t="shared" si="19"/>
        <v>8474.1339599591429</v>
      </c>
      <c r="T33" s="152">
        <f t="shared" si="19"/>
        <v>9067.3233371562837</v>
      </c>
    </row>
    <row r="34" spans="2:21">
      <c r="C34" s="168" t="s">
        <v>4071</v>
      </c>
      <c r="D34" s="95"/>
      <c r="E34" s="152"/>
      <c r="F34" s="152"/>
      <c r="G34" s="152"/>
      <c r="H34" s="152">
        <f>6728*U34</f>
        <v>6728</v>
      </c>
      <c r="I34" s="152">
        <f>H34*(1+$X$10)</f>
        <v>7198.96</v>
      </c>
      <c r="J34" s="152">
        <f t="shared" ref="J34:T34" si="20">I34*(1+$X$10)</f>
        <v>7702.8872000000001</v>
      </c>
      <c r="K34" s="152">
        <f t="shared" si="20"/>
        <v>8242.089304000001</v>
      </c>
      <c r="L34" s="152">
        <f t="shared" si="20"/>
        <v>8819.0355552800011</v>
      </c>
      <c r="M34" s="152">
        <f t="shared" si="20"/>
        <v>9436.3680441496017</v>
      </c>
      <c r="N34" s="152">
        <f t="shared" si="20"/>
        <v>10096.913807240075</v>
      </c>
      <c r="O34" s="152">
        <f t="shared" si="20"/>
        <v>10803.697773746881</v>
      </c>
      <c r="P34" s="152">
        <f t="shared" si="20"/>
        <v>11559.956617909163</v>
      </c>
      <c r="Q34" s="152">
        <f t="shared" si="20"/>
        <v>12369.153581162805</v>
      </c>
      <c r="R34" s="152">
        <f t="shared" si="20"/>
        <v>13234.994331844202</v>
      </c>
      <c r="S34" s="152">
        <f t="shared" si="20"/>
        <v>14161.443935073297</v>
      </c>
      <c r="T34" s="152">
        <f t="shared" si="20"/>
        <v>15152.74501052843</v>
      </c>
      <c r="U34" s="391">
        <v>1</v>
      </c>
    </row>
    <row r="35" spans="2:21">
      <c r="C35" s="168" t="s">
        <v>4072</v>
      </c>
      <c r="D35" s="95"/>
      <c r="E35" s="152"/>
      <c r="F35" s="152"/>
      <c r="G35" s="152"/>
      <c r="H35" s="152">
        <f>H33*25%</f>
        <v>1006.5</v>
      </c>
      <c r="I35" s="152">
        <f t="shared" ref="I35:T35" si="21">I33*25%</f>
        <v>1076.9550000000002</v>
      </c>
      <c r="J35" s="152">
        <f t="shared" si="21"/>
        <v>1152.3418500000002</v>
      </c>
      <c r="K35" s="152">
        <f t="shared" si="21"/>
        <v>1233.0057795000002</v>
      </c>
      <c r="L35" s="152">
        <f t="shared" si="21"/>
        <v>1319.3161840650002</v>
      </c>
      <c r="M35" s="152">
        <f t="shared" si="21"/>
        <v>1411.6683169495504</v>
      </c>
      <c r="N35" s="152">
        <f t="shared" si="21"/>
        <v>1510.485099136019</v>
      </c>
      <c r="O35" s="152">
        <f t="shared" si="21"/>
        <v>1616.2190560755405</v>
      </c>
      <c r="P35" s="152">
        <f t="shared" si="21"/>
        <v>1729.3543900008285</v>
      </c>
      <c r="Q35" s="152">
        <f t="shared" si="21"/>
        <v>1850.4091973008867</v>
      </c>
      <c r="R35" s="152">
        <f t="shared" si="21"/>
        <v>1979.937841111949</v>
      </c>
      <c r="S35" s="152">
        <f t="shared" si="21"/>
        <v>2118.5334899897857</v>
      </c>
      <c r="T35" s="152">
        <f t="shared" si="21"/>
        <v>2266.8308342890709</v>
      </c>
    </row>
    <row r="36" spans="2:21">
      <c r="C36" s="424" t="s">
        <v>4073</v>
      </c>
      <c r="D36" s="95"/>
      <c r="E36" s="152"/>
      <c r="F36" s="152"/>
      <c r="G36" s="152"/>
      <c r="H36" s="153">
        <f>H34+H35</f>
        <v>7734.5</v>
      </c>
      <c r="I36" s="153">
        <f t="shared" ref="I36:T36" si="22">I34+I35</f>
        <v>8275.9150000000009</v>
      </c>
      <c r="J36" s="153">
        <f t="shared" si="22"/>
        <v>8855.2290499999999</v>
      </c>
      <c r="K36" s="153">
        <f t="shared" si="22"/>
        <v>9475.0950835000003</v>
      </c>
      <c r="L36" s="153">
        <f t="shared" si="22"/>
        <v>10138.351739345002</v>
      </c>
      <c r="M36" s="153">
        <f t="shared" si="22"/>
        <v>10848.036361099152</v>
      </c>
      <c r="N36" s="153">
        <f t="shared" si="22"/>
        <v>11607.398906376093</v>
      </c>
      <c r="O36" s="153">
        <f t="shared" si="22"/>
        <v>12419.916829822421</v>
      </c>
      <c r="P36" s="153">
        <f t="shared" si="22"/>
        <v>13289.311007909992</v>
      </c>
      <c r="Q36" s="153">
        <f t="shared" si="22"/>
        <v>14219.562778463693</v>
      </c>
      <c r="R36" s="153">
        <f t="shared" si="22"/>
        <v>15214.932172956151</v>
      </c>
      <c r="S36" s="153">
        <f t="shared" si="22"/>
        <v>16279.977425063084</v>
      </c>
      <c r="T36" s="153">
        <f t="shared" si="22"/>
        <v>17419.5758448175</v>
      </c>
    </row>
    <row r="37" spans="2:21">
      <c r="C37" s="425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</row>
    <row r="38" spans="2:21" ht="25.5">
      <c r="C38" s="426" t="s">
        <v>4075</v>
      </c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</row>
    <row r="39" spans="2:21">
      <c r="C39" s="427" t="s">
        <v>4070</v>
      </c>
      <c r="D39" s="95"/>
      <c r="E39" s="152"/>
      <c r="F39" s="152"/>
      <c r="G39" s="152"/>
      <c r="H39" s="152">
        <f>3041*2</f>
        <v>6082</v>
      </c>
      <c r="I39" s="152">
        <f>H39*(1+$X$10)</f>
        <v>6507.7400000000007</v>
      </c>
      <c r="J39" s="152">
        <f t="shared" ref="J39:T39" si="23">I39*(1+$X$10)</f>
        <v>6963.2818000000016</v>
      </c>
      <c r="K39" s="152">
        <f t="shared" si="23"/>
        <v>7450.7115260000019</v>
      </c>
      <c r="L39" s="152">
        <f t="shared" si="23"/>
        <v>7972.2613328200023</v>
      </c>
      <c r="M39" s="152">
        <f t="shared" si="23"/>
        <v>8530.3196261174035</v>
      </c>
      <c r="N39" s="152">
        <f t="shared" si="23"/>
        <v>9127.4419999456222</v>
      </c>
      <c r="O39" s="152">
        <f t="shared" si="23"/>
        <v>9766.3629399418169</v>
      </c>
      <c r="P39" s="152">
        <f t="shared" si="23"/>
        <v>10450.008345737744</v>
      </c>
      <c r="Q39" s="152">
        <f t="shared" si="23"/>
        <v>11181.508929939388</v>
      </c>
      <c r="R39" s="152">
        <f t="shared" si="23"/>
        <v>11964.214555035145</v>
      </c>
      <c r="S39" s="152">
        <f t="shared" si="23"/>
        <v>12801.709573887607</v>
      </c>
      <c r="T39" s="152">
        <f t="shared" si="23"/>
        <v>13697.82924405974</v>
      </c>
    </row>
    <row r="40" spans="2:21">
      <c r="C40" s="427" t="s">
        <v>4071</v>
      </c>
      <c r="D40" s="95"/>
      <c r="E40" s="152"/>
      <c r="F40" s="152"/>
      <c r="G40" s="152"/>
      <c r="H40" s="152">
        <f>2*5046*U40</f>
        <v>10092</v>
      </c>
      <c r="I40" s="152">
        <f>H40*(1+$X$10)</f>
        <v>10798.44</v>
      </c>
      <c r="J40" s="152">
        <f t="shared" ref="J40:T40" si="24">I40*(1+$X$10)</f>
        <v>11554.330800000002</v>
      </c>
      <c r="K40" s="152">
        <f t="shared" si="24"/>
        <v>12363.133956000001</v>
      </c>
      <c r="L40" s="152">
        <f t="shared" si="24"/>
        <v>13228.553332920003</v>
      </c>
      <c r="M40" s="152">
        <f t="shared" si="24"/>
        <v>14154.552066224403</v>
      </c>
      <c r="N40" s="152">
        <f t="shared" si="24"/>
        <v>15145.370710860112</v>
      </c>
      <c r="O40" s="152">
        <f t="shared" si="24"/>
        <v>16205.546660620321</v>
      </c>
      <c r="P40" s="152">
        <f t="shared" si="24"/>
        <v>17339.934926863745</v>
      </c>
      <c r="Q40" s="152">
        <f t="shared" si="24"/>
        <v>18553.730371744208</v>
      </c>
      <c r="R40" s="152">
        <f t="shared" si="24"/>
        <v>19852.491497766303</v>
      </c>
      <c r="S40" s="152">
        <f t="shared" si="24"/>
        <v>21242.165902609944</v>
      </c>
      <c r="T40" s="152">
        <f t="shared" si="24"/>
        <v>22729.117515792641</v>
      </c>
      <c r="U40" s="391">
        <v>1</v>
      </c>
    </row>
    <row r="41" spans="2:21">
      <c r="C41" s="427" t="s">
        <v>4072</v>
      </c>
      <c r="D41" s="95"/>
      <c r="E41" s="152"/>
      <c r="F41" s="152"/>
      <c r="G41" s="152"/>
      <c r="H41" s="152">
        <f>H39*25%</f>
        <v>1520.5</v>
      </c>
      <c r="I41" s="152">
        <f t="shared" ref="I41:T41" si="25">I39*25%</f>
        <v>1626.9350000000002</v>
      </c>
      <c r="J41" s="152">
        <f t="shared" si="25"/>
        <v>1740.8204500000004</v>
      </c>
      <c r="K41" s="152">
        <f t="shared" si="25"/>
        <v>1862.6778815000005</v>
      </c>
      <c r="L41" s="152">
        <f t="shared" si="25"/>
        <v>1993.0653332050006</v>
      </c>
      <c r="M41" s="152">
        <f t="shared" si="25"/>
        <v>2132.5799065293509</v>
      </c>
      <c r="N41" s="152">
        <f t="shared" si="25"/>
        <v>2281.8604999864056</v>
      </c>
      <c r="O41" s="152">
        <f t="shared" si="25"/>
        <v>2441.5907349854542</v>
      </c>
      <c r="P41" s="152">
        <f t="shared" si="25"/>
        <v>2612.502086434436</v>
      </c>
      <c r="Q41" s="152">
        <f t="shared" si="25"/>
        <v>2795.3772324848469</v>
      </c>
      <c r="R41" s="152">
        <f t="shared" si="25"/>
        <v>2991.0536387587863</v>
      </c>
      <c r="S41" s="152">
        <f t="shared" si="25"/>
        <v>3200.4273934719017</v>
      </c>
      <c r="T41" s="152">
        <f t="shared" si="25"/>
        <v>3424.4573110149349</v>
      </c>
    </row>
    <row r="42" spans="2:21">
      <c r="C42" s="424" t="s">
        <v>4073</v>
      </c>
      <c r="D42" s="95"/>
      <c r="E42" s="152"/>
      <c r="F42" s="152"/>
      <c r="G42" s="152"/>
      <c r="H42" s="153">
        <f>H40+H41</f>
        <v>11612.5</v>
      </c>
      <c r="I42" s="153">
        <f t="shared" ref="I42" si="26">I40+I41</f>
        <v>12425.375</v>
      </c>
      <c r="J42" s="153">
        <f t="shared" ref="J42" si="27">J40+J41</f>
        <v>13295.151250000003</v>
      </c>
      <c r="K42" s="153">
        <f t="shared" ref="K42" si="28">K40+K41</f>
        <v>14225.811837500001</v>
      </c>
      <c r="L42" s="153">
        <f t="shared" ref="L42" si="29">L40+L41</f>
        <v>15221.618666125003</v>
      </c>
      <c r="M42" s="153">
        <f t="shared" ref="M42" si="30">M40+M41</f>
        <v>16287.131972753754</v>
      </c>
      <c r="N42" s="153">
        <f t="shared" ref="N42" si="31">N40+N41</f>
        <v>17427.231210846519</v>
      </c>
      <c r="O42" s="153">
        <f t="shared" ref="O42" si="32">O40+O41</f>
        <v>18647.137395605776</v>
      </c>
      <c r="P42" s="153">
        <f t="shared" ref="P42" si="33">P40+P41</f>
        <v>19952.437013298182</v>
      </c>
      <c r="Q42" s="153">
        <f t="shared" ref="Q42" si="34">Q40+Q41</f>
        <v>21349.107604229055</v>
      </c>
      <c r="R42" s="153">
        <f t="shared" ref="R42" si="35">R40+R41</f>
        <v>22843.545136525088</v>
      </c>
      <c r="S42" s="153">
        <f t="shared" ref="S42" si="36">S40+S41</f>
        <v>24442.593296081846</v>
      </c>
      <c r="T42" s="153">
        <f t="shared" ref="T42" si="37">T40+T41</f>
        <v>26153.574826807577</v>
      </c>
    </row>
    <row r="43" spans="2:21">
      <c r="C43" s="425"/>
      <c r="E43" s="151"/>
      <c r="F43" s="151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5"/>
    </row>
    <row r="44" spans="2:21">
      <c r="C44" s="427" t="s">
        <v>2691</v>
      </c>
      <c r="D44" s="95"/>
      <c r="E44" s="152"/>
      <c r="F44" s="152"/>
      <c r="G44" s="156"/>
      <c r="H44" s="156">
        <f>Analityka!$I$897*(10%)*U44</f>
        <v>178521.81299999999</v>
      </c>
      <c r="I44" s="156">
        <f>H44*(1+$X$15)</f>
        <v>191553.90534899998</v>
      </c>
      <c r="J44" s="156">
        <f t="shared" ref="J44:T44" si="38">I44*(1+$X$15)</f>
        <v>205537.34043947698</v>
      </c>
      <c r="K44" s="156">
        <f t="shared" si="38"/>
        <v>220541.56629155879</v>
      </c>
      <c r="L44" s="156">
        <f t="shared" si="38"/>
        <v>236641.10063084256</v>
      </c>
      <c r="M44" s="156">
        <f t="shared" si="38"/>
        <v>253915.90097689405</v>
      </c>
      <c r="N44" s="156">
        <f t="shared" si="38"/>
        <v>272451.76174820733</v>
      </c>
      <c r="O44" s="156">
        <f t="shared" si="38"/>
        <v>292340.74035582645</v>
      </c>
      <c r="P44" s="156">
        <f t="shared" si="38"/>
        <v>313681.61440180178</v>
      </c>
      <c r="Q44" s="156">
        <f t="shared" si="38"/>
        <v>336580.37225313328</v>
      </c>
      <c r="R44" s="156">
        <f t="shared" si="38"/>
        <v>361150.73942761199</v>
      </c>
      <c r="S44" s="156">
        <f t="shared" si="38"/>
        <v>387514.74340582767</v>
      </c>
      <c r="T44" s="156">
        <f t="shared" si="38"/>
        <v>415803.31967445306</v>
      </c>
      <c r="U44" s="392">
        <v>1</v>
      </c>
    </row>
    <row r="45" spans="2:21">
      <c r="C45" s="427" t="s">
        <v>2658</v>
      </c>
      <c r="D45" s="95"/>
      <c r="E45" s="152"/>
      <c r="F45" s="152"/>
      <c r="G45" s="156"/>
      <c r="H45" s="156">
        <f>Analityka!$I$890*(10%)*U45</f>
        <v>168313.21500000005</v>
      </c>
      <c r="I45" s="156">
        <f>H45*(1+$X$15)</f>
        <v>180600.07969500005</v>
      </c>
      <c r="J45" s="156">
        <f t="shared" ref="J45:T45" si="39">I45*(1+$X$15)</f>
        <v>193783.88551273505</v>
      </c>
      <c r="K45" s="156">
        <f t="shared" si="39"/>
        <v>207930.10915516471</v>
      </c>
      <c r="L45" s="156">
        <f t="shared" si="39"/>
        <v>223109.00712349173</v>
      </c>
      <c r="M45" s="156">
        <f t="shared" si="39"/>
        <v>239395.96464350662</v>
      </c>
      <c r="N45" s="156">
        <f t="shared" si="39"/>
        <v>256871.8700624826</v>
      </c>
      <c r="O45" s="156">
        <f t="shared" si="39"/>
        <v>275623.5165770438</v>
      </c>
      <c r="P45" s="156">
        <f t="shared" si="39"/>
        <v>295744.03328716801</v>
      </c>
      <c r="Q45" s="156">
        <f t="shared" si="39"/>
        <v>317333.34771713126</v>
      </c>
      <c r="R45" s="156">
        <f t="shared" si="39"/>
        <v>340498.68210048182</v>
      </c>
      <c r="S45" s="156">
        <f t="shared" si="39"/>
        <v>365355.08589381695</v>
      </c>
      <c r="T45" s="156">
        <f t="shared" si="39"/>
        <v>392026.00716406555</v>
      </c>
      <c r="U45" s="392">
        <v>1</v>
      </c>
    </row>
    <row r="46" spans="2:21">
      <c r="B46" s="76"/>
      <c r="C46" s="400" t="s">
        <v>4157</v>
      </c>
      <c r="D46" s="95"/>
      <c r="E46" s="152"/>
      <c r="F46" s="152"/>
      <c r="G46" s="156"/>
      <c r="H46" s="156">
        <v>260</v>
      </c>
      <c r="I46" s="156">
        <f>H46*(1+$X$15)</f>
        <v>278.97999999999996</v>
      </c>
      <c r="J46" s="156">
        <f t="shared" ref="J46:T46" si="40">I46*(1+$X$15)</f>
        <v>299.34553999999997</v>
      </c>
      <c r="K46" s="156">
        <f t="shared" si="40"/>
        <v>321.19776441999994</v>
      </c>
      <c r="L46" s="156">
        <f t="shared" si="40"/>
        <v>344.64520122265992</v>
      </c>
      <c r="M46" s="156">
        <f t="shared" si="40"/>
        <v>369.80430091191408</v>
      </c>
      <c r="N46" s="156">
        <f t="shared" si="40"/>
        <v>396.80001487848381</v>
      </c>
      <c r="O46" s="156">
        <f t="shared" si="40"/>
        <v>425.76641596461309</v>
      </c>
      <c r="P46" s="156">
        <f t="shared" si="40"/>
        <v>456.84736433002985</v>
      </c>
      <c r="Q46" s="156">
        <f t="shared" si="40"/>
        <v>490.19722192612198</v>
      </c>
      <c r="R46" s="156">
        <f t="shared" si="40"/>
        <v>525.9816191267289</v>
      </c>
      <c r="S46" s="156">
        <f t="shared" si="40"/>
        <v>564.37827732298013</v>
      </c>
      <c r="T46" s="156">
        <f t="shared" si="40"/>
        <v>605.57789156755769</v>
      </c>
      <c r="U46" s="155"/>
    </row>
    <row r="47" spans="2:21">
      <c r="B47" s="76"/>
      <c r="C47" s="400" t="s">
        <v>4158</v>
      </c>
      <c r="D47" s="95"/>
      <c r="E47" s="95"/>
      <c r="F47" s="95"/>
      <c r="G47" s="164"/>
      <c r="H47" s="156">
        <f>H46*(H53)</f>
        <v>253500</v>
      </c>
      <c r="I47" s="156">
        <f t="shared" ref="I47:T47" si="41">I46*(I53)</f>
        <v>408008.24999999994</v>
      </c>
      <c r="J47" s="156">
        <f t="shared" si="41"/>
        <v>525351.4227</v>
      </c>
      <c r="K47" s="156">
        <f t="shared" si="41"/>
        <v>626335.64061899984</v>
      </c>
      <c r="L47" s="156">
        <f t="shared" si="41"/>
        <v>672058.14238418685</v>
      </c>
      <c r="M47" s="156">
        <f t="shared" si="41"/>
        <v>721118.38677823241</v>
      </c>
      <c r="N47" s="156">
        <f t="shared" si="41"/>
        <v>773760.02901304339</v>
      </c>
      <c r="O47" s="156">
        <f t="shared" si="41"/>
        <v>830244.51113099547</v>
      </c>
      <c r="P47" s="156">
        <f t="shared" si="41"/>
        <v>890852.36044355819</v>
      </c>
      <c r="Q47" s="156">
        <f t="shared" si="41"/>
        <v>955884.58275593782</v>
      </c>
      <c r="R47" s="156">
        <f t="shared" si="41"/>
        <v>1025664.1572971214</v>
      </c>
      <c r="S47" s="156">
        <f t="shared" si="41"/>
        <v>1100537.6407798112</v>
      </c>
      <c r="T47" s="156">
        <f t="shared" si="41"/>
        <v>1180876.8885567375</v>
      </c>
      <c r="U47" s="155"/>
    </row>
    <row r="48" spans="2:21">
      <c r="B48" s="78"/>
      <c r="C48" s="400" t="s">
        <v>4160</v>
      </c>
      <c r="D48" s="95"/>
      <c r="E48" s="95"/>
      <c r="F48" s="166"/>
      <c r="G48" s="166"/>
      <c r="H48" s="156">
        <f>115000</f>
        <v>115000</v>
      </c>
      <c r="I48" s="156">
        <f>H48</f>
        <v>115000</v>
      </c>
      <c r="J48" s="156">
        <v>270000</v>
      </c>
      <c r="K48" s="156">
        <f>J48*(1+$X$15)</f>
        <v>289710</v>
      </c>
      <c r="L48" s="156">
        <f t="shared" ref="L48:T48" si="42">K48*(1+$X$15)</f>
        <v>310858.82999999996</v>
      </c>
      <c r="M48" s="156">
        <f t="shared" si="42"/>
        <v>333551.52458999993</v>
      </c>
      <c r="N48" s="156">
        <f t="shared" si="42"/>
        <v>357900.78588506993</v>
      </c>
      <c r="O48" s="156">
        <f t="shared" si="42"/>
        <v>384027.54325468</v>
      </c>
      <c r="P48" s="156">
        <f t="shared" si="42"/>
        <v>412061.55391227163</v>
      </c>
      <c r="Q48" s="156">
        <f t="shared" si="42"/>
        <v>442142.04734786745</v>
      </c>
      <c r="R48" s="156">
        <f t="shared" si="42"/>
        <v>474418.41680426174</v>
      </c>
      <c r="S48" s="156">
        <f t="shared" si="42"/>
        <v>509050.96123097284</v>
      </c>
      <c r="T48" s="156">
        <f t="shared" si="42"/>
        <v>546211.68140083388</v>
      </c>
    </row>
    <row r="49" spans="2:21">
      <c r="C49" s="425"/>
    </row>
    <row r="50" spans="2:21">
      <c r="B50" s="157" t="s">
        <v>4130</v>
      </c>
      <c r="C50" s="428" t="s">
        <v>4128</v>
      </c>
      <c r="D50" s="158"/>
      <c r="E50" s="159"/>
      <c r="F50" s="159"/>
      <c r="G50" s="160"/>
      <c r="H50" s="496" t="s">
        <v>4129</v>
      </c>
      <c r="I50" s="497"/>
      <c r="J50" s="497"/>
      <c r="K50" s="497"/>
      <c r="L50" s="497"/>
      <c r="M50" s="497"/>
      <c r="N50" s="497"/>
      <c r="O50" s="497"/>
      <c r="P50" s="497"/>
      <c r="Q50" s="497"/>
      <c r="R50" s="497"/>
      <c r="S50" s="497"/>
      <c r="T50" s="497"/>
    </row>
    <row r="51" spans="2:21" ht="25.5">
      <c r="B51" s="499" t="s">
        <v>4163</v>
      </c>
      <c r="C51" s="400" t="s">
        <v>4159</v>
      </c>
      <c r="D51" s="95"/>
      <c r="E51" s="95"/>
      <c r="F51" s="95"/>
      <c r="G51" s="164"/>
      <c r="H51" s="162">
        <f>K51*50%</f>
        <v>3450</v>
      </c>
      <c r="I51" s="162">
        <f>K51*75%</f>
        <v>5175</v>
      </c>
      <c r="J51" s="162">
        <f>K51*90%</f>
        <v>6210</v>
      </c>
      <c r="K51" s="162">
        <v>6900</v>
      </c>
      <c r="L51" s="162">
        <f>K51</f>
        <v>6900</v>
      </c>
      <c r="M51" s="162">
        <f t="shared" ref="M51:T51" si="43">L51</f>
        <v>6900</v>
      </c>
      <c r="N51" s="162">
        <f t="shared" si="43"/>
        <v>6900</v>
      </c>
      <c r="O51" s="162">
        <f t="shared" si="43"/>
        <v>6900</v>
      </c>
      <c r="P51" s="162">
        <f t="shared" si="43"/>
        <v>6900</v>
      </c>
      <c r="Q51" s="162">
        <f t="shared" si="43"/>
        <v>6900</v>
      </c>
      <c r="R51" s="162">
        <f t="shared" si="43"/>
        <v>6900</v>
      </c>
      <c r="S51" s="162">
        <f t="shared" si="43"/>
        <v>6900</v>
      </c>
      <c r="T51" s="162">
        <f t="shared" si="43"/>
        <v>6900</v>
      </c>
      <c r="U51" s="227"/>
    </row>
    <row r="52" spans="2:21" ht="25.5">
      <c r="B52" s="499"/>
      <c r="C52" s="400" t="s">
        <v>4125</v>
      </c>
      <c r="D52" s="95"/>
      <c r="E52" s="95"/>
      <c r="F52" s="95"/>
      <c r="G52" s="164"/>
      <c r="H52" s="162">
        <f>K52*50%</f>
        <v>975</v>
      </c>
      <c r="I52" s="162">
        <f>K52*75%</f>
        <v>1462.5</v>
      </c>
      <c r="J52" s="162">
        <f>K52*90%</f>
        <v>1755</v>
      </c>
      <c r="K52" s="162">
        <v>1950</v>
      </c>
      <c r="L52" s="162">
        <f>K52</f>
        <v>1950</v>
      </c>
      <c r="M52" s="162">
        <f t="shared" ref="M52:T52" si="44">L52</f>
        <v>1950</v>
      </c>
      <c r="N52" s="162">
        <f t="shared" si="44"/>
        <v>1950</v>
      </c>
      <c r="O52" s="162">
        <f t="shared" si="44"/>
        <v>1950</v>
      </c>
      <c r="P52" s="162">
        <f t="shared" si="44"/>
        <v>1950</v>
      </c>
      <c r="Q52" s="162">
        <f t="shared" si="44"/>
        <v>1950</v>
      </c>
      <c r="R52" s="162">
        <f t="shared" si="44"/>
        <v>1950</v>
      </c>
      <c r="S52" s="162">
        <f t="shared" si="44"/>
        <v>1950</v>
      </c>
      <c r="T52" s="162">
        <f t="shared" si="44"/>
        <v>1950</v>
      </c>
      <c r="U52" s="155"/>
    </row>
    <row r="53" spans="2:21">
      <c r="B53" s="499"/>
      <c r="C53" s="400" t="s">
        <v>4126</v>
      </c>
      <c r="D53" s="95"/>
      <c r="E53" s="95"/>
      <c r="F53" s="95"/>
      <c r="G53" s="95"/>
      <c r="H53" s="96">
        <f>K53*50%</f>
        <v>975</v>
      </c>
      <c r="I53" s="96">
        <f>K53*75%</f>
        <v>1462.5</v>
      </c>
      <c r="J53" s="96">
        <f>K53*90%</f>
        <v>1755</v>
      </c>
      <c r="K53" s="96">
        <v>1950</v>
      </c>
      <c r="L53" s="96">
        <f>K53</f>
        <v>1950</v>
      </c>
      <c r="M53" s="96">
        <f t="shared" ref="M53:T53" si="45">L53</f>
        <v>1950</v>
      </c>
      <c r="N53" s="96">
        <f t="shared" si="45"/>
        <v>1950</v>
      </c>
      <c r="O53" s="96">
        <f t="shared" si="45"/>
        <v>1950</v>
      </c>
      <c r="P53" s="96">
        <f t="shared" si="45"/>
        <v>1950</v>
      </c>
      <c r="Q53" s="96">
        <f t="shared" si="45"/>
        <v>1950</v>
      </c>
      <c r="R53" s="96">
        <f t="shared" si="45"/>
        <v>1950</v>
      </c>
      <c r="S53" s="96">
        <f t="shared" si="45"/>
        <v>1950</v>
      </c>
      <c r="T53" s="96">
        <f t="shared" si="45"/>
        <v>1950</v>
      </c>
      <c r="U53" s="227"/>
    </row>
    <row r="54" spans="2:21">
      <c r="B54" s="163"/>
      <c r="C54" s="429"/>
      <c r="D54" s="95"/>
      <c r="E54" s="95"/>
      <c r="F54" s="95"/>
      <c r="G54" s="95"/>
      <c r="H54" s="496" t="s">
        <v>4190</v>
      </c>
      <c r="I54" s="497"/>
      <c r="J54" s="497"/>
      <c r="K54" s="497"/>
      <c r="L54" s="497"/>
      <c r="M54" s="497"/>
      <c r="N54" s="497"/>
      <c r="O54" s="497"/>
      <c r="P54" s="497"/>
      <c r="Q54" s="497"/>
      <c r="R54" s="497"/>
      <c r="S54" s="497"/>
      <c r="T54" s="497"/>
    </row>
    <row r="55" spans="2:21" ht="25.5">
      <c r="B55" s="499" t="s">
        <v>4164</v>
      </c>
      <c r="C55" s="400" t="s">
        <v>4159</v>
      </c>
      <c r="D55" s="95"/>
      <c r="E55" s="95"/>
      <c r="F55" s="95"/>
      <c r="G55" s="95"/>
      <c r="H55" s="96">
        <v>500</v>
      </c>
      <c r="I55" s="96">
        <f>H55*(1+$X$8)</f>
        <v>525</v>
      </c>
      <c r="J55" s="96">
        <f t="shared" ref="J55:T55" si="46">I55*(1+$X$8)</f>
        <v>551.25</v>
      </c>
      <c r="K55" s="96">
        <f t="shared" si="46"/>
        <v>578.8125</v>
      </c>
      <c r="L55" s="96">
        <f t="shared" si="46"/>
        <v>607.75312500000007</v>
      </c>
      <c r="M55" s="96">
        <f t="shared" si="46"/>
        <v>638.14078125000015</v>
      </c>
      <c r="N55" s="96">
        <f t="shared" si="46"/>
        <v>670.04782031250022</v>
      </c>
      <c r="O55" s="96">
        <f t="shared" si="46"/>
        <v>703.55021132812522</v>
      </c>
      <c r="P55" s="96">
        <f t="shared" si="46"/>
        <v>738.72772189453156</v>
      </c>
      <c r="Q55" s="96">
        <f t="shared" si="46"/>
        <v>775.66410798925813</v>
      </c>
      <c r="R55" s="96">
        <f t="shared" si="46"/>
        <v>814.44731338872111</v>
      </c>
      <c r="S55" s="96">
        <f t="shared" si="46"/>
        <v>855.16967905815716</v>
      </c>
      <c r="T55" s="96">
        <f t="shared" si="46"/>
        <v>897.92816301106507</v>
      </c>
    </row>
    <row r="56" spans="2:21" ht="25.5">
      <c r="B56" s="499"/>
      <c r="C56" s="400" t="s">
        <v>4125</v>
      </c>
      <c r="D56" s="95"/>
      <c r="E56" s="95"/>
      <c r="F56" s="95"/>
      <c r="G56" s="95"/>
      <c r="H56" s="96">
        <f>270</f>
        <v>270</v>
      </c>
      <c r="I56" s="96">
        <f t="shared" ref="I56:T56" si="47">H56*(1+$X$15)</f>
        <v>289.70999999999998</v>
      </c>
      <c r="J56" s="96">
        <f t="shared" si="47"/>
        <v>310.85882999999995</v>
      </c>
      <c r="K56" s="96">
        <f t="shared" si="47"/>
        <v>333.55152458999993</v>
      </c>
      <c r="L56" s="96">
        <f t="shared" si="47"/>
        <v>357.90078588506992</v>
      </c>
      <c r="M56" s="96">
        <f t="shared" si="47"/>
        <v>384.02754325467998</v>
      </c>
      <c r="N56" s="96">
        <f t="shared" si="47"/>
        <v>412.06155391227162</v>
      </c>
      <c r="O56" s="96">
        <f t="shared" si="47"/>
        <v>442.14204734786745</v>
      </c>
      <c r="P56" s="96">
        <f t="shared" si="47"/>
        <v>474.41841680426177</v>
      </c>
      <c r="Q56" s="96">
        <f t="shared" si="47"/>
        <v>509.05096123097286</v>
      </c>
      <c r="R56" s="96">
        <f t="shared" si="47"/>
        <v>546.21168140083387</v>
      </c>
      <c r="S56" s="96">
        <f t="shared" si="47"/>
        <v>586.08513414309471</v>
      </c>
      <c r="T56" s="96">
        <f t="shared" si="47"/>
        <v>628.86934893554064</v>
      </c>
      <c r="U56" s="436"/>
    </row>
    <row r="57" spans="2:21">
      <c r="B57" s="499"/>
      <c r="C57" s="400" t="s">
        <v>4126</v>
      </c>
      <c r="D57" s="95"/>
      <c r="E57" s="95"/>
      <c r="F57" s="95"/>
      <c r="G57" s="95"/>
      <c r="H57" s="96">
        <f>'Przychody i koszty projekt 2-4'!H57</f>
        <v>360</v>
      </c>
      <c r="I57" s="96">
        <f t="shared" ref="I57:T57" si="48">H57*(1+$X$15)</f>
        <v>386.28</v>
      </c>
      <c r="J57" s="96">
        <f t="shared" si="48"/>
        <v>414.47843999999998</v>
      </c>
      <c r="K57" s="96">
        <f t="shared" si="48"/>
        <v>444.73536611999998</v>
      </c>
      <c r="L57" s="96">
        <f t="shared" si="48"/>
        <v>477.20104784675993</v>
      </c>
      <c r="M57" s="96">
        <f t="shared" si="48"/>
        <v>512.03672433957342</v>
      </c>
      <c r="N57" s="96">
        <f t="shared" si="48"/>
        <v>549.41540521636227</v>
      </c>
      <c r="O57" s="96">
        <f t="shared" si="48"/>
        <v>589.52272979715667</v>
      </c>
      <c r="P57" s="96">
        <f t="shared" si="48"/>
        <v>632.5578890723491</v>
      </c>
      <c r="Q57" s="96">
        <f t="shared" si="48"/>
        <v>678.73461497463052</v>
      </c>
      <c r="R57" s="96">
        <f t="shared" si="48"/>
        <v>728.28224186777857</v>
      </c>
      <c r="S57" s="96">
        <f t="shared" si="48"/>
        <v>781.44684552412639</v>
      </c>
      <c r="T57" s="96">
        <f t="shared" si="48"/>
        <v>838.4924652473876</v>
      </c>
      <c r="U57" s="436"/>
    </row>
    <row r="58" spans="2:21">
      <c r="B58" s="95"/>
      <c r="C58" s="430"/>
      <c r="D58" s="95"/>
      <c r="E58" s="95"/>
      <c r="F58" s="95"/>
      <c r="G58" s="95"/>
      <c r="H58" s="496" t="s">
        <v>4132</v>
      </c>
      <c r="I58" s="497"/>
      <c r="J58" s="497"/>
      <c r="K58" s="497"/>
      <c r="L58" s="497"/>
      <c r="M58" s="497"/>
      <c r="N58" s="497"/>
      <c r="O58" s="497"/>
      <c r="P58" s="497"/>
      <c r="Q58" s="497"/>
      <c r="R58" s="497"/>
      <c r="S58" s="497"/>
      <c r="T58" s="497"/>
    </row>
    <row r="59" spans="2:21" ht="25.5">
      <c r="B59" s="499" t="s">
        <v>4165</v>
      </c>
      <c r="C59" s="400" t="s">
        <v>4159</v>
      </c>
      <c r="D59" s="95"/>
      <c r="E59" s="95"/>
      <c r="F59" s="95"/>
      <c r="G59" s="95"/>
      <c r="H59" s="96">
        <f t="shared" ref="H59:T59" si="49">H51*H55</f>
        <v>1725000</v>
      </c>
      <c r="I59" s="96">
        <f t="shared" si="49"/>
        <v>2716875</v>
      </c>
      <c r="J59" s="96">
        <f t="shared" si="49"/>
        <v>3423262.5</v>
      </c>
      <c r="K59" s="96">
        <f t="shared" si="49"/>
        <v>3993806.25</v>
      </c>
      <c r="L59" s="96">
        <f t="shared" si="49"/>
        <v>4193496.5625000005</v>
      </c>
      <c r="M59" s="96">
        <f t="shared" si="49"/>
        <v>4403171.3906250009</v>
      </c>
      <c r="N59" s="96">
        <f t="shared" si="49"/>
        <v>4623329.9601562517</v>
      </c>
      <c r="O59" s="96">
        <f t="shared" si="49"/>
        <v>4854496.4581640642</v>
      </c>
      <c r="P59" s="96">
        <f t="shared" si="49"/>
        <v>5097221.2810722673</v>
      </c>
      <c r="Q59" s="96">
        <f t="shared" si="49"/>
        <v>5352082.345125881</v>
      </c>
      <c r="R59" s="96">
        <f t="shared" si="49"/>
        <v>5619686.462382176</v>
      </c>
      <c r="S59" s="96">
        <f t="shared" si="49"/>
        <v>5900670.7855012845</v>
      </c>
      <c r="T59" s="96">
        <f t="shared" si="49"/>
        <v>6195704.3247763487</v>
      </c>
      <c r="U59" s="227" t="s">
        <v>4181</v>
      </c>
    </row>
    <row r="60" spans="2:21" ht="25.5">
      <c r="B60" s="499"/>
      <c r="C60" s="400" t="s">
        <v>4125</v>
      </c>
      <c r="D60" s="95"/>
      <c r="E60" s="95"/>
      <c r="F60" s="95"/>
      <c r="G60" s="95"/>
      <c r="H60" s="96">
        <f t="shared" ref="H60:T60" si="50">H52*H56</f>
        <v>263250</v>
      </c>
      <c r="I60" s="96">
        <f t="shared" si="50"/>
        <v>423700.87499999994</v>
      </c>
      <c r="J60" s="96">
        <f t="shared" si="50"/>
        <v>545557.24664999987</v>
      </c>
      <c r="K60" s="96">
        <f t="shared" si="50"/>
        <v>650425.47295049985</v>
      </c>
      <c r="L60" s="96">
        <f t="shared" si="50"/>
        <v>697906.5324758864</v>
      </c>
      <c r="M60" s="96">
        <f t="shared" si="50"/>
        <v>748853.70934662595</v>
      </c>
      <c r="N60" s="96">
        <f t="shared" si="50"/>
        <v>803520.03012892965</v>
      </c>
      <c r="O60" s="96">
        <f t="shared" si="50"/>
        <v>862176.99232834147</v>
      </c>
      <c r="P60" s="96">
        <f t="shared" si="50"/>
        <v>925115.9127683104</v>
      </c>
      <c r="Q60" s="96">
        <f t="shared" si="50"/>
        <v>992649.37440039706</v>
      </c>
      <c r="R60" s="96">
        <f t="shared" si="50"/>
        <v>1065112.778731626</v>
      </c>
      <c r="S60" s="96">
        <f t="shared" si="50"/>
        <v>1142866.0115790346</v>
      </c>
      <c r="T60" s="96">
        <f t="shared" si="50"/>
        <v>1226295.2304243043</v>
      </c>
      <c r="U60" s="155" t="s">
        <v>4186</v>
      </c>
    </row>
    <row r="61" spans="2:21" ht="25.5">
      <c r="B61" s="499"/>
      <c r="C61" s="400" t="s">
        <v>4126</v>
      </c>
      <c r="D61" s="95"/>
      <c r="E61" s="95"/>
      <c r="F61" s="95"/>
      <c r="G61" s="95"/>
      <c r="H61" s="96">
        <f t="shared" ref="H61:T61" si="51">H53*H57</f>
        <v>351000</v>
      </c>
      <c r="I61" s="96">
        <f t="shared" si="51"/>
        <v>564934.5</v>
      </c>
      <c r="J61" s="96">
        <f t="shared" si="51"/>
        <v>727409.6621999999</v>
      </c>
      <c r="K61" s="96">
        <f t="shared" si="51"/>
        <v>867233.963934</v>
      </c>
      <c r="L61" s="96">
        <f t="shared" si="51"/>
        <v>930542.04330118187</v>
      </c>
      <c r="M61" s="96">
        <f t="shared" si="51"/>
        <v>998471.61246216821</v>
      </c>
      <c r="N61" s="96">
        <f t="shared" si="51"/>
        <v>1071360.0401719064</v>
      </c>
      <c r="O61" s="96">
        <f t="shared" si="51"/>
        <v>1149569.3231044556</v>
      </c>
      <c r="P61" s="96">
        <f t="shared" si="51"/>
        <v>1233487.8836910808</v>
      </c>
      <c r="Q61" s="96">
        <f t="shared" si="51"/>
        <v>1323532.4992005294</v>
      </c>
      <c r="R61" s="96">
        <f t="shared" si="51"/>
        <v>1420150.3716421681</v>
      </c>
      <c r="S61" s="96">
        <f t="shared" si="51"/>
        <v>1523821.3487720464</v>
      </c>
      <c r="T61" s="96">
        <f t="shared" si="51"/>
        <v>1635060.3072324058</v>
      </c>
      <c r="U61" s="227" t="s">
        <v>4183</v>
      </c>
    </row>
  </sheetData>
  <mergeCells count="40">
    <mergeCell ref="V13:X13"/>
    <mergeCell ref="V1:X1"/>
    <mergeCell ref="A31:B31"/>
    <mergeCell ref="B24:C24"/>
    <mergeCell ref="B13:C13"/>
    <mergeCell ref="B14:C14"/>
    <mergeCell ref="B15:C15"/>
    <mergeCell ref="B16:C16"/>
    <mergeCell ref="B17:C17"/>
    <mergeCell ref="B23:C23"/>
    <mergeCell ref="B12:C12"/>
    <mergeCell ref="B1:C1"/>
    <mergeCell ref="B2:C2"/>
    <mergeCell ref="B3:C3"/>
    <mergeCell ref="B25:C25"/>
    <mergeCell ref="B26:C26"/>
    <mergeCell ref="B4:C4"/>
    <mergeCell ref="B5:C5"/>
    <mergeCell ref="B6:C6"/>
    <mergeCell ref="B7:C7"/>
    <mergeCell ref="B8:C8"/>
    <mergeCell ref="B9:C9"/>
    <mergeCell ref="B10:C10"/>
    <mergeCell ref="B11:C11"/>
    <mergeCell ref="B18:C18"/>
    <mergeCell ref="B19:C19"/>
    <mergeCell ref="B20:C20"/>
    <mergeCell ref="B59:B61"/>
    <mergeCell ref="H50:T50"/>
    <mergeCell ref="B51:B53"/>
    <mergeCell ref="H54:T54"/>
    <mergeCell ref="B55:B57"/>
    <mergeCell ref="H58:T58"/>
    <mergeCell ref="B21:C21"/>
    <mergeCell ref="B22:C22"/>
    <mergeCell ref="A32:B32"/>
    <mergeCell ref="B27:C27"/>
    <mergeCell ref="B28:C28"/>
    <mergeCell ref="B29:C29"/>
    <mergeCell ref="A30:B30"/>
  </mergeCells>
  <phoneticPr fontId="4" type="noConversion"/>
  <pageMargins left="0" right="0" top="0" bottom="0" header="0" footer="0"/>
  <pageSetup paperSize="0" orientation="portrait" horizontalDpi="300" verticalDpi="300"/>
  <rowBreaks count="32" manualBreakCount="32">
    <brk id="1" max="16383" man="1"/>
    <brk id="2" max="16383" man="1"/>
    <brk id="3" max="16383" man="1"/>
    <brk id="4" max="16383" man="1"/>
    <brk id="5" max="16383" man="1"/>
    <brk id="6" max="16383" man="1"/>
    <brk id="7" max="16383" man="1"/>
    <brk id="8" max="16383" man="1"/>
    <brk id="9" max="16383" man="1"/>
    <brk id="10" max="16383" man="1"/>
    <brk id="11" max="16383" man="1"/>
    <brk id="12" max="16383" man="1"/>
    <brk id="13" max="16383" man="1"/>
    <brk id="14" max="16383" man="1"/>
    <brk id="15" max="16383" man="1"/>
    <brk id="16" max="16383" man="1"/>
    <brk id="17" max="16383" man="1"/>
    <brk id="18" max="16383" man="1"/>
    <brk id="19" max="16383" man="1"/>
    <brk id="20" max="16383" man="1"/>
    <brk id="21" max="16383" man="1"/>
    <brk id="22" max="16383" man="1"/>
    <brk id="23" max="16383" man="1"/>
    <brk id="24" max="16383" man="1"/>
    <brk id="25" max="16383" man="1"/>
    <brk id="26" max="16383" man="1"/>
    <brk id="27" max="16383" man="1"/>
    <brk id="28" max="16383" man="1"/>
    <brk id="29" max="16383" man="1"/>
    <brk id="30" max="16383" man="1"/>
    <brk id="31" max="16383" man="1"/>
    <brk id="3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Z20"/>
  <sheetViews>
    <sheetView workbookViewId="0">
      <selection activeCell="A13" sqref="A13:E13"/>
    </sheetView>
  </sheetViews>
  <sheetFormatPr defaultColWidth="8.85546875" defaultRowHeight="12.75"/>
  <cols>
    <col min="1" max="1" width="4.42578125" style="180" customWidth="1"/>
    <col min="2" max="2" width="27.140625" style="180" customWidth="1"/>
    <col min="3" max="3" width="2.7109375" style="180" customWidth="1"/>
    <col min="4" max="4" width="9" style="180" customWidth="1"/>
    <col min="5" max="5" width="10.42578125" style="180" customWidth="1"/>
    <col min="6" max="6" width="12" style="180" customWidth="1"/>
    <col min="7" max="7" width="16.140625" style="180" customWidth="1"/>
    <col min="8" max="8" width="13.42578125" style="180" customWidth="1"/>
    <col min="9" max="9" width="19.28515625" style="180" customWidth="1"/>
    <col min="10" max="10" width="3.140625" style="180" customWidth="1"/>
    <col min="11" max="11" width="12" style="180" customWidth="1"/>
    <col min="12" max="12" width="11.140625" style="180" customWidth="1"/>
    <col min="13" max="13" width="10" style="180" customWidth="1"/>
    <col min="14" max="14" width="12.140625" style="180" customWidth="1"/>
    <col min="15" max="15" width="11.140625" style="180" customWidth="1"/>
    <col min="16" max="16" width="12" style="180" customWidth="1"/>
    <col min="17" max="17" width="11.140625" style="180" customWidth="1"/>
    <col min="18" max="18" width="10" style="180" customWidth="1"/>
    <col min="19" max="19" width="12.140625" style="180" customWidth="1"/>
    <col min="20" max="20" width="11.140625" style="180" customWidth="1"/>
    <col min="21" max="21" width="12" style="180" customWidth="1"/>
    <col min="22" max="22" width="11.140625" style="180" customWidth="1"/>
    <col min="23" max="23" width="10" style="180" customWidth="1"/>
    <col min="24" max="24" width="12.140625" style="180" customWidth="1"/>
    <col min="25" max="25" width="11.140625" style="180" customWidth="1"/>
    <col min="26" max="26" width="12" style="180" customWidth="1"/>
    <col min="27" max="16384" width="8.85546875" style="180"/>
  </cols>
  <sheetData>
    <row r="1" spans="1:26" ht="62.45" customHeight="1">
      <c r="A1" s="514" t="s">
        <v>0</v>
      </c>
      <c r="B1" s="514" t="s">
        <v>1040</v>
      </c>
      <c r="C1" s="514"/>
      <c r="D1" s="514" t="s">
        <v>1041</v>
      </c>
      <c r="E1" s="514" t="s">
        <v>1042</v>
      </c>
      <c r="F1" s="514" t="s">
        <v>1043</v>
      </c>
      <c r="G1" s="514" t="s">
        <v>1044</v>
      </c>
      <c r="H1" s="514" t="s">
        <v>4168</v>
      </c>
      <c r="I1" s="514" t="s">
        <v>4169</v>
      </c>
      <c r="J1" s="514"/>
      <c r="K1" s="187" t="s">
        <v>4170</v>
      </c>
      <c r="L1" s="514" t="s">
        <v>1046</v>
      </c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</row>
    <row r="2" spans="1:26" ht="40.5" customHeight="1">
      <c r="A2" s="514" t="s">
        <v>0</v>
      </c>
      <c r="B2" s="514" t="s">
        <v>1040</v>
      </c>
      <c r="C2" s="514"/>
      <c r="D2" s="514" t="s">
        <v>1041</v>
      </c>
      <c r="E2" s="514" t="s">
        <v>1042</v>
      </c>
      <c r="F2" s="514" t="s">
        <v>1043</v>
      </c>
      <c r="G2" s="514" t="s">
        <v>1044</v>
      </c>
      <c r="H2" s="514" t="s">
        <v>1045</v>
      </c>
      <c r="I2" s="514"/>
      <c r="J2" s="514"/>
      <c r="K2" s="188"/>
      <c r="L2" s="514" t="s">
        <v>1046</v>
      </c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</row>
    <row r="3" spans="1:26" ht="27.6" customHeight="1">
      <c r="A3" s="514" t="s">
        <v>0</v>
      </c>
      <c r="B3" s="514" t="s">
        <v>1040</v>
      </c>
      <c r="C3" s="514"/>
      <c r="D3" s="514" t="s">
        <v>1041</v>
      </c>
      <c r="E3" s="514" t="s">
        <v>1042</v>
      </c>
      <c r="F3" s="514" t="s">
        <v>1043</v>
      </c>
      <c r="G3" s="514" t="s">
        <v>1048</v>
      </c>
      <c r="H3" s="514" t="s">
        <v>1048</v>
      </c>
      <c r="I3" s="514" t="s">
        <v>1049</v>
      </c>
      <c r="J3" s="514"/>
      <c r="K3" s="514" t="s">
        <v>1048</v>
      </c>
      <c r="L3" s="515" t="s">
        <v>323</v>
      </c>
      <c r="M3" s="515"/>
      <c r="N3" s="516" t="s">
        <v>1050</v>
      </c>
      <c r="O3" s="516"/>
      <c r="P3" s="514" t="s">
        <v>1051</v>
      </c>
      <c r="Q3" s="515" t="s">
        <v>324</v>
      </c>
      <c r="R3" s="515"/>
      <c r="S3" s="516" t="s">
        <v>1050</v>
      </c>
      <c r="T3" s="516"/>
      <c r="U3" s="514" t="s">
        <v>1051</v>
      </c>
      <c r="V3" s="515" t="s">
        <v>361</v>
      </c>
      <c r="W3" s="515"/>
      <c r="X3" s="516" t="s">
        <v>1050</v>
      </c>
      <c r="Y3" s="516"/>
      <c r="Z3" s="514" t="s">
        <v>1051</v>
      </c>
    </row>
    <row r="4" spans="1:26" ht="13.7" customHeight="1">
      <c r="A4" s="514" t="s">
        <v>0</v>
      </c>
      <c r="B4" s="514" t="s">
        <v>1040</v>
      </c>
      <c r="C4" s="514"/>
      <c r="D4" s="514" t="s">
        <v>1041</v>
      </c>
      <c r="E4" s="514" t="s">
        <v>1042</v>
      </c>
      <c r="F4" s="514" t="s">
        <v>1043</v>
      </c>
      <c r="G4" s="514" t="s">
        <v>1048</v>
      </c>
      <c r="H4" s="514" t="s">
        <v>1048</v>
      </c>
      <c r="I4" s="514" t="s">
        <v>1049</v>
      </c>
      <c r="J4" s="514"/>
      <c r="K4" s="514" t="s">
        <v>1048</v>
      </c>
      <c r="L4" s="189" t="s">
        <v>50</v>
      </c>
      <c r="M4" s="189" t="s">
        <v>1052</v>
      </c>
      <c r="N4" s="189" t="s">
        <v>1053</v>
      </c>
      <c r="O4" s="189" t="s">
        <v>1054</v>
      </c>
      <c r="P4" s="514" t="s">
        <v>1051</v>
      </c>
      <c r="Q4" s="189" t="s">
        <v>50</v>
      </c>
      <c r="R4" s="189" t="s">
        <v>1052</v>
      </c>
      <c r="S4" s="189" t="s">
        <v>1053</v>
      </c>
      <c r="T4" s="189" t="s">
        <v>1054</v>
      </c>
      <c r="U4" s="514" t="s">
        <v>1051</v>
      </c>
      <c r="V4" s="189" t="s">
        <v>50</v>
      </c>
      <c r="W4" s="189" t="s">
        <v>1052</v>
      </c>
      <c r="X4" s="189" t="s">
        <v>1053</v>
      </c>
      <c r="Y4" s="189" t="s">
        <v>1054</v>
      </c>
      <c r="Z4" s="514" t="s">
        <v>1051</v>
      </c>
    </row>
    <row r="5" spans="1:26" ht="13.7" customHeight="1">
      <c r="A5" s="514" t="s">
        <v>7</v>
      </c>
      <c r="B5" s="517" t="s">
        <v>4167</v>
      </c>
      <c r="C5" s="517"/>
      <c r="D5" s="518" t="s">
        <v>1056</v>
      </c>
      <c r="E5" s="519">
        <v>1</v>
      </c>
      <c r="F5" s="403" t="s">
        <v>1057</v>
      </c>
      <c r="G5" s="182">
        <f>P5+U5+Z5</f>
        <v>1512000</v>
      </c>
      <c r="H5" s="182" t="s">
        <v>17</v>
      </c>
      <c r="I5" s="183" t="s">
        <v>17</v>
      </c>
      <c r="J5" s="184" t="s">
        <v>17</v>
      </c>
      <c r="K5" s="182">
        <v>0</v>
      </c>
      <c r="L5" s="190"/>
      <c r="M5" s="190" t="s">
        <v>17</v>
      </c>
      <c r="N5" s="190" t="s">
        <v>17</v>
      </c>
      <c r="O5" s="190"/>
      <c r="P5" s="191">
        <v>0</v>
      </c>
      <c r="Q5" s="190">
        <v>512000</v>
      </c>
      <c r="R5" s="190">
        <v>1000000</v>
      </c>
      <c r="S5" s="190" t="s">
        <v>17</v>
      </c>
      <c r="T5" s="190" t="s">
        <v>17</v>
      </c>
      <c r="U5" s="191">
        <f>Q5+R5</f>
        <v>1512000</v>
      </c>
      <c r="V5" s="190" t="s">
        <v>17</v>
      </c>
      <c r="W5" s="190" t="s">
        <v>17</v>
      </c>
      <c r="X5" s="190" t="s">
        <v>17</v>
      </c>
      <c r="Y5" s="190" t="s">
        <v>17</v>
      </c>
      <c r="Z5" s="191"/>
    </row>
    <row r="6" spans="1:26" ht="13.7" customHeight="1">
      <c r="A6" s="514" t="s">
        <v>7</v>
      </c>
      <c r="B6" s="517" t="s">
        <v>1055</v>
      </c>
      <c r="C6" s="517"/>
      <c r="D6" s="518" t="s">
        <v>1056</v>
      </c>
      <c r="E6" s="519">
        <v>1</v>
      </c>
      <c r="F6" s="403" t="s">
        <v>1057</v>
      </c>
      <c r="G6" s="182">
        <f t="shared" ref="G6:G14" si="0">P6+U6+Z6</f>
        <v>1512000</v>
      </c>
      <c r="H6" s="182">
        <f>G6*0.3</f>
        <v>453600</v>
      </c>
      <c r="I6" s="183">
        <v>30</v>
      </c>
      <c r="J6" s="184" t="s">
        <v>1058</v>
      </c>
      <c r="K6" s="182">
        <v>0</v>
      </c>
      <c r="L6" s="190" t="s">
        <v>17</v>
      </c>
      <c r="M6" s="190" t="s">
        <v>17</v>
      </c>
      <c r="N6" s="190" t="s">
        <v>17</v>
      </c>
      <c r="O6" s="190" t="s">
        <v>17</v>
      </c>
      <c r="P6" s="191">
        <v>0</v>
      </c>
      <c r="Q6" s="190">
        <f>Q5</f>
        <v>512000</v>
      </c>
      <c r="R6" s="190">
        <v>1000000</v>
      </c>
      <c r="S6" s="190" t="s">
        <v>17</v>
      </c>
      <c r="T6" s="190" t="s">
        <v>17</v>
      </c>
      <c r="U6" s="191">
        <f>Q6+R6</f>
        <v>1512000</v>
      </c>
      <c r="V6" s="190" t="s">
        <v>17</v>
      </c>
      <c r="W6" s="190" t="s">
        <v>17</v>
      </c>
      <c r="X6" s="190" t="s">
        <v>17</v>
      </c>
      <c r="Y6" s="190" t="s">
        <v>17</v>
      </c>
      <c r="Z6" s="191"/>
    </row>
    <row r="7" spans="1:26" ht="13.7" customHeight="1">
      <c r="A7" s="514">
        <v>2</v>
      </c>
      <c r="B7" s="517" t="s">
        <v>1059</v>
      </c>
      <c r="C7" s="517"/>
      <c r="D7" s="518" t="s">
        <v>1056</v>
      </c>
      <c r="E7" s="519">
        <v>1</v>
      </c>
      <c r="F7" s="403" t="s">
        <v>1057</v>
      </c>
      <c r="G7" s="182">
        <f t="shared" si="0"/>
        <v>900000</v>
      </c>
      <c r="H7" s="182" t="s">
        <v>17</v>
      </c>
      <c r="I7" s="183" t="s">
        <v>17</v>
      </c>
      <c r="J7" s="184" t="s">
        <v>17</v>
      </c>
      <c r="K7" s="182">
        <v>0</v>
      </c>
      <c r="L7" s="190" t="s">
        <v>17</v>
      </c>
      <c r="M7" s="190" t="s">
        <v>17</v>
      </c>
      <c r="N7" s="190" t="s">
        <v>17</v>
      </c>
      <c r="O7" s="190" t="s">
        <v>17</v>
      </c>
      <c r="P7" s="191">
        <v>0</v>
      </c>
      <c r="Q7" s="190" t="s">
        <v>17</v>
      </c>
      <c r="R7" s="190" t="s">
        <v>17</v>
      </c>
      <c r="S7" s="190" t="s">
        <v>17</v>
      </c>
      <c r="T7" s="190" t="s">
        <v>17</v>
      </c>
      <c r="U7" s="191">
        <v>0</v>
      </c>
      <c r="V7" s="190"/>
      <c r="W7" s="190">
        <v>300000</v>
      </c>
      <c r="X7" s="190">
        <v>600000</v>
      </c>
      <c r="Y7" s="190" t="s">
        <v>17</v>
      </c>
      <c r="Z7" s="191">
        <f>W7+X7</f>
        <v>900000</v>
      </c>
    </row>
    <row r="8" spans="1:26" ht="13.7" customHeight="1">
      <c r="A8" s="514" t="s">
        <v>9</v>
      </c>
      <c r="B8" s="517" t="s">
        <v>1059</v>
      </c>
      <c r="C8" s="517"/>
      <c r="D8" s="518" t="s">
        <v>1056</v>
      </c>
      <c r="E8" s="519">
        <v>1</v>
      </c>
      <c r="F8" s="403" t="s">
        <v>1057</v>
      </c>
      <c r="G8" s="182">
        <f t="shared" si="0"/>
        <v>900000</v>
      </c>
      <c r="H8" s="182">
        <f>G8*0.3</f>
        <v>270000</v>
      </c>
      <c r="I8" s="183">
        <v>30</v>
      </c>
      <c r="J8" s="184" t="s">
        <v>1058</v>
      </c>
      <c r="K8" s="182">
        <v>0</v>
      </c>
      <c r="L8" s="190" t="s">
        <v>17</v>
      </c>
      <c r="M8" s="190" t="s">
        <v>17</v>
      </c>
      <c r="N8" s="190" t="s">
        <v>17</v>
      </c>
      <c r="O8" s="190" t="s">
        <v>17</v>
      </c>
      <c r="P8" s="191">
        <v>0</v>
      </c>
      <c r="Q8" s="190" t="s">
        <v>17</v>
      </c>
      <c r="R8" s="190" t="s">
        <v>17</v>
      </c>
      <c r="S8" s="190" t="s">
        <v>17</v>
      </c>
      <c r="T8" s="190" t="s">
        <v>17</v>
      </c>
      <c r="U8" s="191">
        <v>0</v>
      </c>
      <c r="V8" s="190"/>
      <c r="W8" s="190">
        <v>300000</v>
      </c>
      <c r="X8" s="190">
        <v>600000</v>
      </c>
      <c r="Y8" s="190" t="s">
        <v>17</v>
      </c>
      <c r="Z8" s="191">
        <f>W8+X8</f>
        <v>900000</v>
      </c>
    </row>
    <row r="9" spans="1:26" ht="13.7" customHeight="1">
      <c r="A9" s="514">
        <v>3</v>
      </c>
      <c r="B9" s="517" t="s">
        <v>1060</v>
      </c>
      <c r="C9" s="517"/>
      <c r="D9" s="518" t="s">
        <v>1056</v>
      </c>
      <c r="E9" s="519">
        <v>1</v>
      </c>
      <c r="F9" s="403" t="s">
        <v>1057</v>
      </c>
      <c r="G9" s="182">
        <f t="shared" si="0"/>
        <v>650000</v>
      </c>
      <c r="H9" s="182" t="s">
        <v>17</v>
      </c>
      <c r="I9" s="183" t="s">
        <v>17</v>
      </c>
      <c r="J9" s="184" t="s">
        <v>17</v>
      </c>
      <c r="K9" s="182">
        <v>0</v>
      </c>
      <c r="L9" s="190" t="s">
        <v>17</v>
      </c>
      <c r="M9" s="190" t="s">
        <v>17</v>
      </c>
      <c r="N9" s="190" t="s">
        <v>17</v>
      </c>
      <c r="O9" s="190" t="s">
        <v>17</v>
      </c>
      <c r="P9" s="191">
        <v>0</v>
      </c>
      <c r="Q9" s="190" t="s">
        <v>17</v>
      </c>
      <c r="R9" s="190" t="s">
        <v>17</v>
      </c>
      <c r="S9" s="190" t="s">
        <v>17</v>
      </c>
      <c r="T9" s="190" t="s">
        <v>17</v>
      </c>
      <c r="U9" s="191">
        <v>0</v>
      </c>
      <c r="V9" s="190">
        <v>650000</v>
      </c>
      <c r="W9" s="190"/>
      <c r="X9" s="190" t="s">
        <v>17</v>
      </c>
      <c r="Y9" s="190" t="s">
        <v>17</v>
      </c>
      <c r="Z9" s="191">
        <f>V9+W9</f>
        <v>650000</v>
      </c>
    </row>
    <row r="10" spans="1:26" ht="13.7" customHeight="1">
      <c r="A10" s="514" t="s">
        <v>10</v>
      </c>
      <c r="B10" s="517" t="s">
        <v>1060</v>
      </c>
      <c r="C10" s="517"/>
      <c r="D10" s="518" t="s">
        <v>1056</v>
      </c>
      <c r="E10" s="519">
        <v>1</v>
      </c>
      <c r="F10" s="403" t="s">
        <v>1057</v>
      </c>
      <c r="G10" s="182">
        <f t="shared" si="0"/>
        <v>650000</v>
      </c>
      <c r="H10" s="182">
        <f>G10*0.3</f>
        <v>195000</v>
      </c>
      <c r="I10" s="183">
        <v>30</v>
      </c>
      <c r="J10" s="184" t="s">
        <v>1058</v>
      </c>
      <c r="K10" s="182">
        <v>0</v>
      </c>
      <c r="L10" s="190" t="s">
        <v>17</v>
      </c>
      <c r="M10" s="190" t="s">
        <v>17</v>
      </c>
      <c r="N10" s="190" t="s">
        <v>17</v>
      </c>
      <c r="O10" s="190" t="s">
        <v>17</v>
      </c>
      <c r="P10" s="191">
        <v>0</v>
      </c>
      <c r="Q10" s="190" t="s">
        <v>17</v>
      </c>
      <c r="R10" s="190" t="s">
        <v>17</v>
      </c>
      <c r="S10" s="190" t="s">
        <v>17</v>
      </c>
      <c r="T10" s="190" t="s">
        <v>17</v>
      </c>
      <c r="U10" s="191">
        <v>0</v>
      </c>
      <c r="V10" s="190">
        <v>650000</v>
      </c>
      <c r="W10" s="190"/>
      <c r="X10" s="190" t="s">
        <v>17</v>
      </c>
      <c r="Y10" s="190" t="s">
        <v>17</v>
      </c>
      <c r="Z10" s="191">
        <f>V10+W10</f>
        <v>650000</v>
      </c>
    </row>
    <row r="11" spans="1:26" ht="13.7" customHeight="1">
      <c r="A11" s="514">
        <v>4</v>
      </c>
      <c r="B11" s="517" t="s">
        <v>1061</v>
      </c>
      <c r="C11" s="517"/>
      <c r="D11" s="518" t="s">
        <v>17</v>
      </c>
      <c r="E11" s="519">
        <v>1</v>
      </c>
      <c r="F11" s="181" t="s">
        <v>1057</v>
      </c>
      <c r="G11" s="182">
        <f t="shared" si="0"/>
        <v>42000</v>
      </c>
      <c r="H11" s="182" t="s">
        <v>17</v>
      </c>
      <c r="I11" s="183" t="s">
        <v>17</v>
      </c>
      <c r="J11" s="184" t="s">
        <v>17</v>
      </c>
      <c r="K11" s="182">
        <v>0</v>
      </c>
      <c r="L11" s="190" t="s">
        <v>17</v>
      </c>
      <c r="M11" s="190" t="s">
        <v>17</v>
      </c>
      <c r="N11" s="190" t="s">
        <v>17</v>
      </c>
      <c r="O11" s="190">
        <v>42000</v>
      </c>
      <c r="P11" s="191">
        <f>O11</f>
        <v>42000</v>
      </c>
      <c r="Q11" s="190" t="s">
        <v>17</v>
      </c>
      <c r="R11" s="190" t="s">
        <v>17</v>
      </c>
      <c r="S11" s="190" t="s">
        <v>17</v>
      </c>
      <c r="T11" s="190" t="s">
        <v>17</v>
      </c>
      <c r="U11" s="191">
        <v>0</v>
      </c>
      <c r="V11" s="190" t="s">
        <v>17</v>
      </c>
      <c r="W11" s="190" t="s">
        <v>17</v>
      </c>
      <c r="X11" s="190" t="s">
        <v>17</v>
      </c>
      <c r="Y11" s="190" t="s">
        <v>17</v>
      </c>
      <c r="Z11" s="191">
        <v>0</v>
      </c>
    </row>
    <row r="12" spans="1:26" ht="13.7" customHeight="1">
      <c r="A12" s="514" t="s">
        <v>11</v>
      </c>
      <c r="B12" s="517" t="s">
        <v>1061</v>
      </c>
      <c r="C12" s="517"/>
      <c r="D12" s="518" t="s">
        <v>17</v>
      </c>
      <c r="E12" s="519">
        <v>0</v>
      </c>
      <c r="F12" s="181" t="s">
        <v>1057</v>
      </c>
      <c r="G12" s="182">
        <f t="shared" si="0"/>
        <v>42000</v>
      </c>
      <c r="H12" s="182">
        <f>G12*0.3</f>
        <v>12600</v>
      </c>
      <c r="I12" s="183">
        <v>30</v>
      </c>
      <c r="J12" s="184" t="s">
        <v>1058</v>
      </c>
      <c r="K12" s="182">
        <v>0</v>
      </c>
      <c r="L12" s="190" t="s">
        <v>17</v>
      </c>
      <c r="M12" s="190" t="s">
        <v>17</v>
      </c>
      <c r="N12" s="190" t="s">
        <v>17</v>
      </c>
      <c r="O12" s="190">
        <f>O11</f>
        <v>42000</v>
      </c>
      <c r="P12" s="191">
        <f>O12</f>
        <v>42000</v>
      </c>
      <c r="Q12" s="190" t="s">
        <v>17</v>
      </c>
      <c r="R12" s="190" t="s">
        <v>17</v>
      </c>
      <c r="S12" s="190" t="s">
        <v>17</v>
      </c>
      <c r="T12" s="190" t="s">
        <v>17</v>
      </c>
      <c r="U12" s="191">
        <v>0</v>
      </c>
      <c r="V12" s="190" t="s">
        <v>17</v>
      </c>
      <c r="W12" s="190" t="s">
        <v>17</v>
      </c>
      <c r="X12" s="190" t="s">
        <v>17</v>
      </c>
      <c r="Y12" s="190" t="s">
        <v>17</v>
      </c>
      <c r="Z12" s="191">
        <v>0</v>
      </c>
    </row>
    <row r="13" spans="1:26" s="6" customFormat="1" ht="13.7" customHeight="1">
      <c r="A13" s="521" t="s">
        <v>1062</v>
      </c>
      <c r="B13" s="521"/>
      <c r="C13" s="521"/>
      <c r="D13" s="521"/>
      <c r="E13" s="521"/>
      <c r="F13" s="192" t="s">
        <v>17</v>
      </c>
      <c r="G13" s="193">
        <f t="shared" si="0"/>
        <v>3104000</v>
      </c>
      <c r="H13" s="193" t="s">
        <v>17</v>
      </c>
      <c r="I13" s="194" t="s">
        <v>17</v>
      </c>
      <c r="J13" s="195" t="s">
        <v>17</v>
      </c>
      <c r="K13" s="193">
        <v>0</v>
      </c>
      <c r="L13" s="196">
        <v>0</v>
      </c>
      <c r="M13" s="196">
        <v>0</v>
      </c>
      <c r="N13" s="196">
        <v>0</v>
      </c>
      <c r="O13" s="196">
        <f>SUM(O12)</f>
        <v>42000</v>
      </c>
      <c r="P13" s="197">
        <f>P12</f>
        <v>42000</v>
      </c>
      <c r="Q13" s="196">
        <f>Q6</f>
        <v>512000</v>
      </c>
      <c r="R13" s="196">
        <f>R6</f>
        <v>1000000</v>
      </c>
      <c r="S13" s="196"/>
      <c r="T13" s="196"/>
      <c r="U13" s="197">
        <f>U6</f>
        <v>1512000</v>
      </c>
      <c r="V13" s="196">
        <f>V10</f>
        <v>650000</v>
      </c>
      <c r="W13" s="196">
        <f>W8</f>
        <v>300000</v>
      </c>
      <c r="X13" s="196">
        <f>X8</f>
        <v>600000</v>
      </c>
      <c r="Y13" s="196">
        <v>0</v>
      </c>
      <c r="Z13" s="197">
        <f>V13+W13+X13</f>
        <v>1550000</v>
      </c>
    </row>
    <row r="14" spans="1:26" s="6" customFormat="1" ht="13.7" customHeight="1">
      <c r="A14" s="198" t="s">
        <v>17</v>
      </c>
      <c r="B14" s="520" t="s">
        <v>1063</v>
      </c>
      <c r="C14" s="520"/>
      <c r="D14" s="520"/>
      <c r="E14" s="520"/>
      <c r="F14" s="192" t="s">
        <v>17</v>
      </c>
      <c r="G14" s="193">
        <f t="shared" si="0"/>
        <v>3104000</v>
      </c>
      <c r="H14" s="193">
        <f>SUM(H6:H12)</f>
        <v>931200</v>
      </c>
      <c r="I14" s="194">
        <v>30</v>
      </c>
      <c r="J14" s="195" t="s">
        <v>1058</v>
      </c>
      <c r="K14" s="193">
        <v>0</v>
      </c>
      <c r="L14" s="196">
        <v>0</v>
      </c>
      <c r="M14" s="196">
        <v>0</v>
      </c>
      <c r="N14" s="196">
        <v>0</v>
      </c>
      <c r="O14" s="196">
        <f>O13</f>
        <v>42000</v>
      </c>
      <c r="P14" s="197">
        <f>P13</f>
        <v>42000</v>
      </c>
      <c r="Q14" s="196">
        <f>Q13</f>
        <v>512000</v>
      </c>
      <c r="R14" s="196">
        <f>R13</f>
        <v>1000000</v>
      </c>
      <c r="S14" s="196"/>
      <c r="T14" s="196"/>
      <c r="U14" s="197">
        <f>U6</f>
        <v>1512000</v>
      </c>
      <c r="V14" s="196">
        <f>V13</f>
        <v>650000</v>
      </c>
      <c r="W14" s="196">
        <f t="shared" ref="W14:X14" si="1">W13</f>
        <v>300000</v>
      </c>
      <c r="X14" s="196">
        <f t="shared" si="1"/>
        <v>600000</v>
      </c>
      <c r="Y14" s="196">
        <v>0</v>
      </c>
      <c r="Z14" s="197">
        <f>Z13</f>
        <v>1550000</v>
      </c>
    </row>
    <row r="15" spans="1:26" s="6" customFormat="1" ht="13.7" customHeight="1">
      <c r="A15" s="522" t="s">
        <v>1064</v>
      </c>
      <c r="B15" s="522"/>
      <c r="C15" s="522"/>
      <c r="D15" s="522"/>
      <c r="E15" s="522"/>
      <c r="F15" s="192" t="s">
        <v>17</v>
      </c>
      <c r="G15" s="193">
        <v>0</v>
      </c>
      <c r="H15" s="193">
        <v>0</v>
      </c>
      <c r="I15" s="199" t="s">
        <v>17</v>
      </c>
      <c r="J15" s="195" t="s">
        <v>17</v>
      </c>
      <c r="K15" s="193">
        <v>0</v>
      </c>
      <c r="L15" s="196">
        <v>0</v>
      </c>
      <c r="M15" s="196">
        <v>0</v>
      </c>
      <c r="N15" s="196">
        <v>0</v>
      </c>
      <c r="O15" s="196">
        <v>0</v>
      </c>
      <c r="P15" s="197">
        <v>0</v>
      </c>
      <c r="Q15" s="196">
        <v>0</v>
      </c>
      <c r="R15" s="196">
        <v>0</v>
      </c>
      <c r="S15" s="196">
        <v>0</v>
      </c>
      <c r="T15" s="196">
        <v>0</v>
      </c>
      <c r="U15" s="197">
        <v>0</v>
      </c>
      <c r="V15" s="196">
        <v>0</v>
      </c>
      <c r="W15" s="196">
        <v>0</v>
      </c>
      <c r="X15" s="196">
        <v>0</v>
      </c>
      <c r="Y15" s="196">
        <v>0</v>
      </c>
      <c r="Z15" s="197">
        <v>0</v>
      </c>
    </row>
    <row r="16" spans="1:26" s="6" customFormat="1" ht="13.7" customHeight="1">
      <c r="A16" s="198" t="s">
        <v>17</v>
      </c>
      <c r="B16" s="520" t="s">
        <v>1065</v>
      </c>
      <c r="C16" s="520"/>
      <c r="D16" s="520"/>
      <c r="E16" s="520"/>
      <c r="F16" s="192" t="s">
        <v>17</v>
      </c>
      <c r="G16" s="193">
        <v>0</v>
      </c>
      <c r="H16" s="193" t="s">
        <v>17</v>
      </c>
      <c r="I16" s="194" t="s">
        <v>17</v>
      </c>
      <c r="J16" s="195" t="s">
        <v>17</v>
      </c>
      <c r="K16" s="193">
        <v>0</v>
      </c>
      <c r="L16" s="196">
        <v>0</v>
      </c>
      <c r="M16" s="196">
        <v>0</v>
      </c>
      <c r="N16" s="196">
        <v>0</v>
      </c>
      <c r="O16" s="196">
        <v>0</v>
      </c>
      <c r="P16" s="197">
        <v>0</v>
      </c>
      <c r="Q16" s="196">
        <v>0</v>
      </c>
      <c r="R16" s="196">
        <v>0</v>
      </c>
      <c r="S16" s="196">
        <v>0</v>
      </c>
      <c r="T16" s="196">
        <v>0</v>
      </c>
      <c r="U16" s="197">
        <v>0</v>
      </c>
      <c r="V16" s="196">
        <v>0</v>
      </c>
      <c r="W16" s="196">
        <v>0</v>
      </c>
      <c r="X16" s="196">
        <v>0</v>
      </c>
      <c r="Y16" s="196">
        <v>0</v>
      </c>
      <c r="Z16" s="197">
        <v>0</v>
      </c>
    </row>
    <row r="17" spans="1:26" ht="15.2" customHeight="1">
      <c r="A17" s="523"/>
      <c r="B17" s="523"/>
    </row>
    <row r="18" spans="1:26" ht="15.2" customHeight="1">
      <c r="B18" s="524" t="s">
        <v>1070</v>
      </c>
      <c r="C18" s="525"/>
      <c r="D18" s="186">
        <f>G14-H14</f>
        <v>2172800</v>
      </c>
    </row>
    <row r="19" spans="1:26" ht="15" customHeight="1">
      <c r="A19" s="185" t="s">
        <v>4077</v>
      </c>
      <c r="B19" s="524" t="s">
        <v>4166</v>
      </c>
      <c r="C19" s="526"/>
      <c r="D19" s="186">
        <f>H14</f>
        <v>931200</v>
      </c>
      <c r="G19" s="6"/>
      <c r="I19" s="6"/>
    </row>
    <row r="20" spans="1:26" ht="44.1" customHeight="1">
      <c r="A20" s="523"/>
      <c r="B20" s="523"/>
      <c r="G20" s="6"/>
      <c r="I20" s="6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</row>
  </sheetData>
  <mergeCells count="46">
    <mergeCell ref="A15:E15"/>
    <mergeCell ref="B16:E16"/>
    <mergeCell ref="A17:B17"/>
    <mergeCell ref="A20:B20"/>
    <mergeCell ref="B18:C18"/>
    <mergeCell ref="B19:C19"/>
    <mergeCell ref="B14:E14"/>
    <mergeCell ref="A7:A8"/>
    <mergeCell ref="B7:C8"/>
    <mergeCell ref="D7:D8"/>
    <mergeCell ref="E7:E8"/>
    <mergeCell ref="A9:A10"/>
    <mergeCell ref="B9:C10"/>
    <mergeCell ref="D9:D10"/>
    <mergeCell ref="E9:E10"/>
    <mergeCell ref="A11:A12"/>
    <mergeCell ref="B11:C12"/>
    <mergeCell ref="D11:D12"/>
    <mergeCell ref="E11:E12"/>
    <mergeCell ref="A13:E13"/>
    <mergeCell ref="X3:Y3"/>
    <mergeCell ref="A5:A6"/>
    <mergeCell ref="B5:C6"/>
    <mergeCell ref="D5:D6"/>
    <mergeCell ref="E5:E6"/>
    <mergeCell ref="A1:A4"/>
    <mergeCell ref="B1:C4"/>
    <mergeCell ref="D1:D4"/>
    <mergeCell ref="E1:E4"/>
    <mergeCell ref="F1:F4"/>
    <mergeCell ref="Z3:Z4"/>
    <mergeCell ref="H1:H2"/>
    <mergeCell ref="I1:J2"/>
    <mergeCell ref="L1:Z2"/>
    <mergeCell ref="G3:G4"/>
    <mergeCell ref="H3:H4"/>
    <mergeCell ref="I3:J4"/>
    <mergeCell ref="K3:K4"/>
    <mergeCell ref="L3:M3"/>
    <mergeCell ref="N3:O3"/>
    <mergeCell ref="P3:P4"/>
    <mergeCell ref="G1:G2"/>
    <mergeCell ref="Q3:R3"/>
    <mergeCell ref="S3:T3"/>
    <mergeCell ref="U3:U4"/>
    <mergeCell ref="V3:W3"/>
  </mergeCells>
  <pageMargins left="0" right="0" top="0" bottom="0" header="0" footer="0"/>
  <pageSetup paperSize="0" orientation="portrait" horizontalDpi="300" verticalDpi="300"/>
  <rowBreaks count="18" manualBreakCount="18">
    <brk id="1" max="16383" man="1"/>
    <brk id="2" max="16383" man="1"/>
    <brk id="3" max="16383" man="1"/>
    <brk id="4" max="16383" man="1"/>
    <brk id="5" max="16383" man="1"/>
    <brk id="6" max="16383" man="1"/>
    <brk id="7" max="16383" man="1"/>
    <brk id="8" max="16383" man="1"/>
    <brk id="9" max="16383" man="1"/>
    <brk id="10" max="16383" man="1"/>
    <brk id="11" max="16383" man="1"/>
    <brk id="12" max="16383" man="1"/>
    <brk id="13" max="16383" man="1"/>
    <brk id="14" max="16383" man="1"/>
    <brk id="15" max="16383" man="1"/>
    <brk id="16" max="16383" man="1"/>
    <brk id="18" max="16383" man="1"/>
    <brk id="1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B1:M2790"/>
  <sheetViews>
    <sheetView showGridLines="0" topLeftCell="A19" workbookViewId="0">
      <selection activeCell="A15" sqref="A15"/>
    </sheetView>
  </sheetViews>
  <sheetFormatPr defaultColWidth="8.85546875" defaultRowHeight="12.75"/>
  <cols>
    <col min="1" max="1" width="5.140625" style="200" customWidth="1"/>
    <col min="2" max="2" width="32.85546875" style="200" bestFit="1" customWidth="1"/>
    <col min="3" max="3" width="19" style="200" customWidth="1"/>
    <col min="4" max="4" width="14.140625" style="200" customWidth="1"/>
    <col min="5" max="6" width="18.28515625" style="200" customWidth="1"/>
    <col min="7" max="7" width="22.42578125" style="200" customWidth="1"/>
    <col min="8" max="8" width="1.85546875" style="200" customWidth="1"/>
    <col min="9" max="9" width="31.85546875" style="200" bestFit="1" customWidth="1"/>
    <col min="10" max="10" width="12.42578125" style="200" customWidth="1"/>
    <col min="11" max="11" width="15.85546875" style="200" customWidth="1"/>
    <col min="12" max="12" width="1.42578125" style="200" customWidth="1"/>
    <col min="13" max="13" width="20.28515625" style="200" bestFit="1" customWidth="1"/>
    <col min="14" max="15" width="8.85546875" style="200"/>
    <col min="16" max="16" width="10.140625" style="200" bestFit="1" customWidth="1"/>
    <col min="17" max="258" width="8.85546875" style="200"/>
    <col min="259" max="259" width="13.85546875" style="200" customWidth="1"/>
    <col min="260" max="260" width="19" style="200" customWidth="1"/>
    <col min="261" max="261" width="14.140625" style="200" customWidth="1"/>
    <col min="262" max="262" width="18.28515625" style="200" customWidth="1"/>
    <col min="263" max="263" width="22.42578125" style="200" customWidth="1"/>
    <col min="264" max="264" width="8.85546875" style="200"/>
    <col min="265" max="265" width="13.28515625" style="200" customWidth="1"/>
    <col min="266" max="266" width="12.42578125" style="200" customWidth="1"/>
    <col min="267" max="267" width="15.85546875" style="200" customWidth="1"/>
    <col min="268" max="268" width="8.85546875" style="200"/>
    <col min="269" max="269" width="21.7109375" style="200" bestFit="1" customWidth="1"/>
    <col min="270" max="271" width="8.85546875" style="200"/>
    <col min="272" max="272" width="10.140625" style="200" bestFit="1" customWidth="1"/>
    <col min="273" max="514" width="8.85546875" style="200"/>
    <col min="515" max="515" width="13.85546875" style="200" customWidth="1"/>
    <col min="516" max="516" width="19" style="200" customWidth="1"/>
    <col min="517" max="517" width="14.140625" style="200" customWidth="1"/>
    <col min="518" max="518" width="18.28515625" style="200" customWidth="1"/>
    <col min="519" max="519" width="22.42578125" style="200" customWidth="1"/>
    <col min="520" max="520" width="8.85546875" style="200"/>
    <col min="521" max="521" width="13.28515625" style="200" customWidth="1"/>
    <col min="522" max="522" width="12.42578125" style="200" customWidth="1"/>
    <col min="523" max="523" width="15.85546875" style="200" customWidth="1"/>
    <col min="524" max="524" width="8.85546875" style="200"/>
    <col min="525" max="525" width="21.7109375" style="200" bestFit="1" customWidth="1"/>
    <col min="526" max="527" width="8.85546875" style="200"/>
    <col min="528" max="528" width="10.140625" style="200" bestFit="1" customWidth="1"/>
    <col min="529" max="770" width="8.85546875" style="200"/>
    <col min="771" max="771" width="13.85546875" style="200" customWidth="1"/>
    <col min="772" max="772" width="19" style="200" customWidth="1"/>
    <col min="773" max="773" width="14.140625" style="200" customWidth="1"/>
    <col min="774" max="774" width="18.28515625" style="200" customWidth="1"/>
    <col min="775" max="775" width="22.42578125" style="200" customWidth="1"/>
    <col min="776" max="776" width="8.85546875" style="200"/>
    <col min="777" max="777" width="13.28515625" style="200" customWidth="1"/>
    <col min="778" max="778" width="12.42578125" style="200" customWidth="1"/>
    <col min="779" max="779" width="15.85546875" style="200" customWidth="1"/>
    <col min="780" max="780" width="8.85546875" style="200"/>
    <col min="781" max="781" width="21.7109375" style="200" bestFit="1" customWidth="1"/>
    <col min="782" max="783" width="8.85546875" style="200"/>
    <col min="784" max="784" width="10.140625" style="200" bestFit="1" customWidth="1"/>
    <col min="785" max="1026" width="8.85546875" style="200"/>
    <col min="1027" max="1027" width="13.85546875" style="200" customWidth="1"/>
    <col min="1028" max="1028" width="19" style="200" customWidth="1"/>
    <col min="1029" max="1029" width="14.140625" style="200" customWidth="1"/>
    <col min="1030" max="1030" width="18.28515625" style="200" customWidth="1"/>
    <col min="1031" max="1031" width="22.42578125" style="200" customWidth="1"/>
    <col min="1032" max="1032" width="8.85546875" style="200"/>
    <col min="1033" max="1033" width="13.28515625" style="200" customWidth="1"/>
    <col min="1034" max="1034" width="12.42578125" style="200" customWidth="1"/>
    <col min="1035" max="1035" width="15.85546875" style="200" customWidth="1"/>
    <col min="1036" max="1036" width="8.85546875" style="200"/>
    <col min="1037" max="1037" width="21.7109375" style="200" bestFit="1" customWidth="1"/>
    <col min="1038" max="1039" width="8.85546875" style="200"/>
    <col min="1040" max="1040" width="10.140625" style="200" bestFit="1" customWidth="1"/>
    <col min="1041" max="1282" width="8.85546875" style="200"/>
    <col min="1283" max="1283" width="13.85546875" style="200" customWidth="1"/>
    <col min="1284" max="1284" width="19" style="200" customWidth="1"/>
    <col min="1285" max="1285" width="14.140625" style="200" customWidth="1"/>
    <col min="1286" max="1286" width="18.28515625" style="200" customWidth="1"/>
    <col min="1287" max="1287" width="22.42578125" style="200" customWidth="1"/>
    <col min="1288" max="1288" width="8.85546875" style="200"/>
    <col min="1289" max="1289" width="13.28515625" style="200" customWidth="1"/>
    <col min="1290" max="1290" width="12.42578125" style="200" customWidth="1"/>
    <col min="1291" max="1291" width="15.85546875" style="200" customWidth="1"/>
    <col min="1292" max="1292" width="8.85546875" style="200"/>
    <col min="1293" max="1293" width="21.7109375" style="200" bestFit="1" customWidth="1"/>
    <col min="1294" max="1295" width="8.85546875" style="200"/>
    <col min="1296" max="1296" width="10.140625" style="200" bestFit="1" customWidth="1"/>
    <col min="1297" max="1538" width="8.85546875" style="200"/>
    <col min="1539" max="1539" width="13.85546875" style="200" customWidth="1"/>
    <col min="1540" max="1540" width="19" style="200" customWidth="1"/>
    <col min="1541" max="1541" width="14.140625" style="200" customWidth="1"/>
    <col min="1542" max="1542" width="18.28515625" style="200" customWidth="1"/>
    <col min="1543" max="1543" width="22.42578125" style="200" customWidth="1"/>
    <col min="1544" max="1544" width="8.85546875" style="200"/>
    <col min="1545" max="1545" width="13.28515625" style="200" customWidth="1"/>
    <col min="1546" max="1546" width="12.42578125" style="200" customWidth="1"/>
    <col min="1547" max="1547" width="15.85546875" style="200" customWidth="1"/>
    <col min="1548" max="1548" width="8.85546875" style="200"/>
    <col min="1549" max="1549" width="21.7109375" style="200" bestFit="1" customWidth="1"/>
    <col min="1550" max="1551" width="8.85546875" style="200"/>
    <col min="1552" max="1552" width="10.140625" style="200" bestFit="1" customWidth="1"/>
    <col min="1553" max="1794" width="8.85546875" style="200"/>
    <col min="1795" max="1795" width="13.85546875" style="200" customWidth="1"/>
    <col min="1796" max="1796" width="19" style="200" customWidth="1"/>
    <col min="1797" max="1797" width="14.140625" style="200" customWidth="1"/>
    <col min="1798" max="1798" width="18.28515625" style="200" customWidth="1"/>
    <col min="1799" max="1799" width="22.42578125" style="200" customWidth="1"/>
    <col min="1800" max="1800" width="8.85546875" style="200"/>
    <col min="1801" max="1801" width="13.28515625" style="200" customWidth="1"/>
    <col min="1802" max="1802" width="12.42578125" style="200" customWidth="1"/>
    <col min="1803" max="1803" width="15.85546875" style="200" customWidth="1"/>
    <col min="1804" max="1804" width="8.85546875" style="200"/>
    <col min="1805" max="1805" width="21.7109375" style="200" bestFit="1" customWidth="1"/>
    <col min="1806" max="1807" width="8.85546875" style="200"/>
    <col min="1808" max="1808" width="10.140625" style="200" bestFit="1" customWidth="1"/>
    <col min="1809" max="2050" width="8.85546875" style="200"/>
    <col min="2051" max="2051" width="13.85546875" style="200" customWidth="1"/>
    <col min="2052" max="2052" width="19" style="200" customWidth="1"/>
    <col min="2053" max="2053" width="14.140625" style="200" customWidth="1"/>
    <col min="2054" max="2054" width="18.28515625" style="200" customWidth="1"/>
    <col min="2055" max="2055" width="22.42578125" style="200" customWidth="1"/>
    <col min="2056" max="2056" width="8.85546875" style="200"/>
    <col min="2057" max="2057" width="13.28515625" style="200" customWidth="1"/>
    <col min="2058" max="2058" width="12.42578125" style="200" customWidth="1"/>
    <col min="2059" max="2059" width="15.85546875" style="200" customWidth="1"/>
    <col min="2060" max="2060" width="8.85546875" style="200"/>
    <col min="2061" max="2061" width="21.7109375" style="200" bestFit="1" customWidth="1"/>
    <col min="2062" max="2063" width="8.85546875" style="200"/>
    <col min="2064" max="2064" width="10.140625" style="200" bestFit="1" customWidth="1"/>
    <col min="2065" max="2306" width="8.85546875" style="200"/>
    <col min="2307" max="2307" width="13.85546875" style="200" customWidth="1"/>
    <col min="2308" max="2308" width="19" style="200" customWidth="1"/>
    <col min="2309" max="2309" width="14.140625" style="200" customWidth="1"/>
    <col min="2310" max="2310" width="18.28515625" style="200" customWidth="1"/>
    <col min="2311" max="2311" width="22.42578125" style="200" customWidth="1"/>
    <col min="2312" max="2312" width="8.85546875" style="200"/>
    <col min="2313" max="2313" width="13.28515625" style="200" customWidth="1"/>
    <col min="2314" max="2314" width="12.42578125" style="200" customWidth="1"/>
    <col min="2315" max="2315" width="15.85546875" style="200" customWidth="1"/>
    <col min="2316" max="2316" width="8.85546875" style="200"/>
    <col min="2317" max="2317" width="21.7109375" style="200" bestFit="1" customWidth="1"/>
    <col min="2318" max="2319" width="8.85546875" style="200"/>
    <col min="2320" max="2320" width="10.140625" style="200" bestFit="1" customWidth="1"/>
    <col min="2321" max="2562" width="8.85546875" style="200"/>
    <col min="2563" max="2563" width="13.85546875" style="200" customWidth="1"/>
    <col min="2564" max="2564" width="19" style="200" customWidth="1"/>
    <col min="2565" max="2565" width="14.140625" style="200" customWidth="1"/>
    <col min="2566" max="2566" width="18.28515625" style="200" customWidth="1"/>
    <col min="2567" max="2567" width="22.42578125" style="200" customWidth="1"/>
    <col min="2568" max="2568" width="8.85546875" style="200"/>
    <col min="2569" max="2569" width="13.28515625" style="200" customWidth="1"/>
    <col min="2570" max="2570" width="12.42578125" style="200" customWidth="1"/>
    <col min="2571" max="2571" width="15.85546875" style="200" customWidth="1"/>
    <col min="2572" max="2572" width="8.85546875" style="200"/>
    <col min="2573" max="2573" width="21.7109375" style="200" bestFit="1" customWidth="1"/>
    <col min="2574" max="2575" width="8.85546875" style="200"/>
    <col min="2576" max="2576" width="10.140625" style="200" bestFit="1" customWidth="1"/>
    <col min="2577" max="2818" width="8.85546875" style="200"/>
    <col min="2819" max="2819" width="13.85546875" style="200" customWidth="1"/>
    <col min="2820" max="2820" width="19" style="200" customWidth="1"/>
    <col min="2821" max="2821" width="14.140625" style="200" customWidth="1"/>
    <col min="2822" max="2822" width="18.28515625" style="200" customWidth="1"/>
    <col min="2823" max="2823" width="22.42578125" style="200" customWidth="1"/>
    <col min="2824" max="2824" width="8.85546875" style="200"/>
    <col min="2825" max="2825" width="13.28515625" style="200" customWidth="1"/>
    <col min="2826" max="2826" width="12.42578125" style="200" customWidth="1"/>
    <col min="2827" max="2827" width="15.85546875" style="200" customWidth="1"/>
    <col min="2828" max="2828" width="8.85546875" style="200"/>
    <col min="2829" max="2829" width="21.7109375" style="200" bestFit="1" customWidth="1"/>
    <col min="2830" max="2831" width="8.85546875" style="200"/>
    <col min="2832" max="2832" width="10.140625" style="200" bestFit="1" customWidth="1"/>
    <col min="2833" max="3074" width="8.85546875" style="200"/>
    <col min="3075" max="3075" width="13.85546875" style="200" customWidth="1"/>
    <col min="3076" max="3076" width="19" style="200" customWidth="1"/>
    <col min="3077" max="3077" width="14.140625" style="200" customWidth="1"/>
    <col min="3078" max="3078" width="18.28515625" style="200" customWidth="1"/>
    <col min="3079" max="3079" width="22.42578125" style="200" customWidth="1"/>
    <col min="3080" max="3080" width="8.85546875" style="200"/>
    <col min="3081" max="3081" width="13.28515625" style="200" customWidth="1"/>
    <col min="3082" max="3082" width="12.42578125" style="200" customWidth="1"/>
    <col min="3083" max="3083" width="15.85546875" style="200" customWidth="1"/>
    <col min="3084" max="3084" width="8.85546875" style="200"/>
    <col min="3085" max="3085" width="21.7109375" style="200" bestFit="1" customWidth="1"/>
    <col min="3086" max="3087" width="8.85546875" style="200"/>
    <col min="3088" max="3088" width="10.140625" style="200" bestFit="1" customWidth="1"/>
    <col min="3089" max="3330" width="8.85546875" style="200"/>
    <col min="3331" max="3331" width="13.85546875" style="200" customWidth="1"/>
    <col min="3332" max="3332" width="19" style="200" customWidth="1"/>
    <col min="3333" max="3333" width="14.140625" style="200" customWidth="1"/>
    <col min="3334" max="3334" width="18.28515625" style="200" customWidth="1"/>
    <col min="3335" max="3335" width="22.42578125" style="200" customWidth="1"/>
    <col min="3336" max="3336" width="8.85546875" style="200"/>
    <col min="3337" max="3337" width="13.28515625" style="200" customWidth="1"/>
    <col min="3338" max="3338" width="12.42578125" style="200" customWidth="1"/>
    <col min="3339" max="3339" width="15.85546875" style="200" customWidth="1"/>
    <col min="3340" max="3340" width="8.85546875" style="200"/>
    <col min="3341" max="3341" width="21.7109375" style="200" bestFit="1" customWidth="1"/>
    <col min="3342" max="3343" width="8.85546875" style="200"/>
    <col min="3344" max="3344" width="10.140625" style="200" bestFit="1" customWidth="1"/>
    <col min="3345" max="3586" width="8.85546875" style="200"/>
    <col min="3587" max="3587" width="13.85546875" style="200" customWidth="1"/>
    <col min="3588" max="3588" width="19" style="200" customWidth="1"/>
    <col min="3589" max="3589" width="14.140625" style="200" customWidth="1"/>
    <col min="3590" max="3590" width="18.28515625" style="200" customWidth="1"/>
    <col min="3591" max="3591" width="22.42578125" style="200" customWidth="1"/>
    <col min="3592" max="3592" width="8.85546875" style="200"/>
    <col min="3593" max="3593" width="13.28515625" style="200" customWidth="1"/>
    <col min="3594" max="3594" width="12.42578125" style="200" customWidth="1"/>
    <col min="3595" max="3595" width="15.85546875" style="200" customWidth="1"/>
    <col min="3596" max="3596" width="8.85546875" style="200"/>
    <col min="3597" max="3597" width="21.7109375" style="200" bestFit="1" customWidth="1"/>
    <col min="3598" max="3599" width="8.85546875" style="200"/>
    <col min="3600" max="3600" width="10.140625" style="200" bestFit="1" customWidth="1"/>
    <col min="3601" max="3842" width="8.85546875" style="200"/>
    <col min="3843" max="3843" width="13.85546875" style="200" customWidth="1"/>
    <col min="3844" max="3844" width="19" style="200" customWidth="1"/>
    <col min="3845" max="3845" width="14.140625" style="200" customWidth="1"/>
    <col min="3846" max="3846" width="18.28515625" style="200" customWidth="1"/>
    <col min="3847" max="3847" width="22.42578125" style="200" customWidth="1"/>
    <col min="3848" max="3848" width="8.85546875" style="200"/>
    <col min="3849" max="3849" width="13.28515625" style="200" customWidth="1"/>
    <col min="3850" max="3850" width="12.42578125" style="200" customWidth="1"/>
    <col min="3851" max="3851" width="15.85546875" style="200" customWidth="1"/>
    <col min="3852" max="3852" width="8.85546875" style="200"/>
    <col min="3853" max="3853" width="21.7109375" style="200" bestFit="1" customWidth="1"/>
    <col min="3854" max="3855" width="8.85546875" style="200"/>
    <col min="3856" max="3856" width="10.140625" style="200" bestFit="1" customWidth="1"/>
    <col min="3857" max="4098" width="8.85546875" style="200"/>
    <col min="4099" max="4099" width="13.85546875" style="200" customWidth="1"/>
    <col min="4100" max="4100" width="19" style="200" customWidth="1"/>
    <col min="4101" max="4101" width="14.140625" style="200" customWidth="1"/>
    <col min="4102" max="4102" width="18.28515625" style="200" customWidth="1"/>
    <col min="4103" max="4103" width="22.42578125" style="200" customWidth="1"/>
    <col min="4104" max="4104" width="8.85546875" style="200"/>
    <col min="4105" max="4105" width="13.28515625" style="200" customWidth="1"/>
    <col min="4106" max="4106" width="12.42578125" style="200" customWidth="1"/>
    <col min="4107" max="4107" width="15.85546875" style="200" customWidth="1"/>
    <col min="4108" max="4108" width="8.85546875" style="200"/>
    <col min="4109" max="4109" width="21.7109375" style="200" bestFit="1" customWidth="1"/>
    <col min="4110" max="4111" width="8.85546875" style="200"/>
    <col min="4112" max="4112" width="10.140625" style="200" bestFit="1" customWidth="1"/>
    <col min="4113" max="4354" width="8.85546875" style="200"/>
    <col min="4355" max="4355" width="13.85546875" style="200" customWidth="1"/>
    <col min="4356" max="4356" width="19" style="200" customWidth="1"/>
    <col min="4357" max="4357" width="14.140625" style="200" customWidth="1"/>
    <col min="4358" max="4358" width="18.28515625" style="200" customWidth="1"/>
    <col min="4359" max="4359" width="22.42578125" style="200" customWidth="1"/>
    <col min="4360" max="4360" width="8.85546875" style="200"/>
    <col min="4361" max="4361" width="13.28515625" style="200" customWidth="1"/>
    <col min="4362" max="4362" width="12.42578125" style="200" customWidth="1"/>
    <col min="4363" max="4363" width="15.85546875" style="200" customWidth="1"/>
    <col min="4364" max="4364" width="8.85546875" style="200"/>
    <col min="4365" max="4365" width="21.7109375" style="200" bestFit="1" customWidth="1"/>
    <col min="4366" max="4367" width="8.85546875" style="200"/>
    <col min="4368" max="4368" width="10.140625" style="200" bestFit="1" customWidth="1"/>
    <col min="4369" max="4610" width="8.85546875" style="200"/>
    <col min="4611" max="4611" width="13.85546875" style="200" customWidth="1"/>
    <col min="4612" max="4612" width="19" style="200" customWidth="1"/>
    <col min="4613" max="4613" width="14.140625" style="200" customWidth="1"/>
    <col min="4614" max="4614" width="18.28515625" style="200" customWidth="1"/>
    <col min="4615" max="4615" width="22.42578125" style="200" customWidth="1"/>
    <col min="4616" max="4616" width="8.85546875" style="200"/>
    <col min="4617" max="4617" width="13.28515625" style="200" customWidth="1"/>
    <col min="4618" max="4618" width="12.42578125" style="200" customWidth="1"/>
    <col min="4619" max="4619" width="15.85546875" style="200" customWidth="1"/>
    <col min="4620" max="4620" width="8.85546875" style="200"/>
    <col min="4621" max="4621" width="21.7109375" style="200" bestFit="1" customWidth="1"/>
    <col min="4622" max="4623" width="8.85546875" style="200"/>
    <col min="4624" max="4624" width="10.140625" style="200" bestFit="1" customWidth="1"/>
    <col min="4625" max="4866" width="8.85546875" style="200"/>
    <col min="4867" max="4867" width="13.85546875" style="200" customWidth="1"/>
    <col min="4868" max="4868" width="19" style="200" customWidth="1"/>
    <col min="4869" max="4869" width="14.140625" style="200" customWidth="1"/>
    <col min="4870" max="4870" width="18.28515625" style="200" customWidth="1"/>
    <col min="4871" max="4871" width="22.42578125" style="200" customWidth="1"/>
    <col min="4872" max="4872" width="8.85546875" style="200"/>
    <col min="4873" max="4873" width="13.28515625" style="200" customWidth="1"/>
    <col min="4874" max="4874" width="12.42578125" style="200" customWidth="1"/>
    <col min="4875" max="4875" width="15.85546875" style="200" customWidth="1"/>
    <col min="4876" max="4876" width="8.85546875" style="200"/>
    <col min="4877" max="4877" width="21.7109375" style="200" bestFit="1" customWidth="1"/>
    <col min="4878" max="4879" width="8.85546875" style="200"/>
    <col min="4880" max="4880" width="10.140625" style="200" bestFit="1" customWidth="1"/>
    <col min="4881" max="5122" width="8.85546875" style="200"/>
    <col min="5123" max="5123" width="13.85546875" style="200" customWidth="1"/>
    <col min="5124" max="5124" width="19" style="200" customWidth="1"/>
    <col min="5125" max="5125" width="14.140625" style="200" customWidth="1"/>
    <col min="5126" max="5126" width="18.28515625" style="200" customWidth="1"/>
    <col min="5127" max="5127" width="22.42578125" style="200" customWidth="1"/>
    <col min="5128" max="5128" width="8.85546875" style="200"/>
    <col min="5129" max="5129" width="13.28515625" style="200" customWidth="1"/>
    <col min="5130" max="5130" width="12.42578125" style="200" customWidth="1"/>
    <col min="5131" max="5131" width="15.85546875" style="200" customWidth="1"/>
    <col min="5132" max="5132" width="8.85546875" style="200"/>
    <col min="5133" max="5133" width="21.7109375" style="200" bestFit="1" customWidth="1"/>
    <col min="5134" max="5135" width="8.85546875" style="200"/>
    <col min="5136" max="5136" width="10.140625" style="200" bestFit="1" customWidth="1"/>
    <col min="5137" max="5378" width="8.85546875" style="200"/>
    <col min="5379" max="5379" width="13.85546875" style="200" customWidth="1"/>
    <col min="5380" max="5380" width="19" style="200" customWidth="1"/>
    <col min="5381" max="5381" width="14.140625" style="200" customWidth="1"/>
    <col min="5382" max="5382" width="18.28515625" style="200" customWidth="1"/>
    <col min="5383" max="5383" width="22.42578125" style="200" customWidth="1"/>
    <col min="5384" max="5384" width="8.85546875" style="200"/>
    <col min="5385" max="5385" width="13.28515625" style="200" customWidth="1"/>
    <col min="5386" max="5386" width="12.42578125" style="200" customWidth="1"/>
    <col min="5387" max="5387" width="15.85546875" style="200" customWidth="1"/>
    <col min="5388" max="5388" width="8.85546875" style="200"/>
    <col min="5389" max="5389" width="21.7109375" style="200" bestFit="1" customWidth="1"/>
    <col min="5390" max="5391" width="8.85546875" style="200"/>
    <col min="5392" max="5392" width="10.140625" style="200" bestFit="1" customWidth="1"/>
    <col min="5393" max="5634" width="8.85546875" style="200"/>
    <col min="5635" max="5635" width="13.85546875" style="200" customWidth="1"/>
    <col min="5636" max="5636" width="19" style="200" customWidth="1"/>
    <col min="5637" max="5637" width="14.140625" style="200" customWidth="1"/>
    <col min="5638" max="5638" width="18.28515625" style="200" customWidth="1"/>
    <col min="5639" max="5639" width="22.42578125" style="200" customWidth="1"/>
    <col min="5640" max="5640" width="8.85546875" style="200"/>
    <col min="5641" max="5641" width="13.28515625" style="200" customWidth="1"/>
    <col min="5642" max="5642" width="12.42578125" style="200" customWidth="1"/>
    <col min="5643" max="5643" width="15.85546875" style="200" customWidth="1"/>
    <col min="5644" max="5644" width="8.85546875" style="200"/>
    <col min="5645" max="5645" width="21.7109375" style="200" bestFit="1" customWidth="1"/>
    <col min="5646" max="5647" width="8.85546875" style="200"/>
    <col min="5648" max="5648" width="10.140625" style="200" bestFit="1" customWidth="1"/>
    <col min="5649" max="5890" width="8.85546875" style="200"/>
    <col min="5891" max="5891" width="13.85546875" style="200" customWidth="1"/>
    <col min="5892" max="5892" width="19" style="200" customWidth="1"/>
    <col min="5893" max="5893" width="14.140625" style="200" customWidth="1"/>
    <col min="5894" max="5894" width="18.28515625" style="200" customWidth="1"/>
    <col min="5895" max="5895" width="22.42578125" style="200" customWidth="1"/>
    <col min="5896" max="5896" width="8.85546875" style="200"/>
    <col min="5897" max="5897" width="13.28515625" style="200" customWidth="1"/>
    <col min="5898" max="5898" width="12.42578125" style="200" customWidth="1"/>
    <col min="5899" max="5899" width="15.85546875" style="200" customWidth="1"/>
    <col min="5900" max="5900" width="8.85546875" style="200"/>
    <col min="5901" max="5901" width="21.7109375" style="200" bestFit="1" customWidth="1"/>
    <col min="5902" max="5903" width="8.85546875" style="200"/>
    <col min="5904" max="5904" width="10.140625" style="200" bestFit="1" customWidth="1"/>
    <col min="5905" max="6146" width="8.85546875" style="200"/>
    <col min="6147" max="6147" width="13.85546875" style="200" customWidth="1"/>
    <col min="6148" max="6148" width="19" style="200" customWidth="1"/>
    <col min="6149" max="6149" width="14.140625" style="200" customWidth="1"/>
    <col min="6150" max="6150" width="18.28515625" style="200" customWidth="1"/>
    <col min="6151" max="6151" width="22.42578125" style="200" customWidth="1"/>
    <col min="6152" max="6152" width="8.85546875" style="200"/>
    <col min="6153" max="6153" width="13.28515625" style="200" customWidth="1"/>
    <col min="6154" max="6154" width="12.42578125" style="200" customWidth="1"/>
    <col min="6155" max="6155" width="15.85546875" style="200" customWidth="1"/>
    <col min="6156" max="6156" width="8.85546875" style="200"/>
    <col min="6157" max="6157" width="21.7109375" style="200" bestFit="1" customWidth="1"/>
    <col min="6158" max="6159" width="8.85546875" style="200"/>
    <col min="6160" max="6160" width="10.140625" style="200" bestFit="1" customWidth="1"/>
    <col min="6161" max="6402" width="8.85546875" style="200"/>
    <col min="6403" max="6403" width="13.85546875" style="200" customWidth="1"/>
    <col min="6404" max="6404" width="19" style="200" customWidth="1"/>
    <col min="6405" max="6405" width="14.140625" style="200" customWidth="1"/>
    <col min="6406" max="6406" width="18.28515625" style="200" customWidth="1"/>
    <col min="6407" max="6407" width="22.42578125" style="200" customWidth="1"/>
    <col min="6408" max="6408" width="8.85546875" style="200"/>
    <col min="6409" max="6409" width="13.28515625" style="200" customWidth="1"/>
    <col min="6410" max="6410" width="12.42578125" style="200" customWidth="1"/>
    <col min="6411" max="6411" width="15.85546875" style="200" customWidth="1"/>
    <col min="6412" max="6412" width="8.85546875" style="200"/>
    <col min="6413" max="6413" width="21.7109375" style="200" bestFit="1" customWidth="1"/>
    <col min="6414" max="6415" width="8.85546875" style="200"/>
    <col min="6416" max="6416" width="10.140625" style="200" bestFit="1" customWidth="1"/>
    <col min="6417" max="6658" width="8.85546875" style="200"/>
    <col min="6659" max="6659" width="13.85546875" style="200" customWidth="1"/>
    <col min="6660" max="6660" width="19" style="200" customWidth="1"/>
    <col min="6661" max="6661" width="14.140625" style="200" customWidth="1"/>
    <col min="6662" max="6662" width="18.28515625" style="200" customWidth="1"/>
    <col min="6663" max="6663" width="22.42578125" style="200" customWidth="1"/>
    <col min="6664" max="6664" width="8.85546875" style="200"/>
    <col min="6665" max="6665" width="13.28515625" style="200" customWidth="1"/>
    <col min="6666" max="6666" width="12.42578125" style="200" customWidth="1"/>
    <col min="6667" max="6667" width="15.85546875" style="200" customWidth="1"/>
    <col min="6668" max="6668" width="8.85546875" style="200"/>
    <col min="6669" max="6669" width="21.7109375" style="200" bestFit="1" customWidth="1"/>
    <col min="6670" max="6671" width="8.85546875" style="200"/>
    <col min="6672" max="6672" width="10.140625" style="200" bestFit="1" customWidth="1"/>
    <col min="6673" max="6914" width="8.85546875" style="200"/>
    <col min="6915" max="6915" width="13.85546875" style="200" customWidth="1"/>
    <col min="6916" max="6916" width="19" style="200" customWidth="1"/>
    <col min="6917" max="6917" width="14.140625" style="200" customWidth="1"/>
    <col min="6918" max="6918" width="18.28515625" style="200" customWidth="1"/>
    <col min="6919" max="6919" width="22.42578125" style="200" customWidth="1"/>
    <col min="6920" max="6920" width="8.85546875" style="200"/>
    <col min="6921" max="6921" width="13.28515625" style="200" customWidth="1"/>
    <col min="6922" max="6922" width="12.42578125" style="200" customWidth="1"/>
    <col min="6923" max="6923" width="15.85546875" style="200" customWidth="1"/>
    <col min="6924" max="6924" width="8.85546875" style="200"/>
    <col min="6925" max="6925" width="21.7109375" style="200" bestFit="1" customWidth="1"/>
    <col min="6926" max="6927" width="8.85546875" style="200"/>
    <col min="6928" max="6928" width="10.140625" style="200" bestFit="1" customWidth="1"/>
    <col min="6929" max="7170" width="8.85546875" style="200"/>
    <col min="7171" max="7171" width="13.85546875" style="200" customWidth="1"/>
    <col min="7172" max="7172" width="19" style="200" customWidth="1"/>
    <col min="7173" max="7173" width="14.140625" style="200" customWidth="1"/>
    <col min="7174" max="7174" width="18.28515625" style="200" customWidth="1"/>
    <col min="7175" max="7175" width="22.42578125" style="200" customWidth="1"/>
    <col min="7176" max="7176" width="8.85546875" style="200"/>
    <col min="7177" max="7177" width="13.28515625" style="200" customWidth="1"/>
    <col min="7178" max="7178" width="12.42578125" style="200" customWidth="1"/>
    <col min="7179" max="7179" width="15.85546875" style="200" customWidth="1"/>
    <col min="7180" max="7180" width="8.85546875" style="200"/>
    <col min="7181" max="7181" width="21.7109375" style="200" bestFit="1" customWidth="1"/>
    <col min="7182" max="7183" width="8.85546875" style="200"/>
    <col min="7184" max="7184" width="10.140625" style="200" bestFit="1" customWidth="1"/>
    <col min="7185" max="7426" width="8.85546875" style="200"/>
    <col min="7427" max="7427" width="13.85546875" style="200" customWidth="1"/>
    <col min="7428" max="7428" width="19" style="200" customWidth="1"/>
    <col min="7429" max="7429" width="14.140625" style="200" customWidth="1"/>
    <col min="7430" max="7430" width="18.28515625" style="200" customWidth="1"/>
    <col min="7431" max="7431" width="22.42578125" style="200" customWidth="1"/>
    <col min="7432" max="7432" width="8.85546875" style="200"/>
    <col min="7433" max="7433" width="13.28515625" style="200" customWidth="1"/>
    <col min="7434" max="7434" width="12.42578125" style="200" customWidth="1"/>
    <col min="7435" max="7435" width="15.85546875" style="200" customWidth="1"/>
    <col min="7436" max="7436" width="8.85546875" style="200"/>
    <col min="7437" max="7437" width="21.7109375" style="200" bestFit="1" customWidth="1"/>
    <col min="7438" max="7439" width="8.85546875" style="200"/>
    <col min="7440" max="7440" width="10.140625" style="200" bestFit="1" customWidth="1"/>
    <col min="7441" max="7682" width="8.85546875" style="200"/>
    <col min="7683" max="7683" width="13.85546875" style="200" customWidth="1"/>
    <col min="7684" max="7684" width="19" style="200" customWidth="1"/>
    <col min="7685" max="7685" width="14.140625" style="200" customWidth="1"/>
    <col min="7686" max="7686" width="18.28515625" style="200" customWidth="1"/>
    <col min="7687" max="7687" width="22.42578125" style="200" customWidth="1"/>
    <col min="7688" max="7688" width="8.85546875" style="200"/>
    <col min="7689" max="7689" width="13.28515625" style="200" customWidth="1"/>
    <col min="7690" max="7690" width="12.42578125" style="200" customWidth="1"/>
    <col min="7691" max="7691" width="15.85546875" style="200" customWidth="1"/>
    <col min="7692" max="7692" width="8.85546875" style="200"/>
    <col min="7693" max="7693" width="21.7109375" style="200" bestFit="1" customWidth="1"/>
    <col min="7694" max="7695" width="8.85546875" style="200"/>
    <col min="7696" max="7696" width="10.140625" style="200" bestFit="1" customWidth="1"/>
    <col min="7697" max="7938" width="8.85546875" style="200"/>
    <col min="7939" max="7939" width="13.85546875" style="200" customWidth="1"/>
    <col min="7940" max="7940" width="19" style="200" customWidth="1"/>
    <col min="7941" max="7941" width="14.140625" style="200" customWidth="1"/>
    <col min="7942" max="7942" width="18.28515625" style="200" customWidth="1"/>
    <col min="7943" max="7943" width="22.42578125" style="200" customWidth="1"/>
    <col min="7944" max="7944" width="8.85546875" style="200"/>
    <col min="7945" max="7945" width="13.28515625" style="200" customWidth="1"/>
    <col min="7946" max="7946" width="12.42578125" style="200" customWidth="1"/>
    <col min="7947" max="7947" width="15.85546875" style="200" customWidth="1"/>
    <col min="7948" max="7948" width="8.85546875" style="200"/>
    <col min="7949" max="7949" width="21.7109375" style="200" bestFit="1" customWidth="1"/>
    <col min="7950" max="7951" width="8.85546875" style="200"/>
    <col min="7952" max="7952" width="10.140625" style="200" bestFit="1" customWidth="1"/>
    <col min="7953" max="8194" width="8.85546875" style="200"/>
    <col min="8195" max="8195" width="13.85546875" style="200" customWidth="1"/>
    <col min="8196" max="8196" width="19" style="200" customWidth="1"/>
    <col min="8197" max="8197" width="14.140625" style="200" customWidth="1"/>
    <col min="8198" max="8198" width="18.28515625" style="200" customWidth="1"/>
    <col min="8199" max="8199" width="22.42578125" style="200" customWidth="1"/>
    <col min="8200" max="8200" width="8.85546875" style="200"/>
    <col min="8201" max="8201" width="13.28515625" style="200" customWidth="1"/>
    <col min="8202" max="8202" width="12.42578125" style="200" customWidth="1"/>
    <col min="8203" max="8203" width="15.85546875" style="200" customWidth="1"/>
    <col min="8204" max="8204" width="8.85546875" style="200"/>
    <col min="8205" max="8205" width="21.7109375" style="200" bestFit="1" customWidth="1"/>
    <col min="8206" max="8207" width="8.85546875" style="200"/>
    <col min="8208" max="8208" width="10.140625" style="200" bestFit="1" customWidth="1"/>
    <col min="8209" max="8450" width="8.85546875" style="200"/>
    <col min="8451" max="8451" width="13.85546875" style="200" customWidth="1"/>
    <col min="8452" max="8452" width="19" style="200" customWidth="1"/>
    <col min="8453" max="8453" width="14.140625" style="200" customWidth="1"/>
    <col min="8454" max="8454" width="18.28515625" style="200" customWidth="1"/>
    <col min="8455" max="8455" width="22.42578125" style="200" customWidth="1"/>
    <col min="8456" max="8456" width="8.85546875" style="200"/>
    <col min="8457" max="8457" width="13.28515625" style="200" customWidth="1"/>
    <col min="8458" max="8458" width="12.42578125" style="200" customWidth="1"/>
    <col min="8459" max="8459" width="15.85546875" style="200" customWidth="1"/>
    <col min="8460" max="8460" width="8.85546875" style="200"/>
    <col min="8461" max="8461" width="21.7109375" style="200" bestFit="1" customWidth="1"/>
    <col min="8462" max="8463" width="8.85546875" style="200"/>
    <col min="8464" max="8464" width="10.140625" style="200" bestFit="1" customWidth="1"/>
    <col min="8465" max="8706" width="8.85546875" style="200"/>
    <col min="8707" max="8707" width="13.85546875" style="200" customWidth="1"/>
    <col min="8708" max="8708" width="19" style="200" customWidth="1"/>
    <col min="8709" max="8709" width="14.140625" style="200" customWidth="1"/>
    <col min="8710" max="8710" width="18.28515625" style="200" customWidth="1"/>
    <col min="8711" max="8711" width="22.42578125" style="200" customWidth="1"/>
    <col min="8712" max="8712" width="8.85546875" style="200"/>
    <col min="8713" max="8713" width="13.28515625" style="200" customWidth="1"/>
    <col min="8714" max="8714" width="12.42578125" style="200" customWidth="1"/>
    <col min="8715" max="8715" width="15.85546875" style="200" customWidth="1"/>
    <col min="8716" max="8716" width="8.85546875" style="200"/>
    <col min="8717" max="8717" width="21.7109375" style="200" bestFit="1" customWidth="1"/>
    <col min="8718" max="8719" width="8.85546875" style="200"/>
    <col min="8720" max="8720" width="10.140625" style="200" bestFit="1" customWidth="1"/>
    <col min="8721" max="8962" width="8.85546875" style="200"/>
    <col min="8963" max="8963" width="13.85546875" style="200" customWidth="1"/>
    <col min="8964" max="8964" width="19" style="200" customWidth="1"/>
    <col min="8965" max="8965" width="14.140625" style="200" customWidth="1"/>
    <col min="8966" max="8966" width="18.28515625" style="200" customWidth="1"/>
    <col min="8967" max="8967" width="22.42578125" style="200" customWidth="1"/>
    <col min="8968" max="8968" width="8.85546875" style="200"/>
    <col min="8969" max="8969" width="13.28515625" style="200" customWidth="1"/>
    <col min="8970" max="8970" width="12.42578125" style="200" customWidth="1"/>
    <col min="8971" max="8971" width="15.85546875" style="200" customWidth="1"/>
    <col min="8972" max="8972" width="8.85546875" style="200"/>
    <col min="8973" max="8973" width="21.7109375" style="200" bestFit="1" customWidth="1"/>
    <col min="8974" max="8975" width="8.85546875" style="200"/>
    <col min="8976" max="8976" width="10.140625" style="200" bestFit="1" customWidth="1"/>
    <col min="8977" max="9218" width="8.85546875" style="200"/>
    <col min="9219" max="9219" width="13.85546875" style="200" customWidth="1"/>
    <col min="9220" max="9220" width="19" style="200" customWidth="1"/>
    <col min="9221" max="9221" width="14.140625" style="200" customWidth="1"/>
    <col min="9222" max="9222" width="18.28515625" style="200" customWidth="1"/>
    <col min="9223" max="9223" width="22.42578125" style="200" customWidth="1"/>
    <col min="9224" max="9224" width="8.85546875" style="200"/>
    <col min="9225" max="9225" width="13.28515625" style="200" customWidth="1"/>
    <col min="9226" max="9226" width="12.42578125" style="200" customWidth="1"/>
    <col min="9227" max="9227" width="15.85546875" style="200" customWidth="1"/>
    <col min="9228" max="9228" width="8.85546875" style="200"/>
    <col min="9229" max="9229" width="21.7109375" style="200" bestFit="1" customWidth="1"/>
    <col min="9230" max="9231" width="8.85546875" style="200"/>
    <col min="9232" max="9232" width="10.140625" style="200" bestFit="1" customWidth="1"/>
    <col min="9233" max="9474" width="8.85546875" style="200"/>
    <col min="9475" max="9475" width="13.85546875" style="200" customWidth="1"/>
    <col min="9476" max="9476" width="19" style="200" customWidth="1"/>
    <col min="9477" max="9477" width="14.140625" style="200" customWidth="1"/>
    <col min="9478" max="9478" width="18.28515625" style="200" customWidth="1"/>
    <col min="9479" max="9479" width="22.42578125" style="200" customWidth="1"/>
    <col min="9480" max="9480" width="8.85546875" style="200"/>
    <col min="9481" max="9481" width="13.28515625" style="200" customWidth="1"/>
    <col min="9482" max="9482" width="12.42578125" style="200" customWidth="1"/>
    <col min="9483" max="9483" width="15.85546875" style="200" customWidth="1"/>
    <col min="9484" max="9484" width="8.85546875" style="200"/>
    <col min="9485" max="9485" width="21.7109375" style="200" bestFit="1" customWidth="1"/>
    <col min="9486" max="9487" width="8.85546875" style="200"/>
    <col min="9488" max="9488" width="10.140625" style="200" bestFit="1" customWidth="1"/>
    <col min="9489" max="9730" width="8.85546875" style="200"/>
    <col min="9731" max="9731" width="13.85546875" style="200" customWidth="1"/>
    <col min="9732" max="9732" width="19" style="200" customWidth="1"/>
    <col min="9733" max="9733" width="14.140625" style="200" customWidth="1"/>
    <col min="9734" max="9734" width="18.28515625" style="200" customWidth="1"/>
    <col min="9735" max="9735" width="22.42578125" style="200" customWidth="1"/>
    <col min="9736" max="9736" width="8.85546875" style="200"/>
    <col min="9737" max="9737" width="13.28515625" style="200" customWidth="1"/>
    <col min="9738" max="9738" width="12.42578125" style="200" customWidth="1"/>
    <col min="9739" max="9739" width="15.85546875" style="200" customWidth="1"/>
    <col min="9740" max="9740" width="8.85546875" style="200"/>
    <col min="9741" max="9741" width="21.7109375" style="200" bestFit="1" customWidth="1"/>
    <col min="9742" max="9743" width="8.85546875" style="200"/>
    <col min="9744" max="9744" width="10.140625" style="200" bestFit="1" customWidth="1"/>
    <col min="9745" max="9986" width="8.85546875" style="200"/>
    <col min="9987" max="9987" width="13.85546875" style="200" customWidth="1"/>
    <col min="9988" max="9988" width="19" style="200" customWidth="1"/>
    <col min="9989" max="9989" width="14.140625" style="200" customWidth="1"/>
    <col min="9990" max="9990" width="18.28515625" style="200" customWidth="1"/>
    <col min="9991" max="9991" width="22.42578125" style="200" customWidth="1"/>
    <col min="9992" max="9992" width="8.85546875" style="200"/>
    <col min="9993" max="9993" width="13.28515625" style="200" customWidth="1"/>
    <col min="9994" max="9994" width="12.42578125" style="200" customWidth="1"/>
    <col min="9995" max="9995" width="15.85546875" style="200" customWidth="1"/>
    <col min="9996" max="9996" width="8.85546875" style="200"/>
    <col min="9997" max="9997" width="21.7109375" style="200" bestFit="1" customWidth="1"/>
    <col min="9998" max="9999" width="8.85546875" style="200"/>
    <col min="10000" max="10000" width="10.140625" style="200" bestFit="1" customWidth="1"/>
    <col min="10001" max="10242" width="8.85546875" style="200"/>
    <col min="10243" max="10243" width="13.85546875" style="200" customWidth="1"/>
    <col min="10244" max="10244" width="19" style="200" customWidth="1"/>
    <col min="10245" max="10245" width="14.140625" style="200" customWidth="1"/>
    <col min="10246" max="10246" width="18.28515625" style="200" customWidth="1"/>
    <col min="10247" max="10247" width="22.42578125" style="200" customWidth="1"/>
    <col min="10248" max="10248" width="8.85546875" style="200"/>
    <col min="10249" max="10249" width="13.28515625" style="200" customWidth="1"/>
    <col min="10250" max="10250" width="12.42578125" style="200" customWidth="1"/>
    <col min="10251" max="10251" width="15.85546875" style="200" customWidth="1"/>
    <col min="10252" max="10252" width="8.85546875" style="200"/>
    <col min="10253" max="10253" width="21.7109375" style="200" bestFit="1" customWidth="1"/>
    <col min="10254" max="10255" width="8.85546875" style="200"/>
    <col min="10256" max="10256" width="10.140625" style="200" bestFit="1" customWidth="1"/>
    <col min="10257" max="10498" width="8.85546875" style="200"/>
    <col min="10499" max="10499" width="13.85546875" style="200" customWidth="1"/>
    <col min="10500" max="10500" width="19" style="200" customWidth="1"/>
    <col min="10501" max="10501" width="14.140625" style="200" customWidth="1"/>
    <col min="10502" max="10502" width="18.28515625" style="200" customWidth="1"/>
    <col min="10503" max="10503" width="22.42578125" style="200" customWidth="1"/>
    <col min="10504" max="10504" width="8.85546875" style="200"/>
    <col min="10505" max="10505" width="13.28515625" style="200" customWidth="1"/>
    <col min="10506" max="10506" width="12.42578125" style="200" customWidth="1"/>
    <col min="10507" max="10507" width="15.85546875" style="200" customWidth="1"/>
    <col min="10508" max="10508" width="8.85546875" style="200"/>
    <col min="10509" max="10509" width="21.7109375" style="200" bestFit="1" customWidth="1"/>
    <col min="10510" max="10511" width="8.85546875" style="200"/>
    <col min="10512" max="10512" width="10.140625" style="200" bestFit="1" customWidth="1"/>
    <col min="10513" max="10754" width="8.85546875" style="200"/>
    <col min="10755" max="10755" width="13.85546875" style="200" customWidth="1"/>
    <col min="10756" max="10756" width="19" style="200" customWidth="1"/>
    <col min="10757" max="10757" width="14.140625" style="200" customWidth="1"/>
    <col min="10758" max="10758" width="18.28515625" style="200" customWidth="1"/>
    <col min="10759" max="10759" width="22.42578125" style="200" customWidth="1"/>
    <col min="10760" max="10760" width="8.85546875" style="200"/>
    <col min="10761" max="10761" width="13.28515625" style="200" customWidth="1"/>
    <col min="10762" max="10762" width="12.42578125" style="200" customWidth="1"/>
    <col min="10763" max="10763" width="15.85546875" style="200" customWidth="1"/>
    <col min="10764" max="10764" width="8.85546875" style="200"/>
    <col min="10765" max="10765" width="21.7109375" style="200" bestFit="1" customWidth="1"/>
    <col min="10766" max="10767" width="8.85546875" style="200"/>
    <col min="10768" max="10768" width="10.140625" style="200" bestFit="1" customWidth="1"/>
    <col min="10769" max="11010" width="8.85546875" style="200"/>
    <col min="11011" max="11011" width="13.85546875" style="200" customWidth="1"/>
    <col min="11012" max="11012" width="19" style="200" customWidth="1"/>
    <col min="11013" max="11013" width="14.140625" style="200" customWidth="1"/>
    <col min="11014" max="11014" width="18.28515625" style="200" customWidth="1"/>
    <col min="11015" max="11015" width="22.42578125" style="200" customWidth="1"/>
    <col min="11016" max="11016" width="8.85546875" style="200"/>
    <col min="11017" max="11017" width="13.28515625" style="200" customWidth="1"/>
    <col min="11018" max="11018" width="12.42578125" style="200" customWidth="1"/>
    <col min="11019" max="11019" width="15.85546875" style="200" customWidth="1"/>
    <col min="11020" max="11020" width="8.85546875" style="200"/>
    <col min="11021" max="11021" width="21.7109375" style="200" bestFit="1" customWidth="1"/>
    <col min="11022" max="11023" width="8.85546875" style="200"/>
    <col min="11024" max="11024" width="10.140625" style="200" bestFit="1" customWidth="1"/>
    <col min="11025" max="11266" width="8.85546875" style="200"/>
    <col min="11267" max="11267" width="13.85546875" style="200" customWidth="1"/>
    <col min="11268" max="11268" width="19" style="200" customWidth="1"/>
    <col min="11269" max="11269" width="14.140625" style="200" customWidth="1"/>
    <col min="11270" max="11270" width="18.28515625" style="200" customWidth="1"/>
    <col min="11271" max="11271" width="22.42578125" style="200" customWidth="1"/>
    <col min="11272" max="11272" width="8.85546875" style="200"/>
    <col min="11273" max="11273" width="13.28515625" style="200" customWidth="1"/>
    <col min="11274" max="11274" width="12.42578125" style="200" customWidth="1"/>
    <col min="11275" max="11275" width="15.85546875" style="200" customWidth="1"/>
    <col min="11276" max="11276" width="8.85546875" style="200"/>
    <col min="11277" max="11277" width="21.7109375" style="200" bestFit="1" customWidth="1"/>
    <col min="11278" max="11279" width="8.85546875" style="200"/>
    <col min="11280" max="11280" width="10.140625" style="200" bestFit="1" customWidth="1"/>
    <col min="11281" max="11522" width="8.85546875" style="200"/>
    <col min="11523" max="11523" width="13.85546875" style="200" customWidth="1"/>
    <col min="11524" max="11524" width="19" style="200" customWidth="1"/>
    <col min="11525" max="11525" width="14.140625" style="200" customWidth="1"/>
    <col min="11526" max="11526" width="18.28515625" style="200" customWidth="1"/>
    <col min="11527" max="11527" width="22.42578125" style="200" customWidth="1"/>
    <col min="11528" max="11528" width="8.85546875" style="200"/>
    <col min="11529" max="11529" width="13.28515625" style="200" customWidth="1"/>
    <col min="11530" max="11530" width="12.42578125" style="200" customWidth="1"/>
    <col min="11531" max="11531" width="15.85546875" style="200" customWidth="1"/>
    <col min="11532" max="11532" width="8.85546875" style="200"/>
    <col min="11533" max="11533" width="21.7109375" style="200" bestFit="1" customWidth="1"/>
    <col min="11534" max="11535" width="8.85546875" style="200"/>
    <col min="11536" max="11536" width="10.140625" style="200" bestFit="1" customWidth="1"/>
    <col min="11537" max="11778" width="8.85546875" style="200"/>
    <col min="11779" max="11779" width="13.85546875" style="200" customWidth="1"/>
    <col min="11780" max="11780" width="19" style="200" customWidth="1"/>
    <col min="11781" max="11781" width="14.140625" style="200" customWidth="1"/>
    <col min="11782" max="11782" width="18.28515625" style="200" customWidth="1"/>
    <col min="11783" max="11783" width="22.42578125" style="200" customWidth="1"/>
    <col min="11784" max="11784" width="8.85546875" style="200"/>
    <col min="11785" max="11785" width="13.28515625" style="200" customWidth="1"/>
    <col min="11786" max="11786" width="12.42578125" style="200" customWidth="1"/>
    <col min="11787" max="11787" width="15.85546875" style="200" customWidth="1"/>
    <col min="11788" max="11788" width="8.85546875" style="200"/>
    <col min="11789" max="11789" width="21.7109375" style="200" bestFit="1" customWidth="1"/>
    <col min="11790" max="11791" width="8.85546875" style="200"/>
    <col min="11792" max="11792" width="10.140625" style="200" bestFit="1" customWidth="1"/>
    <col min="11793" max="12034" width="8.85546875" style="200"/>
    <col min="12035" max="12035" width="13.85546875" style="200" customWidth="1"/>
    <col min="12036" max="12036" width="19" style="200" customWidth="1"/>
    <col min="12037" max="12037" width="14.140625" style="200" customWidth="1"/>
    <col min="12038" max="12038" width="18.28515625" style="200" customWidth="1"/>
    <col min="12039" max="12039" width="22.42578125" style="200" customWidth="1"/>
    <col min="12040" max="12040" width="8.85546875" style="200"/>
    <col min="12041" max="12041" width="13.28515625" style="200" customWidth="1"/>
    <col min="12042" max="12042" width="12.42578125" style="200" customWidth="1"/>
    <col min="12043" max="12043" width="15.85546875" style="200" customWidth="1"/>
    <col min="12044" max="12044" width="8.85546875" style="200"/>
    <col min="12045" max="12045" width="21.7109375" style="200" bestFit="1" customWidth="1"/>
    <col min="12046" max="12047" width="8.85546875" style="200"/>
    <col min="12048" max="12048" width="10.140625" style="200" bestFit="1" customWidth="1"/>
    <col min="12049" max="12290" width="8.85546875" style="200"/>
    <col min="12291" max="12291" width="13.85546875" style="200" customWidth="1"/>
    <col min="12292" max="12292" width="19" style="200" customWidth="1"/>
    <col min="12293" max="12293" width="14.140625" style="200" customWidth="1"/>
    <col min="12294" max="12294" width="18.28515625" style="200" customWidth="1"/>
    <col min="12295" max="12295" width="22.42578125" style="200" customWidth="1"/>
    <col min="12296" max="12296" width="8.85546875" style="200"/>
    <col min="12297" max="12297" width="13.28515625" style="200" customWidth="1"/>
    <col min="12298" max="12298" width="12.42578125" style="200" customWidth="1"/>
    <col min="12299" max="12299" width="15.85546875" style="200" customWidth="1"/>
    <col min="12300" max="12300" width="8.85546875" style="200"/>
    <col min="12301" max="12301" width="21.7109375" style="200" bestFit="1" customWidth="1"/>
    <col min="12302" max="12303" width="8.85546875" style="200"/>
    <col min="12304" max="12304" width="10.140625" style="200" bestFit="1" customWidth="1"/>
    <col min="12305" max="12546" width="8.85546875" style="200"/>
    <col min="12547" max="12547" width="13.85546875" style="200" customWidth="1"/>
    <col min="12548" max="12548" width="19" style="200" customWidth="1"/>
    <col min="12549" max="12549" width="14.140625" style="200" customWidth="1"/>
    <col min="12550" max="12550" width="18.28515625" style="200" customWidth="1"/>
    <col min="12551" max="12551" width="22.42578125" style="200" customWidth="1"/>
    <col min="12552" max="12552" width="8.85546875" style="200"/>
    <col min="12553" max="12553" width="13.28515625" style="200" customWidth="1"/>
    <col min="12554" max="12554" width="12.42578125" style="200" customWidth="1"/>
    <col min="12555" max="12555" width="15.85546875" style="200" customWidth="1"/>
    <col min="12556" max="12556" width="8.85546875" style="200"/>
    <col min="12557" max="12557" width="21.7109375" style="200" bestFit="1" customWidth="1"/>
    <col min="12558" max="12559" width="8.85546875" style="200"/>
    <col min="12560" max="12560" width="10.140625" style="200" bestFit="1" customWidth="1"/>
    <col min="12561" max="12802" width="8.85546875" style="200"/>
    <col min="12803" max="12803" width="13.85546875" style="200" customWidth="1"/>
    <col min="12804" max="12804" width="19" style="200" customWidth="1"/>
    <col min="12805" max="12805" width="14.140625" style="200" customWidth="1"/>
    <col min="12806" max="12806" width="18.28515625" style="200" customWidth="1"/>
    <col min="12807" max="12807" width="22.42578125" style="200" customWidth="1"/>
    <col min="12808" max="12808" width="8.85546875" style="200"/>
    <col min="12809" max="12809" width="13.28515625" style="200" customWidth="1"/>
    <col min="12810" max="12810" width="12.42578125" style="200" customWidth="1"/>
    <col min="12811" max="12811" width="15.85546875" style="200" customWidth="1"/>
    <col min="12812" max="12812" width="8.85546875" style="200"/>
    <col min="12813" max="12813" width="21.7109375" style="200" bestFit="1" customWidth="1"/>
    <col min="12814" max="12815" width="8.85546875" style="200"/>
    <col min="12816" max="12816" width="10.140625" style="200" bestFit="1" customWidth="1"/>
    <col min="12817" max="13058" width="8.85546875" style="200"/>
    <col min="13059" max="13059" width="13.85546875" style="200" customWidth="1"/>
    <col min="13060" max="13060" width="19" style="200" customWidth="1"/>
    <col min="13061" max="13061" width="14.140625" style="200" customWidth="1"/>
    <col min="13062" max="13062" width="18.28515625" style="200" customWidth="1"/>
    <col min="13063" max="13063" width="22.42578125" style="200" customWidth="1"/>
    <col min="13064" max="13064" width="8.85546875" style="200"/>
    <col min="13065" max="13065" width="13.28515625" style="200" customWidth="1"/>
    <col min="13066" max="13066" width="12.42578125" style="200" customWidth="1"/>
    <col min="13067" max="13067" width="15.85546875" style="200" customWidth="1"/>
    <col min="13068" max="13068" width="8.85546875" style="200"/>
    <col min="13069" max="13069" width="21.7109375" style="200" bestFit="1" customWidth="1"/>
    <col min="13070" max="13071" width="8.85546875" style="200"/>
    <col min="13072" max="13072" width="10.140625" style="200" bestFit="1" customWidth="1"/>
    <col min="13073" max="13314" width="8.85546875" style="200"/>
    <col min="13315" max="13315" width="13.85546875" style="200" customWidth="1"/>
    <col min="13316" max="13316" width="19" style="200" customWidth="1"/>
    <col min="13317" max="13317" width="14.140625" style="200" customWidth="1"/>
    <col min="13318" max="13318" width="18.28515625" style="200" customWidth="1"/>
    <col min="13319" max="13319" width="22.42578125" style="200" customWidth="1"/>
    <col min="13320" max="13320" width="8.85546875" style="200"/>
    <col min="13321" max="13321" width="13.28515625" style="200" customWidth="1"/>
    <col min="13322" max="13322" width="12.42578125" style="200" customWidth="1"/>
    <col min="13323" max="13323" width="15.85546875" style="200" customWidth="1"/>
    <col min="13324" max="13324" width="8.85546875" style="200"/>
    <col min="13325" max="13325" width="21.7109375" style="200" bestFit="1" customWidth="1"/>
    <col min="13326" max="13327" width="8.85546875" style="200"/>
    <col min="13328" max="13328" width="10.140625" style="200" bestFit="1" customWidth="1"/>
    <col min="13329" max="13570" width="8.85546875" style="200"/>
    <col min="13571" max="13571" width="13.85546875" style="200" customWidth="1"/>
    <col min="13572" max="13572" width="19" style="200" customWidth="1"/>
    <col min="13573" max="13573" width="14.140625" style="200" customWidth="1"/>
    <col min="13574" max="13574" width="18.28515625" style="200" customWidth="1"/>
    <col min="13575" max="13575" width="22.42578125" style="200" customWidth="1"/>
    <col min="13576" max="13576" width="8.85546875" style="200"/>
    <col min="13577" max="13577" width="13.28515625" style="200" customWidth="1"/>
    <col min="13578" max="13578" width="12.42578125" style="200" customWidth="1"/>
    <col min="13579" max="13579" width="15.85546875" style="200" customWidth="1"/>
    <col min="13580" max="13580" width="8.85546875" style="200"/>
    <col min="13581" max="13581" width="21.7109375" style="200" bestFit="1" customWidth="1"/>
    <col min="13582" max="13583" width="8.85546875" style="200"/>
    <col min="13584" max="13584" width="10.140625" style="200" bestFit="1" customWidth="1"/>
    <col min="13585" max="13826" width="8.85546875" style="200"/>
    <col min="13827" max="13827" width="13.85546875" style="200" customWidth="1"/>
    <col min="13828" max="13828" width="19" style="200" customWidth="1"/>
    <col min="13829" max="13829" width="14.140625" style="200" customWidth="1"/>
    <col min="13830" max="13830" width="18.28515625" style="200" customWidth="1"/>
    <col min="13831" max="13831" width="22.42578125" style="200" customWidth="1"/>
    <col min="13832" max="13832" width="8.85546875" style="200"/>
    <col min="13833" max="13833" width="13.28515625" style="200" customWidth="1"/>
    <col min="13834" max="13834" width="12.42578125" style="200" customWidth="1"/>
    <col min="13835" max="13835" width="15.85546875" style="200" customWidth="1"/>
    <col min="13836" max="13836" width="8.85546875" style="200"/>
    <col min="13837" max="13837" width="21.7109375" style="200" bestFit="1" customWidth="1"/>
    <col min="13838" max="13839" width="8.85546875" style="200"/>
    <col min="13840" max="13840" width="10.140625" style="200" bestFit="1" customWidth="1"/>
    <col min="13841" max="14082" width="8.85546875" style="200"/>
    <col min="14083" max="14083" width="13.85546875" style="200" customWidth="1"/>
    <col min="14084" max="14084" width="19" style="200" customWidth="1"/>
    <col min="14085" max="14085" width="14.140625" style="200" customWidth="1"/>
    <col min="14086" max="14086" width="18.28515625" style="200" customWidth="1"/>
    <col min="14087" max="14087" width="22.42578125" style="200" customWidth="1"/>
    <col min="14088" max="14088" width="8.85546875" style="200"/>
    <col min="14089" max="14089" width="13.28515625" style="200" customWidth="1"/>
    <col min="14090" max="14090" width="12.42578125" style="200" customWidth="1"/>
    <col min="14091" max="14091" width="15.85546875" style="200" customWidth="1"/>
    <col min="14092" max="14092" width="8.85546875" style="200"/>
    <col min="14093" max="14093" width="21.7109375" style="200" bestFit="1" customWidth="1"/>
    <col min="14094" max="14095" width="8.85546875" style="200"/>
    <col min="14096" max="14096" width="10.140625" style="200" bestFit="1" customWidth="1"/>
    <col min="14097" max="14338" width="8.85546875" style="200"/>
    <col min="14339" max="14339" width="13.85546875" style="200" customWidth="1"/>
    <col min="14340" max="14340" width="19" style="200" customWidth="1"/>
    <col min="14341" max="14341" width="14.140625" style="200" customWidth="1"/>
    <col min="14342" max="14342" width="18.28515625" style="200" customWidth="1"/>
    <col min="14343" max="14343" width="22.42578125" style="200" customWidth="1"/>
    <col min="14344" max="14344" width="8.85546875" style="200"/>
    <col min="14345" max="14345" width="13.28515625" style="200" customWidth="1"/>
    <col min="14346" max="14346" width="12.42578125" style="200" customWidth="1"/>
    <col min="14347" max="14347" width="15.85546875" style="200" customWidth="1"/>
    <col min="14348" max="14348" width="8.85546875" style="200"/>
    <col min="14349" max="14349" width="21.7109375" style="200" bestFit="1" customWidth="1"/>
    <col min="14350" max="14351" width="8.85546875" style="200"/>
    <col min="14352" max="14352" width="10.140625" style="200" bestFit="1" customWidth="1"/>
    <col min="14353" max="14594" width="8.85546875" style="200"/>
    <col min="14595" max="14595" width="13.85546875" style="200" customWidth="1"/>
    <col min="14596" max="14596" width="19" style="200" customWidth="1"/>
    <col min="14597" max="14597" width="14.140625" style="200" customWidth="1"/>
    <col min="14598" max="14598" width="18.28515625" style="200" customWidth="1"/>
    <col min="14599" max="14599" width="22.42578125" style="200" customWidth="1"/>
    <col min="14600" max="14600" width="8.85546875" style="200"/>
    <col min="14601" max="14601" width="13.28515625" style="200" customWidth="1"/>
    <col min="14602" max="14602" width="12.42578125" style="200" customWidth="1"/>
    <col min="14603" max="14603" width="15.85546875" style="200" customWidth="1"/>
    <col min="14604" max="14604" width="8.85546875" style="200"/>
    <col min="14605" max="14605" width="21.7109375" style="200" bestFit="1" customWidth="1"/>
    <col min="14606" max="14607" width="8.85546875" style="200"/>
    <col min="14608" max="14608" width="10.140625" style="200" bestFit="1" customWidth="1"/>
    <col min="14609" max="14850" width="8.85546875" style="200"/>
    <col min="14851" max="14851" width="13.85546875" style="200" customWidth="1"/>
    <col min="14852" max="14852" width="19" style="200" customWidth="1"/>
    <col min="14853" max="14853" width="14.140625" style="200" customWidth="1"/>
    <col min="14854" max="14854" width="18.28515625" style="200" customWidth="1"/>
    <col min="14855" max="14855" width="22.42578125" style="200" customWidth="1"/>
    <col min="14856" max="14856" width="8.85546875" style="200"/>
    <col min="14857" max="14857" width="13.28515625" style="200" customWidth="1"/>
    <col min="14858" max="14858" width="12.42578125" style="200" customWidth="1"/>
    <col min="14859" max="14859" width="15.85546875" style="200" customWidth="1"/>
    <col min="14860" max="14860" width="8.85546875" style="200"/>
    <col min="14861" max="14861" width="21.7109375" style="200" bestFit="1" customWidth="1"/>
    <col min="14862" max="14863" width="8.85546875" style="200"/>
    <col min="14864" max="14864" width="10.140625" style="200" bestFit="1" customWidth="1"/>
    <col min="14865" max="15106" width="8.85546875" style="200"/>
    <col min="15107" max="15107" width="13.85546875" style="200" customWidth="1"/>
    <col min="15108" max="15108" width="19" style="200" customWidth="1"/>
    <col min="15109" max="15109" width="14.140625" style="200" customWidth="1"/>
    <col min="15110" max="15110" width="18.28515625" style="200" customWidth="1"/>
    <col min="15111" max="15111" width="22.42578125" style="200" customWidth="1"/>
    <col min="15112" max="15112" width="8.85546875" style="200"/>
    <col min="15113" max="15113" width="13.28515625" style="200" customWidth="1"/>
    <col min="15114" max="15114" width="12.42578125" style="200" customWidth="1"/>
    <col min="15115" max="15115" width="15.85546875" style="200" customWidth="1"/>
    <col min="15116" max="15116" width="8.85546875" style="200"/>
    <col min="15117" max="15117" width="21.7109375" style="200" bestFit="1" customWidth="1"/>
    <col min="15118" max="15119" width="8.85546875" style="200"/>
    <col min="15120" max="15120" width="10.140625" style="200" bestFit="1" customWidth="1"/>
    <col min="15121" max="15362" width="8.85546875" style="200"/>
    <col min="15363" max="15363" width="13.85546875" style="200" customWidth="1"/>
    <col min="15364" max="15364" width="19" style="200" customWidth="1"/>
    <col min="15365" max="15365" width="14.140625" style="200" customWidth="1"/>
    <col min="15366" max="15366" width="18.28515625" style="200" customWidth="1"/>
    <col min="15367" max="15367" width="22.42578125" style="200" customWidth="1"/>
    <col min="15368" max="15368" width="8.85546875" style="200"/>
    <col min="15369" max="15369" width="13.28515625" style="200" customWidth="1"/>
    <col min="15370" max="15370" width="12.42578125" style="200" customWidth="1"/>
    <col min="15371" max="15371" width="15.85546875" style="200" customWidth="1"/>
    <col min="15372" max="15372" width="8.85546875" style="200"/>
    <col min="15373" max="15373" width="21.7109375" style="200" bestFit="1" customWidth="1"/>
    <col min="15374" max="15375" width="8.85546875" style="200"/>
    <col min="15376" max="15376" width="10.140625" style="200" bestFit="1" customWidth="1"/>
    <col min="15377" max="15618" width="8.85546875" style="200"/>
    <col min="15619" max="15619" width="13.85546875" style="200" customWidth="1"/>
    <col min="15620" max="15620" width="19" style="200" customWidth="1"/>
    <col min="15621" max="15621" width="14.140625" style="200" customWidth="1"/>
    <col min="15622" max="15622" width="18.28515625" style="200" customWidth="1"/>
    <col min="15623" max="15623" width="22.42578125" style="200" customWidth="1"/>
    <col min="15624" max="15624" width="8.85546875" style="200"/>
    <col min="15625" max="15625" width="13.28515625" style="200" customWidth="1"/>
    <col min="15626" max="15626" width="12.42578125" style="200" customWidth="1"/>
    <col min="15627" max="15627" width="15.85546875" style="200" customWidth="1"/>
    <col min="15628" max="15628" width="8.85546875" style="200"/>
    <col min="15629" max="15629" width="21.7109375" style="200" bestFit="1" customWidth="1"/>
    <col min="15630" max="15631" width="8.85546875" style="200"/>
    <col min="15632" max="15632" width="10.140625" style="200" bestFit="1" customWidth="1"/>
    <col min="15633" max="15874" width="8.85546875" style="200"/>
    <col min="15875" max="15875" width="13.85546875" style="200" customWidth="1"/>
    <col min="15876" max="15876" width="19" style="200" customWidth="1"/>
    <col min="15877" max="15877" width="14.140625" style="200" customWidth="1"/>
    <col min="15878" max="15878" width="18.28515625" style="200" customWidth="1"/>
    <col min="15879" max="15879" width="22.42578125" style="200" customWidth="1"/>
    <col min="15880" max="15880" width="8.85546875" style="200"/>
    <col min="15881" max="15881" width="13.28515625" style="200" customWidth="1"/>
    <col min="15882" max="15882" width="12.42578125" style="200" customWidth="1"/>
    <col min="15883" max="15883" width="15.85546875" style="200" customWidth="1"/>
    <col min="15884" max="15884" width="8.85546875" style="200"/>
    <col min="15885" max="15885" width="21.7109375" style="200" bestFit="1" customWidth="1"/>
    <col min="15886" max="15887" width="8.85546875" style="200"/>
    <col min="15888" max="15888" width="10.140625" style="200" bestFit="1" customWidth="1"/>
    <col min="15889" max="16130" width="8.85546875" style="200"/>
    <col min="16131" max="16131" width="13.85546875" style="200" customWidth="1"/>
    <col min="16132" max="16132" width="19" style="200" customWidth="1"/>
    <col min="16133" max="16133" width="14.140625" style="200" customWidth="1"/>
    <col min="16134" max="16134" width="18.28515625" style="200" customWidth="1"/>
    <col min="16135" max="16135" width="22.42578125" style="200" customWidth="1"/>
    <col min="16136" max="16136" width="8.85546875" style="200"/>
    <col min="16137" max="16137" width="13.28515625" style="200" customWidth="1"/>
    <col min="16138" max="16138" width="12.42578125" style="200" customWidth="1"/>
    <col min="16139" max="16139" width="15.85546875" style="200" customWidth="1"/>
    <col min="16140" max="16140" width="8.85546875" style="200"/>
    <col min="16141" max="16141" width="21.7109375" style="200" bestFit="1" customWidth="1"/>
    <col min="16142" max="16143" width="8.85546875" style="200"/>
    <col min="16144" max="16144" width="10.140625" style="200" bestFit="1" customWidth="1"/>
    <col min="16145" max="16384" width="8.85546875" style="200"/>
  </cols>
  <sheetData>
    <row r="1" spans="2:13" ht="12.6" customHeight="1"/>
    <row r="3" spans="2:13">
      <c r="B3" s="273" t="s">
        <v>1071</v>
      </c>
      <c r="C3" s="273" t="s">
        <v>1070</v>
      </c>
      <c r="D3" s="273" t="s">
        <v>1072</v>
      </c>
      <c r="E3" s="273" t="s">
        <v>1073</v>
      </c>
      <c r="F3" s="273" t="s">
        <v>1074</v>
      </c>
      <c r="G3" s="273" t="s">
        <v>1075</v>
      </c>
      <c r="H3" s="201"/>
      <c r="I3" s="202"/>
    </row>
    <row r="4" spans="2:13" ht="15" customHeight="1">
      <c r="B4" s="216">
        <v>44227</v>
      </c>
      <c r="C4" s="217"/>
      <c r="D4" s="217"/>
      <c r="E4" s="217"/>
      <c r="F4" s="217"/>
      <c r="G4" s="217"/>
      <c r="I4" s="512" t="s">
        <v>1076</v>
      </c>
      <c r="J4" s="512"/>
    </row>
    <row r="5" spans="2:13">
      <c r="B5" s="218">
        <v>44255</v>
      </c>
      <c r="C5" s="217"/>
      <c r="D5" s="217"/>
      <c r="E5" s="217"/>
      <c r="F5" s="217"/>
      <c r="G5" s="217"/>
      <c r="I5" s="222" t="s">
        <v>1077</v>
      </c>
      <c r="J5" s="217">
        <f>'Projekt 1 - majątek'!D18</f>
        <v>2172800</v>
      </c>
    </row>
    <row r="6" spans="2:13">
      <c r="B6" s="216">
        <v>44286</v>
      </c>
      <c r="C6" s="217"/>
      <c r="D6" s="217"/>
      <c r="E6" s="217"/>
      <c r="F6" s="217"/>
      <c r="G6" s="217"/>
      <c r="I6" s="222" t="s">
        <v>1078</v>
      </c>
      <c r="J6" s="223">
        <v>0.02</v>
      </c>
      <c r="K6" s="203"/>
    </row>
    <row r="7" spans="2:13">
      <c r="B7" s="218">
        <v>44316</v>
      </c>
      <c r="C7" s="217"/>
      <c r="D7" s="217"/>
      <c r="E7" s="217"/>
      <c r="F7" s="217"/>
      <c r="G7" s="217"/>
      <c r="I7" s="222" t="s">
        <v>1079</v>
      </c>
      <c r="J7" s="217">
        <v>0</v>
      </c>
      <c r="K7" s="204"/>
    </row>
    <row r="8" spans="2:13">
      <c r="B8" s="216">
        <v>44347</v>
      </c>
      <c r="C8" s="217"/>
      <c r="D8" s="217"/>
      <c r="E8" s="217"/>
      <c r="F8" s="217"/>
      <c r="G8" s="217"/>
      <c r="I8" s="222" t="s">
        <v>1080</v>
      </c>
      <c r="J8" s="217">
        <f>12*12</f>
        <v>144</v>
      </c>
    </row>
    <row r="9" spans="2:13">
      <c r="B9" s="218">
        <v>44377</v>
      </c>
      <c r="C9" s="217"/>
      <c r="D9" s="217"/>
      <c r="E9" s="217"/>
      <c r="F9" s="217"/>
      <c r="G9" s="217"/>
      <c r="H9" s="205"/>
      <c r="K9" s="206"/>
    </row>
    <row r="10" spans="2:13">
      <c r="B10" s="216">
        <v>44408</v>
      </c>
      <c r="C10" s="217"/>
      <c r="D10" s="217"/>
      <c r="E10" s="217"/>
      <c r="F10" s="217"/>
      <c r="G10" s="217"/>
      <c r="J10" s="206"/>
    </row>
    <row r="11" spans="2:13">
      <c r="B11" s="218">
        <v>44439</v>
      </c>
      <c r="C11" s="217"/>
      <c r="D11" s="217"/>
      <c r="E11" s="217"/>
      <c r="F11" s="217"/>
      <c r="G11" s="217"/>
    </row>
    <row r="12" spans="2:13">
      <c r="B12" s="216">
        <v>44469</v>
      </c>
      <c r="C12" s="217"/>
      <c r="D12" s="217"/>
      <c r="E12" s="217"/>
      <c r="F12" s="217"/>
      <c r="G12" s="217"/>
      <c r="J12" s="206"/>
    </row>
    <row r="13" spans="2:13">
      <c r="B13" s="218">
        <v>44500</v>
      </c>
      <c r="C13" s="217"/>
      <c r="D13" s="217"/>
      <c r="E13" s="217"/>
      <c r="F13" s="217"/>
      <c r="G13" s="217"/>
    </row>
    <row r="14" spans="2:13">
      <c r="B14" s="216">
        <v>44530</v>
      </c>
      <c r="C14" s="217">
        <f>0.7*'Projekt 1 - majątek'!P14</f>
        <v>29399.999999999996</v>
      </c>
      <c r="D14" s="217"/>
      <c r="E14" s="217"/>
      <c r="F14" s="217"/>
      <c r="G14" s="217"/>
    </row>
    <row r="15" spans="2:13">
      <c r="B15" s="219">
        <v>44561</v>
      </c>
      <c r="C15" s="220">
        <f>C14</f>
        <v>29399.999999999996</v>
      </c>
      <c r="D15" s="220">
        <v>0</v>
      </c>
      <c r="E15" s="220">
        <v>0</v>
      </c>
      <c r="F15" s="220">
        <f t="shared" ref="F15" si="0">D15+E15</f>
        <v>0</v>
      </c>
      <c r="G15" s="220">
        <f t="shared" ref="G15" si="1">C15-E15</f>
        <v>29399.999999999996</v>
      </c>
      <c r="H15" s="213"/>
      <c r="I15" s="214">
        <f>SUM(D4:D15)</f>
        <v>0</v>
      </c>
      <c r="J15" s="214">
        <f>SUM(E4:E15)</f>
        <v>0</v>
      </c>
      <c r="K15" s="214">
        <f>I15+J15</f>
        <v>0</v>
      </c>
      <c r="M15" s="206"/>
    </row>
    <row r="16" spans="2:13">
      <c r="B16" s="216">
        <v>44592</v>
      </c>
      <c r="C16" s="217">
        <f>G15+0.7*'Projekt 1 - majątek'!U14</f>
        <v>1087800</v>
      </c>
      <c r="D16" s="217">
        <f>C16*$J$6/12</f>
        <v>1813</v>
      </c>
      <c r="E16" s="217">
        <f>$J$5/$J$8</f>
        <v>15088.888888888889</v>
      </c>
      <c r="F16" s="217">
        <f t="shared" ref="F16:F79" si="2">D16+E16</f>
        <v>16901.888888888891</v>
      </c>
      <c r="G16" s="217">
        <f>C16-E16</f>
        <v>1072711.111111111</v>
      </c>
    </row>
    <row r="17" spans="2:11">
      <c r="B17" s="218">
        <v>44620</v>
      </c>
      <c r="C17" s="217">
        <f>G16</f>
        <v>1072711.111111111</v>
      </c>
      <c r="D17" s="217">
        <f t="shared" ref="D17:D80" si="3">C17*$J$6/12</f>
        <v>1787.8518518518515</v>
      </c>
      <c r="E17" s="217">
        <f t="shared" ref="E17:E80" si="4">$J$5/$J$8</f>
        <v>15088.888888888889</v>
      </c>
      <c r="F17" s="217">
        <f t="shared" si="2"/>
        <v>16876.740740740741</v>
      </c>
      <c r="G17" s="217">
        <f t="shared" ref="G17:G80" si="5">C17-E17</f>
        <v>1057622.222222222</v>
      </c>
    </row>
    <row r="18" spans="2:11">
      <c r="B18" s="216">
        <v>44651</v>
      </c>
      <c r="C18" s="217">
        <f t="shared" ref="C18:C26" si="6">G17</f>
        <v>1057622.222222222</v>
      </c>
      <c r="D18" s="217">
        <f t="shared" si="3"/>
        <v>1762.7037037037035</v>
      </c>
      <c r="E18" s="217">
        <f t="shared" si="4"/>
        <v>15088.888888888889</v>
      </c>
      <c r="F18" s="217">
        <f t="shared" si="2"/>
        <v>16851.592592592591</v>
      </c>
      <c r="G18" s="217">
        <f t="shared" si="5"/>
        <v>1042533.3333333331</v>
      </c>
    </row>
    <row r="19" spans="2:11">
      <c r="B19" s="218">
        <v>44681</v>
      </c>
      <c r="C19" s="217">
        <f t="shared" si="6"/>
        <v>1042533.3333333331</v>
      </c>
      <c r="D19" s="217">
        <f t="shared" si="3"/>
        <v>1737.5555555555554</v>
      </c>
      <c r="E19" s="217">
        <f t="shared" si="4"/>
        <v>15088.888888888889</v>
      </c>
      <c r="F19" s="217">
        <f t="shared" si="2"/>
        <v>16826.444444444445</v>
      </c>
      <c r="G19" s="217">
        <f t="shared" si="5"/>
        <v>1027444.4444444443</v>
      </c>
    </row>
    <row r="20" spans="2:11">
      <c r="B20" s="216">
        <v>44712</v>
      </c>
      <c r="C20" s="217">
        <f t="shared" si="6"/>
        <v>1027444.4444444443</v>
      </c>
      <c r="D20" s="217">
        <f t="shared" si="3"/>
        <v>1712.4074074074072</v>
      </c>
      <c r="E20" s="217">
        <f t="shared" si="4"/>
        <v>15088.888888888889</v>
      </c>
      <c r="F20" s="217">
        <f t="shared" si="2"/>
        <v>16801.296296296296</v>
      </c>
      <c r="G20" s="217">
        <f t="shared" si="5"/>
        <v>1012355.5555555554</v>
      </c>
    </row>
    <row r="21" spans="2:11">
      <c r="B21" s="218">
        <v>44742</v>
      </c>
      <c r="C21" s="217">
        <f>G20</f>
        <v>1012355.5555555554</v>
      </c>
      <c r="D21" s="217">
        <f t="shared" si="3"/>
        <v>1687.2592592592591</v>
      </c>
      <c r="E21" s="217">
        <f t="shared" si="4"/>
        <v>15088.888888888889</v>
      </c>
      <c r="F21" s="217">
        <f t="shared" si="2"/>
        <v>16776.148148148146</v>
      </c>
      <c r="G21" s="217">
        <f t="shared" si="5"/>
        <v>997266.66666666651</v>
      </c>
      <c r="H21" s="205"/>
      <c r="I21" s="206"/>
      <c r="J21" s="206"/>
      <c r="K21" s="206"/>
    </row>
    <row r="22" spans="2:11">
      <c r="B22" s="216">
        <v>44773</v>
      </c>
      <c r="C22" s="217">
        <f t="shared" si="6"/>
        <v>997266.66666666651</v>
      </c>
      <c r="D22" s="217">
        <f t="shared" si="3"/>
        <v>1662.1111111111111</v>
      </c>
      <c r="E22" s="217">
        <f t="shared" si="4"/>
        <v>15088.888888888889</v>
      </c>
      <c r="F22" s="217">
        <f t="shared" si="2"/>
        <v>16751</v>
      </c>
      <c r="G22" s="217">
        <f t="shared" si="5"/>
        <v>982177.77777777764</v>
      </c>
    </row>
    <row r="23" spans="2:11">
      <c r="B23" s="218">
        <v>44804</v>
      </c>
      <c r="C23" s="217">
        <f t="shared" si="6"/>
        <v>982177.77777777764</v>
      </c>
      <c r="D23" s="217">
        <f t="shared" si="3"/>
        <v>1636.9629629629628</v>
      </c>
      <c r="E23" s="217">
        <f t="shared" si="4"/>
        <v>15088.888888888889</v>
      </c>
      <c r="F23" s="217">
        <f t="shared" si="2"/>
        <v>16725.85185185185</v>
      </c>
      <c r="G23" s="217">
        <f t="shared" si="5"/>
        <v>967088.88888888876</v>
      </c>
    </row>
    <row r="24" spans="2:11">
      <c r="B24" s="216">
        <v>44834</v>
      </c>
      <c r="C24" s="217">
        <f t="shared" si="6"/>
        <v>967088.88888888876</v>
      </c>
      <c r="D24" s="217">
        <f t="shared" si="3"/>
        <v>1611.8148148148148</v>
      </c>
      <c r="E24" s="217">
        <f t="shared" si="4"/>
        <v>15088.888888888889</v>
      </c>
      <c r="F24" s="217">
        <f t="shared" si="2"/>
        <v>16700.703703703704</v>
      </c>
      <c r="G24" s="217">
        <f t="shared" si="5"/>
        <v>951999.99999999988</v>
      </c>
    </row>
    <row r="25" spans="2:11">
      <c r="B25" s="218">
        <v>44865</v>
      </c>
      <c r="C25" s="217">
        <f t="shared" si="6"/>
        <v>951999.99999999988</v>
      </c>
      <c r="D25" s="217">
        <f t="shared" si="3"/>
        <v>1586.6666666666663</v>
      </c>
      <c r="E25" s="217">
        <f t="shared" si="4"/>
        <v>15088.888888888889</v>
      </c>
      <c r="F25" s="217">
        <f t="shared" si="2"/>
        <v>16675.555555555555</v>
      </c>
      <c r="G25" s="217">
        <f t="shared" si="5"/>
        <v>936911.11111111101</v>
      </c>
    </row>
    <row r="26" spans="2:11">
      <c r="B26" s="216">
        <v>44895</v>
      </c>
      <c r="C26" s="217">
        <f t="shared" si="6"/>
        <v>936911.11111111101</v>
      </c>
      <c r="D26" s="217">
        <f t="shared" si="3"/>
        <v>1561.5185185185182</v>
      </c>
      <c r="E26" s="217">
        <f t="shared" si="4"/>
        <v>15088.888888888889</v>
      </c>
      <c r="F26" s="217">
        <f t="shared" si="2"/>
        <v>16650.407407407409</v>
      </c>
      <c r="G26" s="217">
        <f t="shared" si="5"/>
        <v>921822.22222222213</v>
      </c>
    </row>
    <row r="27" spans="2:11">
      <c r="B27" s="219">
        <v>44926</v>
      </c>
      <c r="C27" s="220">
        <f>G26</f>
        <v>921822.22222222213</v>
      </c>
      <c r="D27" s="220">
        <f t="shared" si="3"/>
        <v>1536.3703703703702</v>
      </c>
      <c r="E27" s="220">
        <f t="shared" si="4"/>
        <v>15088.888888888889</v>
      </c>
      <c r="F27" s="220">
        <f t="shared" si="2"/>
        <v>16625.259259259259</v>
      </c>
      <c r="G27" s="220">
        <f t="shared" si="5"/>
        <v>906733.33333333326</v>
      </c>
      <c r="H27" s="213"/>
      <c r="I27" s="214">
        <f>SUM(D16:D27)</f>
        <v>20096.222222222223</v>
      </c>
      <c r="J27" s="214">
        <f>SUM(E16:E27)</f>
        <v>181066.66666666663</v>
      </c>
      <c r="K27" s="214">
        <f>I27+J27</f>
        <v>201162.88888888885</v>
      </c>
    </row>
    <row r="28" spans="2:11">
      <c r="B28" s="218">
        <v>44957</v>
      </c>
      <c r="C28" s="217">
        <f>G27+0.7*'Projekt 1 - majątek'!Z14</f>
        <v>1991733.3333333333</v>
      </c>
      <c r="D28" s="217">
        <f t="shared" si="3"/>
        <v>3319.5555555555552</v>
      </c>
      <c r="E28" s="217">
        <f t="shared" si="4"/>
        <v>15088.888888888889</v>
      </c>
      <c r="F28" s="217">
        <f t="shared" si="2"/>
        <v>18408.444444444445</v>
      </c>
      <c r="G28" s="217">
        <f t="shared" si="5"/>
        <v>1976644.4444444443</v>
      </c>
      <c r="I28" s="206"/>
      <c r="J28" s="206"/>
      <c r="K28" s="206"/>
    </row>
    <row r="29" spans="2:11">
      <c r="B29" s="216">
        <v>44985</v>
      </c>
      <c r="C29" s="217">
        <f t="shared" ref="C29:C91" si="7">G28</f>
        <v>1976644.4444444443</v>
      </c>
      <c r="D29" s="217">
        <f t="shared" si="3"/>
        <v>3294.4074074074069</v>
      </c>
      <c r="E29" s="217">
        <f t="shared" si="4"/>
        <v>15088.888888888889</v>
      </c>
      <c r="F29" s="217">
        <f t="shared" si="2"/>
        <v>18383.296296296296</v>
      </c>
      <c r="G29" s="217">
        <f t="shared" si="5"/>
        <v>1961555.5555555553</v>
      </c>
      <c r="I29" s="206"/>
      <c r="J29" s="206"/>
      <c r="K29" s="206"/>
    </row>
    <row r="30" spans="2:11">
      <c r="B30" s="218">
        <v>45016</v>
      </c>
      <c r="C30" s="217">
        <f t="shared" si="7"/>
        <v>1961555.5555555553</v>
      </c>
      <c r="D30" s="217">
        <f t="shared" si="3"/>
        <v>3269.2592592592591</v>
      </c>
      <c r="E30" s="217">
        <f t="shared" si="4"/>
        <v>15088.888888888889</v>
      </c>
      <c r="F30" s="217">
        <f t="shared" si="2"/>
        <v>18358.148148148146</v>
      </c>
      <c r="G30" s="217">
        <f t="shared" si="5"/>
        <v>1946466.6666666663</v>
      </c>
      <c r="I30" s="206"/>
      <c r="J30" s="206"/>
      <c r="K30" s="206"/>
    </row>
    <row r="31" spans="2:11">
      <c r="B31" s="216">
        <v>45046</v>
      </c>
      <c r="C31" s="217">
        <f t="shared" si="7"/>
        <v>1946466.6666666663</v>
      </c>
      <c r="D31" s="217">
        <f t="shared" si="3"/>
        <v>3244.1111111111109</v>
      </c>
      <c r="E31" s="217">
        <f t="shared" si="4"/>
        <v>15088.888888888889</v>
      </c>
      <c r="F31" s="217">
        <f t="shared" si="2"/>
        <v>18333</v>
      </c>
      <c r="G31" s="217">
        <f t="shared" si="5"/>
        <v>1931377.7777777773</v>
      </c>
      <c r="I31" s="206"/>
      <c r="J31" s="206"/>
      <c r="K31" s="206"/>
    </row>
    <row r="32" spans="2:11">
      <c r="B32" s="218">
        <v>45077</v>
      </c>
      <c r="C32" s="217">
        <f t="shared" si="7"/>
        <v>1931377.7777777773</v>
      </c>
      <c r="D32" s="217">
        <f t="shared" si="3"/>
        <v>3218.9629629629621</v>
      </c>
      <c r="E32" s="217">
        <f t="shared" si="4"/>
        <v>15088.888888888889</v>
      </c>
      <c r="F32" s="217">
        <f t="shared" si="2"/>
        <v>18307.85185185185</v>
      </c>
      <c r="G32" s="217">
        <f t="shared" si="5"/>
        <v>1916288.8888888883</v>
      </c>
      <c r="I32" s="206"/>
      <c r="J32" s="206"/>
      <c r="K32" s="206"/>
    </row>
    <row r="33" spans="2:11">
      <c r="B33" s="216">
        <v>45107</v>
      </c>
      <c r="C33" s="217">
        <f t="shared" si="7"/>
        <v>1916288.8888888883</v>
      </c>
      <c r="D33" s="217">
        <f t="shared" si="3"/>
        <v>3193.8148148148139</v>
      </c>
      <c r="E33" s="217">
        <f t="shared" si="4"/>
        <v>15088.888888888889</v>
      </c>
      <c r="F33" s="217">
        <f t="shared" si="2"/>
        <v>18282.703703703701</v>
      </c>
      <c r="G33" s="217">
        <f t="shared" si="5"/>
        <v>1901199.9999999993</v>
      </c>
      <c r="I33" s="206"/>
      <c r="J33" s="206"/>
      <c r="K33" s="206"/>
    </row>
    <row r="34" spans="2:11">
      <c r="B34" s="218">
        <v>45138</v>
      </c>
      <c r="C34" s="217">
        <f t="shared" si="7"/>
        <v>1901199.9999999993</v>
      </c>
      <c r="D34" s="217">
        <f t="shared" si="3"/>
        <v>3168.6666666666656</v>
      </c>
      <c r="E34" s="217">
        <f t="shared" si="4"/>
        <v>15088.888888888889</v>
      </c>
      <c r="F34" s="217">
        <f t="shared" si="2"/>
        <v>18257.555555555555</v>
      </c>
      <c r="G34" s="217">
        <f t="shared" si="5"/>
        <v>1886111.1111111103</v>
      </c>
      <c r="I34" s="206"/>
      <c r="J34" s="206"/>
      <c r="K34" s="206"/>
    </row>
    <row r="35" spans="2:11">
      <c r="B35" s="216">
        <v>45169</v>
      </c>
      <c r="C35" s="217">
        <f t="shared" si="7"/>
        <v>1886111.1111111103</v>
      </c>
      <c r="D35" s="217">
        <f t="shared" si="3"/>
        <v>3143.5185185185169</v>
      </c>
      <c r="E35" s="217">
        <f t="shared" si="4"/>
        <v>15088.888888888889</v>
      </c>
      <c r="F35" s="217">
        <f t="shared" si="2"/>
        <v>18232.407407407405</v>
      </c>
      <c r="G35" s="217">
        <f t="shared" si="5"/>
        <v>1871022.2222222213</v>
      </c>
      <c r="I35" s="206"/>
      <c r="J35" s="206"/>
      <c r="K35" s="206"/>
    </row>
    <row r="36" spans="2:11">
      <c r="B36" s="218">
        <v>45199</v>
      </c>
      <c r="C36" s="217">
        <f t="shared" si="7"/>
        <v>1871022.2222222213</v>
      </c>
      <c r="D36" s="217">
        <f t="shared" si="3"/>
        <v>3118.3703703703691</v>
      </c>
      <c r="E36" s="217">
        <f t="shared" si="4"/>
        <v>15088.888888888889</v>
      </c>
      <c r="F36" s="217">
        <f t="shared" si="2"/>
        <v>18207.259259259259</v>
      </c>
      <c r="G36" s="217">
        <f t="shared" si="5"/>
        <v>1855933.3333333323</v>
      </c>
      <c r="I36" s="206"/>
      <c r="J36" s="206"/>
      <c r="K36" s="206"/>
    </row>
    <row r="37" spans="2:11">
      <c r="B37" s="216">
        <v>45230</v>
      </c>
      <c r="C37" s="217">
        <f t="shared" si="7"/>
        <v>1855933.3333333323</v>
      </c>
      <c r="D37" s="217">
        <f t="shared" si="3"/>
        <v>3093.2222222222208</v>
      </c>
      <c r="E37" s="217">
        <f t="shared" si="4"/>
        <v>15088.888888888889</v>
      </c>
      <c r="F37" s="217">
        <f t="shared" si="2"/>
        <v>18182.111111111109</v>
      </c>
      <c r="G37" s="217">
        <f t="shared" si="5"/>
        <v>1840844.4444444433</v>
      </c>
      <c r="I37" s="206"/>
      <c r="J37" s="206"/>
      <c r="K37" s="206"/>
    </row>
    <row r="38" spans="2:11">
      <c r="B38" s="218">
        <v>45260</v>
      </c>
      <c r="C38" s="217">
        <f t="shared" si="7"/>
        <v>1840844.4444444433</v>
      </c>
      <c r="D38" s="217">
        <f t="shared" si="3"/>
        <v>3068.0740740740725</v>
      </c>
      <c r="E38" s="217">
        <f t="shared" si="4"/>
        <v>15088.888888888889</v>
      </c>
      <c r="F38" s="217">
        <f t="shared" si="2"/>
        <v>18156.96296296296</v>
      </c>
      <c r="G38" s="217">
        <f t="shared" si="5"/>
        <v>1825755.5555555543</v>
      </c>
      <c r="I38" s="206"/>
      <c r="J38" s="206"/>
      <c r="K38" s="206"/>
    </row>
    <row r="39" spans="2:11">
      <c r="B39" s="221">
        <v>45291</v>
      </c>
      <c r="C39" s="220">
        <f>G38</f>
        <v>1825755.5555555543</v>
      </c>
      <c r="D39" s="220">
        <f t="shared" si="3"/>
        <v>3042.9259259259238</v>
      </c>
      <c r="E39" s="220">
        <f t="shared" si="4"/>
        <v>15088.888888888889</v>
      </c>
      <c r="F39" s="220">
        <f t="shared" si="2"/>
        <v>18131.814814814814</v>
      </c>
      <c r="G39" s="220">
        <f t="shared" si="5"/>
        <v>1810666.6666666653</v>
      </c>
      <c r="H39" s="213"/>
      <c r="I39" s="214">
        <f>SUM(D28:D39)</f>
        <v>38174.888888888883</v>
      </c>
      <c r="J39" s="214">
        <f>SUM(E28:E39)</f>
        <v>181066.66666666663</v>
      </c>
      <c r="K39" s="214">
        <f>I39+J39</f>
        <v>219241.5555555555</v>
      </c>
    </row>
    <row r="40" spans="2:11">
      <c r="B40" s="218">
        <v>45322</v>
      </c>
      <c r="C40" s="217">
        <f>G39</f>
        <v>1810666.6666666653</v>
      </c>
      <c r="D40" s="217">
        <f t="shared" si="3"/>
        <v>3017.7777777777756</v>
      </c>
      <c r="E40" s="217">
        <f t="shared" si="4"/>
        <v>15088.888888888889</v>
      </c>
      <c r="F40" s="217">
        <f t="shared" si="2"/>
        <v>18106.666666666664</v>
      </c>
      <c r="G40" s="217">
        <f t="shared" si="5"/>
        <v>1795577.7777777764</v>
      </c>
      <c r="I40" s="206"/>
      <c r="J40" s="206"/>
      <c r="K40" s="206"/>
    </row>
    <row r="41" spans="2:11">
      <c r="B41" s="218">
        <v>45351</v>
      </c>
      <c r="C41" s="217">
        <f t="shared" si="7"/>
        <v>1795577.7777777764</v>
      </c>
      <c r="D41" s="217">
        <f t="shared" si="3"/>
        <v>2992.6296296296273</v>
      </c>
      <c r="E41" s="217">
        <f t="shared" si="4"/>
        <v>15088.888888888889</v>
      </c>
      <c r="F41" s="217">
        <f t="shared" si="2"/>
        <v>18081.518518518515</v>
      </c>
      <c r="G41" s="217">
        <f t="shared" si="5"/>
        <v>1780488.8888888874</v>
      </c>
      <c r="I41" s="206"/>
      <c r="J41" s="206"/>
      <c r="K41" s="206"/>
    </row>
    <row r="42" spans="2:11">
      <c r="B42" s="216">
        <v>45382</v>
      </c>
      <c r="C42" s="217">
        <f t="shared" si="7"/>
        <v>1780488.8888888874</v>
      </c>
      <c r="D42" s="217">
        <f t="shared" si="3"/>
        <v>2967.4814814814786</v>
      </c>
      <c r="E42" s="217">
        <f t="shared" si="4"/>
        <v>15088.888888888889</v>
      </c>
      <c r="F42" s="217">
        <f t="shared" si="2"/>
        <v>18056.370370370369</v>
      </c>
      <c r="G42" s="217">
        <f t="shared" si="5"/>
        <v>1765399.9999999984</v>
      </c>
      <c r="I42" s="206"/>
      <c r="J42" s="206"/>
      <c r="K42" s="206"/>
    </row>
    <row r="43" spans="2:11">
      <c r="B43" s="218">
        <v>45412</v>
      </c>
      <c r="C43" s="217">
        <f t="shared" si="7"/>
        <v>1765399.9999999984</v>
      </c>
      <c r="D43" s="217">
        <f t="shared" si="3"/>
        <v>2942.3333333333308</v>
      </c>
      <c r="E43" s="217">
        <f t="shared" si="4"/>
        <v>15088.888888888889</v>
      </c>
      <c r="F43" s="217">
        <f t="shared" si="2"/>
        <v>18031.222222222219</v>
      </c>
      <c r="G43" s="217">
        <f t="shared" si="5"/>
        <v>1750311.1111111094</v>
      </c>
      <c r="I43" s="206"/>
      <c r="J43" s="206"/>
      <c r="K43" s="206"/>
    </row>
    <row r="44" spans="2:11">
      <c r="B44" s="216">
        <v>45443</v>
      </c>
      <c r="C44" s="217">
        <f t="shared" si="7"/>
        <v>1750311.1111111094</v>
      </c>
      <c r="D44" s="217">
        <f t="shared" si="3"/>
        <v>2917.1851851851825</v>
      </c>
      <c r="E44" s="217">
        <f t="shared" si="4"/>
        <v>15088.888888888889</v>
      </c>
      <c r="F44" s="217">
        <f t="shared" si="2"/>
        <v>18006.074074074073</v>
      </c>
      <c r="G44" s="217">
        <f t="shared" si="5"/>
        <v>1735222.2222222204</v>
      </c>
      <c r="I44" s="206"/>
      <c r="J44" s="206"/>
      <c r="K44" s="206"/>
    </row>
    <row r="45" spans="2:11">
      <c r="B45" s="218">
        <v>45473</v>
      </c>
      <c r="C45" s="217">
        <f t="shared" si="7"/>
        <v>1735222.2222222204</v>
      </c>
      <c r="D45" s="217">
        <f t="shared" si="3"/>
        <v>2892.0370370370342</v>
      </c>
      <c r="E45" s="217">
        <f t="shared" si="4"/>
        <v>15088.888888888889</v>
      </c>
      <c r="F45" s="217">
        <f t="shared" si="2"/>
        <v>17980.925925925923</v>
      </c>
      <c r="G45" s="217">
        <f t="shared" si="5"/>
        <v>1720133.3333333314</v>
      </c>
      <c r="I45" s="206"/>
      <c r="J45" s="206"/>
      <c r="K45" s="206"/>
    </row>
    <row r="46" spans="2:11">
      <c r="B46" s="216">
        <v>45504</v>
      </c>
      <c r="C46" s="217">
        <f t="shared" si="7"/>
        <v>1720133.3333333314</v>
      </c>
      <c r="D46" s="217">
        <f t="shared" si="3"/>
        <v>2866.8888888888855</v>
      </c>
      <c r="E46" s="217">
        <f t="shared" si="4"/>
        <v>15088.888888888889</v>
      </c>
      <c r="F46" s="217">
        <f t="shared" si="2"/>
        <v>17955.777777777774</v>
      </c>
      <c r="G46" s="217">
        <f t="shared" si="5"/>
        <v>1705044.4444444424</v>
      </c>
      <c r="I46" s="206"/>
      <c r="J46" s="206"/>
      <c r="K46" s="206"/>
    </row>
    <row r="47" spans="2:11">
      <c r="B47" s="218">
        <v>45535</v>
      </c>
      <c r="C47" s="217">
        <f t="shared" si="7"/>
        <v>1705044.4444444424</v>
      </c>
      <c r="D47" s="217">
        <f t="shared" si="3"/>
        <v>2841.7407407407372</v>
      </c>
      <c r="E47" s="217">
        <f t="shared" si="4"/>
        <v>15088.888888888889</v>
      </c>
      <c r="F47" s="217">
        <f t="shared" si="2"/>
        <v>17930.629629629628</v>
      </c>
      <c r="G47" s="217">
        <f t="shared" si="5"/>
        <v>1689955.5555555534</v>
      </c>
      <c r="I47" s="206"/>
      <c r="J47" s="206"/>
      <c r="K47" s="206"/>
    </row>
    <row r="48" spans="2:11">
      <c r="B48" s="216">
        <v>45565</v>
      </c>
      <c r="C48" s="217">
        <f t="shared" si="7"/>
        <v>1689955.5555555534</v>
      </c>
      <c r="D48" s="217">
        <f t="shared" si="3"/>
        <v>2816.592592592589</v>
      </c>
      <c r="E48" s="217">
        <f t="shared" si="4"/>
        <v>15088.888888888889</v>
      </c>
      <c r="F48" s="217">
        <f t="shared" si="2"/>
        <v>17905.481481481478</v>
      </c>
      <c r="G48" s="217">
        <f t="shared" si="5"/>
        <v>1674866.6666666644</v>
      </c>
      <c r="I48" s="206"/>
      <c r="J48" s="206"/>
      <c r="K48" s="206"/>
    </row>
    <row r="49" spans="2:11">
      <c r="B49" s="218">
        <v>45596</v>
      </c>
      <c r="C49" s="217">
        <f t="shared" si="7"/>
        <v>1674866.6666666644</v>
      </c>
      <c r="D49" s="217">
        <f t="shared" si="3"/>
        <v>2791.4444444444412</v>
      </c>
      <c r="E49" s="217">
        <f t="shared" si="4"/>
        <v>15088.888888888889</v>
      </c>
      <c r="F49" s="217">
        <f t="shared" si="2"/>
        <v>17880.333333333328</v>
      </c>
      <c r="G49" s="217">
        <f t="shared" si="5"/>
        <v>1659777.7777777754</v>
      </c>
      <c r="I49" s="206"/>
      <c r="J49" s="206"/>
      <c r="K49" s="206"/>
    </row>
    <row r="50" spans="2:11">
      <c r="B50" s="216">
        <v>45626</v>
      </c>
      <c r="C50" s="217">
        <f t="shared" si="7"/>
        <v>1659777.7777777754</v>
      </c>
      <c r="D50" s="217">
        <f t="shared" si="3"/>
        <v>2766.2962962962924</v>
      </c>
      <c r="E50" s="217">
        <f t="shared" si="4"/>
        <v>15088.888888888889</v>
      </c>
      <c r="F50" s="217">
        <f t="shared" si="2"/>
        <v>17855.185185185182</v>
      </c>
      <c r="G50" s="217">
        <f t="shared" si="5"/>
        <v>1644688.8888888864</v>
      </c>
      <c r="I50" s="206"/>
      <c r="J50" s="206"/>
      <c r="K50" s="206"/>
    </row>
    <row r="51" spans="2:11">
      <c r="B51" s="219">
        <v>45657</v>
      </c>
      <c r="C51" s="220">
        <f t="shared" si="7"/>
        <v>1644688.8888888864</v>
      </c>
      <c r="D51" s="220">
        <f t="shared" si="3"/>
        <v>2741.1481481481442</v>
      </c>
      <c r="E51" s="220">
        <f t="shared" si="4"/>
        <v>15088.888888888889</v>
      </c>
      <c r="F51" s="220">
        <f t="shared" si="2"/>
        <v>17830.037037037033</v>
      </c>
      <c r="G51" s="220">
        <f t="shared" si="5"/>
        <v>1629599.9999999974</v>
      </c>
      <c r="H51" s="213"/>
      <c r="I51" s="214">
        <f>SUM(D40:D51)</f>
        <v>34553.555555555518</v>
      </c>
      <c r="J51" s="214">
        <f>SUM(E40:E51)</f>
        <v>181066.66666666663</v>
      </c>
      <c r="K51" s="214">
        <f>I51+J51</f>
        <v>215620.22222222213</v>
      </c>
    </row>
    <row r="52" spans="2:11">
      <c r="B52" s="216">
        <v>45688</v>
      </c>
      <c r="C52" s="217">
        <f t="shared" si="7"/>
        <v>1629599.9999999974</v>
      </c>
      <c r="D52" s="217">
        <f t="shared" si="3"/>
        <v>2715.9999999999959</v>
      </c>
      <c r="E52" s="217">
        <f t="shared" si="4"/>
        <v>15088.888888888889</v>
      </c>
      <c r="F52" s="217">
        <f t="shared" si="2"/>
        <v>17804.888888888883</v>
      </c>
      <c r="G52" s="217">
        <f t="shared" si="5"/>
        <v>1614511.1111111084</v>
      </c>
      <c r="I52" s="206"/>
      <c r="J52" s="206"/>
      <c r="K52" s="206"/>
    </row>
    <row r="53" spans="2:11">
      <c r="B53" s="218">
        <v>45716</v>
      </c>
      <c r="C53" s="217">
        <f t="shared" si="7"/>
        <v>1614511.1111111084</v>
      </c>
      <c r="D53" s="217">
        <f t="shared" si="3"/>
        <v>2690.8518518518472</v>
      </c>
      <c r="E53" s="217">
        <f t="shared" si="4"/>
        <v>15088.888888888889</v>
      </c>
      <c r="F53" s="217">
        <f t="shared" si="2"/>
        <v>17779.740740740737</v>
      </c>
      <c r="G53" s="217">
        <f t="shared" si="5"/>
        <v>1599422.2222222195</v>
      </c>
      <c r="I53" s="206"/>
      <c r="J53" s="206"/>
      <c r="K53" s="206"/>
    </row>
    <row r="54" spans="2:11">
      <c r="B54" s="218">
        <v>45747</v>
      </c>
      <c r="C54" s="217">
        <f t="shared" si="7"/>
        <v>1599422.2222222195</v>
      </c>
      <c r="D54" s="217">
        <f t="shared" si="3"/>
        <v>2665.7037037036994</v>
      </c>
      <c r="E54" s="217">
        <f t="shared" si="4"/>
        <v>15088.888888888889</v>
      </c>
      <c r="F54" s="217">
        <f t="shared" si="2"/>
        <v>17754.592592592588</v>
      </c>
      <c r="G54" s="217">
        <f t="shared" si="5"/>
        <v>1584333.3333333305</v>
      </c>
      <c r="I54" s="206"/>
      <c r="J54" s="206"/>
      <c r="K54" s="206"/>
    </row>
    <row r="55" spans="2:11">
      <c r="B55" s="216">
        <v>45777</v>
      </c>
      <c r="C55" s="217">
        <f t="shared" si="7"/>
        <v>1584333.3333333305</v>
      </c>
      <c r="D55" s="217">
        <f t="shared" si="3"/>
        <v>2640.5555555555507</v>
      </c>
      <c r="E55" s="217">
        <f t="shared" si="4"/>
        <v>15088.888888888889</v>
      </c>
      <c r="F55" s="217">
        <f t="shared" si="2"/>
        <v>17729.444444444438</v>
      </c>
      <c r="G55" s="217">
        <f t="shared" si="5"/>
        <v>1569244.4444444415</v>
      </c>
      <c r="I55" s="206"/>
      <c r="J55" s="206"/>
      <c r="K55" s="206"/>
    </row>
    <row r="56" spans="2:11">
      <c r="B56" s="218">
        <v>45808</v>
      </c>
      <c r="C56" s="217">
        <f t="shared" si="7"/>
        <v>1569244.4444444415</v>
      </c>
      <c r="D56" s="217">
        <f t="shared" si="3"/>
        <v>2615.4074074074024</v>
      </c>
      <c r="E56" s="217">
        <f t="shared" si="4"/>
        <v>15088.888888888889</v>
      </c>
      <c r="F56" s="217">
        <f t="shared" si="2"/>
        <v>17704.296296296292</v>
      </c>
      <c r="G56" s="217">
        <f t="shared" si="5"/>
        <v>1554155.5555555525</v>
      </c>
      <c r="I56" s="206"/>
      <c r="J56" s="206"/>
      <c r="K56" s="206"/>
    </row>
    <row r="57" spans="2:11">
      <c r="B57" s="216">
        <v>45838</v>
      </c>
      <c r="C57" s="217">
        <f t="shared" si="7"/>
        <v>1554155.5555555525</v>
      </c>
      <c r="D57" s="217">
        <f t="shared" si="3"/>
        <v>2590.2592592592541</v>
      </c>
      <c r="E57" s="217">
        <f t="shared" si="4"/>
        <v>15088.888888888889</v>
      </c>
      <c r="F57" s="217">
        <f t="shared" si="2"/>
        <v>17679.148148148142</v>
      </c>
      <c r="G57" s="217">
        <f t="shared" si="5"/>
        <v>1539066.6666666635</v>
      </c>
      <c r="I57" s="206"/>
      <c r="J57" s="206"/>
      <c r="K57" s="206"/>
    </row>
    <row r="58" spans="2:11">
      <c r="B58" s="218">
        <v>45869</v>
      </c>
      <c r="C58" s="217">
        <f t="shared" si="7"/>
        <v>1539066.6666666635</v>
      </c>
      <c r="D58" s="217">
        <f t="shared" si="3"/>
        <v>2565.1111111111059</v>
      </c>
      <c r="E58" s="217">
        <f t="shared" si="4"/>
        <v>15088.888888888889</v>
      </c>
      <c r="F58" s="217">
        <f t="shared" si="2"/>
        <v>17653.999999999993</v>
      </c>
      <c r="G58" s="217">
        <f t="shared" si="5"/>
        <v>1523977.7777777745</v>
      </c>
      <c r="I58" s="206"/>
      <c r="J58" s="206"/>
      <c r="K58" s="206"/>
    </row>
    <row r="59" spans="2:11">
      <c r="B59" s="216">
        <v>45900</v>
      </c>
      <c r="C59" s="217">
        <f t="shared" si="7"/>
        <v>1523977.7777777745</v>
      </c>
      <c r="D59" s="217">
        <f t="shared" si="3"/>
        <v>2539.9629629629576</v>
      </c>
      <c r="E59" s="217">
        <f t="shared" si="4"/>
        <v>15088.888888888889</v>
      </c>
      <c r="F59" s="217">
        <f t="shared" si="2"/>
        <v>17628.851851851847</v>
      </c>
      <c r="G59" s="217">
        <f t="shared" si="5"/>
        <v>1508888.8888888855</v>
      </c>
      <c r="I59" s="206"/>
      <c r="J59" s="206"/>
      <c r="K59" s="206"/>
    </row>
    <row r="60" spans="2:11">
      <c r="B60" s="218">
        <v>45930</v>
      </c>
      <c r="C60" s="217">
        <f t="shared" si="7"/>
        <v>1508888.8888888855</v>
      </c>
      <c r="D60" s="217">
        <f t="shared" si="3"/>
        <v>2514.8148148148093</v>
      </c>
      <c r="E60" s="217">
        <f t="shared" si="4"/>
        <v>15088.888888888889</v>
      </c>
      <c r="F60" s="217">
        <f t="shared" si="2"/>
        <v>17603.703703703697</v>
      </c>
      <c r="G60" s="217">
        <f t="shared" si="5"/>
        <v>1493799.9999999965</v>
      </c>
      <c r="I60" s="206"/>
      <c r="J60" s="206"/>
      <c r="K60" s="206"/>
    </row>
    <row r="61" spans="2:11">
      <c r="B61" s="216">
        <v>45961</v>
      </c>
      <c r="C61" s="217">
        <f t="shared" si="7"/>
        <v>1493799.9999999965</v>
      </c>
      <c r="D61" s="217">
        <f t="shared" si="3"/>
        <v>2489.6666666666611</v>
      </c>
      <c r="E61" s="217">
        <f t="shared" si="4"/>
        <v>15088.888888888889</v>
      </c>
      <c r="F61" s="217">
        <f t="shared" si="2"/>
        <v>17578.555555555551</v>
      </c>
      <c r="G61" s="217">
        <f t="shared" si="5"/>
        <v>1478711.1111111075</v>
      </c>
      <c r="I61" s="206"/>
      <c r="J61" s="206"/>
      <c r="K61" s="206"/>
    </row>
    <row r="62" spans="2:11">
      <c r="B62" s="218">
        <v>45991</v>
      </c>
      <c r="C62" s="217">
        <f t="shared" si="7"/>
        <v>1478711.1111111075</v>
      </c>
      <c r="D62" s="217">
        <f t="shared" si="3"/>
        <v>2464.5185185185123</v>
      </c>
      <c r="E62" s="217">
        <f t="shared" si="4"/>
        <v>15088.888888888889</v>
      </c>
      <c r="F62" s="217">
        <f t="shared" si="2"/>
        <v>17553.407407407401</v>
      </c>
      <c r="G62" s="217">
        <f t="shared" si="5"/>
        <v>1463622.2222222185</v>
      </c>
      <c r="I62" s="206"/>
      <c r="J62" s="206"/>
      <c r="K62" s="206"/>
    </row>
    <row r="63" spans="2:11">
      <c r="B63" s="221">
        <v>46022</v>
      </c>
      <c r="C63" s="220">
        <f t="shared" si="7"/>
        <v>1463622.2222222185</v>
      </c>
      <c r="D63" s="220">
        <f t="shared" si="3"/>
        <v>2439.3703703703645</v>
      </c>
      <c r="E63" s="220">
        <f t="shared" si="4"/>
        <v>15088.888888888889</v>
      </c>
      <c r="F63" s="220">
        <f t="shared" si="2"/>
        <v>17528.259259259252</v>
      </c>
      <c r="G63" s="220">
        <f t="shared" si="5"/>
        <v>1448533.3333333295</v>
      </c>
      <c r="H63" s="213"/>
      <c r="I63" s="214">
        <f>SUM(D52:D63)</f>
        <v>30932.222222222157</v>
      </c>
      <c r="J63" s="214">
        <f>SUM(E52:E63)</f>
        <v>181066.66666666663</v>
      </c>
      <c r="K63" s="214">
        <f>I63+J63</f>
        <v>211998.88888888879</v>
      </c>
    </row>
    <row r="64" spans="2:11">
      <c r="B64" s="218">
        <v>46053</v>
      </c>
      <c r="C64" s="217">
        <f t="shared" si="7"/>
        <v>1448533.3333333295</v>
      </c>
      <c r="D64" s="217">
        <f t="shared" si="3"/>
        <v>2414.2222222222158</v>
      </c>
      <c r="E64" s="217">
        <f t="shared" si="4"/>
        <v>15088.888888888889</v>
      </c>
      <c r="F64" s="217">
        <f t="shared" si="2"/>
        <v>17503.111111111106</v>
      </c>
      <c r="G64" s="217">
        <f t="shared" si="5"/>
        <v>1433444.4444444405</v>
      </c>
      <c r="I64" s="206"/>
      <c r="J64" s="206"/>
      <c r="K64" s="206"/>
    </row>
    <row r="65" spans="2:11">
      <c r="B65" s="216">
        <v>46081</v>
      </c>
      <c r="C65" s="217">
        <f t="shared" si="7"/>
        <v>1433444.4444444405</v>
      </c>
      <c r="D65" s="217">
        <f t="shared" si="3"/>
        <v>2389.0740740740675</v>
      </c>
      <c r="E65" s="217">
        <f t="shared" si="4"/>
        <v>15088.888888888889</v>
      </c>
      <c r="F65" s="217">
        <f t="shared" si="2"/>
        <v>17477.962962962956</v>
      </c>
      <c r="G65" s="217">
        <f t="shared" si="5"/>
        <v>1418355.5555555515</v>
      </c>
      <c r="I65" s="206"/>
      <c r="J65" s="206"/>
      <c r="K65" s="206"/>
    </row>
    <row r="66" spans="2:11">
      <c r="B66" s="218">
        <v>46112</v>
      </c>
      <c r="C66" s="217">
        <f t="shared" si="7"/>
        <v>1418355.5555555515</v>
      </c>
      <c r="D66" s="217">
        <f t="shared" si="3"/>
        <v>2363.9259259259193</v>
      </c>
      <c r="E66" s="217">
        <f t="shared" si="4"/>
        <v>15088.888888888889</v>
      </c>
      <c r="F66" s="217">
        <f t="shared" si="2"/>
        <v>17452.814814814807</v>
      </c>
      <c r="G66" s="217">
        <f t="shared" si="5"/>
        <v>1403266.6666666626</v>
      </c>
      <c r="I66" s="206"/>
      <c r="J66" s="206"/>
      <c r="K66" s="206"/>
    </row>
    <row r="67" spans="2:11">
      <c r="B67" s="218">
        <v>46142</v>
      </c>
      <c r="C67" s="217">
        <f t="shared" si="7"/>
        <v>1403266.6666666626</v>
      </c>
      <c r="D67" s="217">
        <f t="shared" si="3"/>
        <v>2338.777777777771</v>
      </c>
      <c r="E67" s="217">
        <f t="shared" si="4"/>
        <v>15088.888888888889</v>
      </c>
      <c r="F67" s="217">
        <f t="shared" si="2"/>
        <v>17427.666666666661</v>
      </c>
      <c r="G67" s="217">
        <f t="shared" si="5"/>
        <v>1388177.7777777736</v>
      </c>
      <c r="I67" s="206"/>
      <c r="J67" s="206"/>
      <c r="K67" s="206"/>
    </row>
    <row r="68" spans="2:11">
      <c r="B68" s="216">
        <v>46173</v>
      </c>
      <c r="C68" s="217">
        <f t="shared" si="7"/>
        <v>1388177.7777777736</v>
      </c>
      <c r="D68" s="217">
        <f t="shared" si="3"/>
        <v>2313.6296296296227</v>
      </c>
      <c r="E68" s="217">
        <f t="shared" si="4"/>
        <v>15088.888888888889</v>
      </c>
      <c r="F68" s="217">
        <f t="shared" si="2"/>
        <v>17402.518518518511</v>
      </c>
      <c r="G68" s="217">
        <f t="shared" si="5"/>
        <v>1373088.8888888846</v>
      </c>
      <c r="I68" s="206"/>
      <c r="J68" s="206"/>
      <c r="K68" s="206"/>
    </row>
    <row r="69" spans="2:11">
      <c r="B69" s="218">
        <v>46203</v>
      </c>
      <c r="C69" s="217">
        <f t="shared" si="7"/>
        <v>1373088.8888888846</v>
      </c>
      <c r="D69" s="217">
        <f t="shared" si="3"/>
        <v>2288.4814814814745</v>
      </c>
      <c r="E69" s="217">
        <f t="shared" si="4"/>
        <v>15088.888888888889</v>
      </c>
      <c r="F69" s="217">
        <f t="shared" si="2"/>
        <v>17377.370370370365</v>
      </c>
      <c r="G69" s="217">
        <f t="shared" si="5"/>
        <v>1357999.9999999956</v>
      </c>
      <c r="I69" s="206"/>
      <c r="J69" s="206"/>
      <c r="K69" s="206"/>
    </row>
    <row r="70" spans="2:11">
      <c r="B70" s="216">
        <v>46234</v>
      </c>
      <c r="C70" s="217">
        <f t="shared" si="7"/>
        <v>1357999.9999999956</v>
      </c>
      <c r="D70" s="217">
        <f t="shared" si="3"/>
        <v>2263.3333333333262</v>
      </c>
      <c r="E70" s="217">
        <f t="shared" si="4"/>
        <v>15088.888888888889</v>
      </c>
      <c r="F70" s="217">
        <f t="shared" si="2"/>
        <v>17352.222222222215</v>
      </c>
      <c r="G70" s="217">
        <f t="shared" si="5"/>
        <v>1342911.1111111066</v>
      </c>
      <c r="I70" s="206"/>
      <c r="J70" s="206"/>
      <c r="K70" s="206"/>
    </row>
    <row r="71" spans="2:11">
      <c r="B71" s="218">
        <v>46265</v>
      </c>
      <c r="C71" s="217">
        <f t="shared" si="7"/>
        <v>1342911.1111111066</v>
      </c>
      <c r="D71" s="217">
        <f t="shared" si="3"/>
        <v>2238.1851851851775</v>
      </c>
      <c r="E71" s="217">
        <f t="shared" si="4"/>
        <v>15088.888888888889</v>
      </c>
      <c r="F71" s="217">
        <f t="shared" si="2"/>
        <v>17327.074074074066</v>
      </c>
      <c r="G71" s="217">
        <f t="shared" si="5"/>
        <v>1327822.2222222176</v>
      </c>
      <c r="I71" s="206"/>
      <c r="J71" s="206"/>
      <c r="K71" s="206"/>
    </row>
    <row r="72" spans="2:11">
      <c r="B72" s="216">
        <v>46295</v>
      </c>
      <c r="C72" s="217">
        <f t="shared" si="7"/>
        <v>1327822.2222222176</v>
      </c>
      <c r="D72" s="217">
        <f t="shared" si="3"/>
        <v>2213.0370370370292</v>
      </c>
      <c r="E72" s="217">
        <f t="shared" si="4"/>
        <v>15088.888888888889</v>
      </c>
      <c r="F72" s="217">
        <f t="shared" si="2"/>
        <v>17301.92592592592</v>
      </c>
      <c r="G72" s="217">
        <f t="shared" si="5"/>
        <v>1312733.3333333286</v>
      </c>
      <c r="I72" s="206"/>
      <c r="J72" s="206"/>
      <c r="K72" s="206"/>
    </row>
    <row r="73" spans="2:11">
      <c r="B73" s="218">
        <v>46326</v>
      </c>
      <c r="C73" s="217">
        <f t="shared" si="7"/>
        <v>1312733.3333333286</v>
      </c>
      <c r="D73" s="217">
        <f t="shared" si="3"/>
        <v>2187.888888888881</v>
      </c>
      <c r="E73" s="217">
        <f t="shared" si="4"/>
        <v>15088.888888888889</v>
      </c>
      <c r="F73" s="217">
        <f t="shared" si="2"/>
        <v>17276.77777777777</v>
      </c>
      <c r="G73" s="217">
        <f t="shared" si="5"/>
        <v>1297644.4444444396</v>
      </c>
      <c r="I73" s="206"/>
      <c r="J73" s="206"/>
      <c r="K73" s="206"/>
    </row>
    <row r="74" spans="2:11">
      <c r="B74" s="216">
        <v>46356</v>
      </c>
      <c r="C74" s="217">
        <f t="shared" si="7"/>
        <v>1297644.4444444396</v>
      </c>
      <c r="D74" s="217">
        <f t="shared" si="3"/>
        <v>2162.7407407407327</v>
      </c>
      <c r="E74" s="217">
        <f t="shared" si="4"/>
        <v>15088.888888888889</v>
      </c>
      <c r="F74" s="217">
        <f t="shared" si="2"/>
        <v>17251.62962962962</v>
      </c>
      <c r="G74" s="217">
        <f t="shared" si="5"/>
        <v>1282555.5555555506</v>
      </c>
      <c r="I74" s="206"/>
      <c r="J74" s="206"/>
      <c r="K74" s="206"/>
    </row>
    <row r="75" spans="2:11">
      <c r="B75" s="219">
        <v>46387</v>
      </c>
      <c r="C75" s="220">
        <f t="shared" si="7"/>
        <v>1282555.5555555506</v>
      </c>
      <c r="D75" s="220">
        <f t="shared" si="3"/>
        <v>2137.5925925925844</v>
      </c>
      <c r="E75" s="220">
        <f t="shared" si="4"/>
        <v>15088.888888888889</v>
      </c>
      <c r="F75" s="220">
        <f t="shared" si="2"/>
        <v>17226.481481481474</v>
      </c>
      <c r="G75" s="220">
        <f t="shared" si="5"/>
        <v>1267466.6666666616</v>
      </c>
      <c r="H75" s="213"/>
      <c r="I75" s="214">
        <f>SUM(D64:D75)</f>
        <v>27310.888888888803</v>
      </c>
      <c r="J75" s="214">
        <f>SUM(E64:E75)</f>
        <v>181066.66666666663</v>
      </c>
      <c r="K75" s="214">
        <f>I75+J75</f>
        <v>208377.55555555545</v>
      </c>
    </row>
    <row r="76" spans="2:11">
      <c r="B76" s="216">
        <v>46418</v>
      </c>
      <c r="C76" s="217">
        <f t="shared" si="7"/>
        <v>1267466.6666666616</v>
      </c>
      <c r="D76" s="217">
        <f t="shared" si="3"/>
        <v>2112.4444444444362</v>
      </c>
      <c r="E76" s="217">
        <f t="shared" si="4"/>
        <v>15088.888888888889</v>
      </c>
      <c r="F76" s="217">
        <f t="shared" si="2"/>
        <v>17201.333333333325</v>
      </c>
      <c r="G76" s="217">
        <f t="shared" si="5"/>
        <v>1252377.7777777726</v>
      </c>
      <c r="I76" s="206"/>
      <c r="J76" s="206"/>
      <c r="K76" s="206"/>
    </row>
    <row r="77" spans="2:11">
      <c r="B77" s="218">
        <v>46446</v>
      </c>
      <c r="C77" s="217">
        <f t="shared" si="7"/>
        <v>1252377.7777777726</v>
      </c>
      <c r="D77" s="217">
        <f t="shared" si="3"/>
        <v>2087.2962962962879</v>
      </c>
      <c r="E77" s="217">
        <f t="shared" si="4"/>
        <v>15088.888888888889</v>
      </c>
      <c r="F77" s="217">
        <f t="shared" si="2"/>
        <v>17176.185185185175</v>
      </c>
      <c r="G77" s="217">
        <f t="shared" si="5"/>
        <v>1237288.8888888836</v>
      </c>
      <c r="I77" s="206"/>
      <c r="J77" s="206"/>
      <c r="K77" s="206"/>
    </row>
    <row r="78" spans="2:11">
      <c r="B78" s="216">
        <v>46477</v>
      </c>
      <c r="C78" s="217">
        <f t="shared" si="7"/>
        <v>1237288.8888888836</v>
      </c>
      <c r="D78" s="217">
        <f t="shared" si="3"/>
        <v>2062.1481481481392</v>
      </c>
      <c r="E78" s="217">
        <f t="shared" si="4"/>
        <v>15088.888888888889</v>
      </c>
      <c r="F78" s="217">
        <f t="shared" si="2"/>
        <v>17151.037037037029</v>
      </c>
      <c r="G78" s="217">
        <f t="shared" si="5"/>
        <v>1222199.9999999946</v>
      </c>
      <c r="I78" s="206"/>
      <c r="J78" s="206"/>
      <c r="K78" s="206"/>
    </row>
    <row r="79" spans="2:11">
      <c r="B79" s="218">
        <v>46507</v>
      </c>
      <c r="C79" s="217">
        <f t="shared" si="7"/>
        <v>1222199.9999999946</v>
      </c>
      <c r="D79" s="217">
        <f t="shared" si="3"/>
        <v>2036.9999999999911</v>
      </c>
      <c r="E79" s="217">
        <f t="shared" si="4"/>
        <v>15088.888888888889</v>
      </c>
      <c r="F79" s="217">
        <f t="shared" si="2"/>
        <v>17125.88888888888</v>
      </c>
      <c r="G79" s="217">
        <f t="shared" si="5"/>
        <v>1207111.1111111057</v>
      </c>
      <c r="I79" s="206"/>
      <c r="J79" s="206"/>
      <c r="K79" s="206"/>
    </row>
    <row r="80" spans="2:11">
      <c r="B80" s="218">
        <v>46538</v>
      </c>
      <c r="C80" s="217">
        <f t="shared" si="7"/>
        <v>1207111.1111111057</v>
      </c>
      <c r="D80" s="217">
        <f t="shared" si="3"/>
        <v>2011.8518518518429</v>
      </c>
      <c r="E80" s="217">
        <f t="shared" si="4"/>
        <v>15088.888888888889</v>
      </c>
      <c r="F80" s="217">
        <f t="shared" ref="F80:F143" si="8">D80+E80</f>
        <v>17100.74074074073</v>
      </c>
      <c r="G80" s="217">
        <f t="shared" si="5"/>
        <v>1192022.2222222167</v>
      </c>
      <c r="I80" s="206"/>
      <c r="J80" s="206"/>
      <c r="K80" s="206"/>
    </row>
    <row r="81" spans="2:11">
      <c r="B81" s="216">
        <v>46568</v>
      </c>
      <c r="C81" s="217">
        <f t="shared" si="7"/>
        <v>1192022.2222222167</v>
      </c>
      <c r="D81" s="217">
        <f t="shared" ref="D81:D144" si="9">C81*$J$6/12</f>
        <v>1986.7037037036944</v>
      </c>
      <c r="E81" s="217">
        <f t="shared" ref="E81:E144" si="10">$J$5/$J$8</f>
        <v>15088.888888888889</v>
      </c>
      <c r="F81" s="217">
        <f t="shared" si="8"/>
        <v>17075.592592592584</v>
      </c>
      <c r="G81" s="217">
        <f t="shared" ref="G81:G144" si="11">C81-E81</f>
        <v>1176933.3333333277</v>
      </c>
      <c r="I81" s="206"/>
      <c r="J81" s="206"/>
      <c r="K81" s="206"/>
    </row>
    <row r="82" spans="2:11">
      <c r="B82" s="218">
        <v>46599</v>
      </c>
      <c r="C82" s="217">
        <f t="shared" si="7"/>
        <v>1176933.3333333277</v>
      </c>
      <c r="D82" s="217">
        <f t="shared" si="9"/>
        <v>1961.5555555555463</v>
      </c>
      <c r="E82" s="217">
        <f t="shared" si="10"/>
        <v>15088.888888888889</v>
      </c>
      <c r="F82" s="217">
        <f t="shared" si="8"/>
        <v>17050.444444444434</v>
      </c>
      <c r="G82" s="217">
        <f t="shared" si="11"/>
        <v>1161844.4444444387</v>
      </c>
      <c r="I82" s="206"/>
      <c r="J82" s="206"/>
      <c r="K82" s="206"/>
    </row>
    <row r="83" spans="2:11">
      <c r="B83" s="216">
        <v>46630</v>
      </c>
      <c r="C83" s="217">
        <f t="shared" si="7"/>
        <v>1161844.4444444387</v>
      </c>
      <c r="D83" s="217">
        <f t="shared" si="9"/>
        <v>1936.4074074073978</v>
      </c>
      <c r="E83" s="217">
        <f t="shared" si="10"/>
        <v>15088.888888888889</v>
      </c>
      <c r="F83" s="217">
        <f t="shared" si="8"/>
        <v>17025.296296296285</v>
      </c>
      <c r="G83" s="217">
        <f t="shared" si="11"/>
        <v>1146755.5555555497</v>
      </c>
      <c r="I83" s="206"/>
      <c r="J83" s="206"/>
      <c r="K83" s="206"/>
    </row>
    <row r="84" spans="2:11">
      <c r="B84" s="218">
        <v>46660</v>
      </c>
      <c r="C84" s="217">
        <f t="shared" si="7"/>
        <v>1146755.5555555497</v>
      </c>
      <c r="D84" s="217">
        <f t="shared" si="9"/>
        <v>1911.2592592592493</v>
      </c>
      <c r="E84" s="217">
        <f t="shared" si="10"/>
        <v>15088.888888888889</v>
      </c>
      <c r="F84" s="217">
        <f t="shared" si="8"/>
        <v>17000.148148148139</v>
      </c>
      <c r="G84" s="217">
        <f t="shared" si="11"/>
        <v>1131666.6666666607</v>
      </c>
      <c r="I84" s="206"/>
      <c r="J84" s="206"/>
      <c r="K84" s="206"/>
    </row>
    <row r="85" spans="2:11">
      <c r="B85" s="216">
        <v>46691</v>
      </c>
      <c r="C85" s="217">
        <f t="shared" si="7"/>
        <v>1131666.6666666607</v>
      </c>
      <c r="D85" s="217">
        <f t="shared" si="9"/>
        <v>1886.1111111111013</v>
      </c>
      <c r="E85" s="217">
        <f t="shared" si="10"/>
        <v>15088.888888888889</v>
      </c>
      <c r="F85" s="217">
        <f t="shared" si="8"/>
        <v>16974.999999999989</v>
      </c>
      <c r="G85" s="217">
        <f t="shared" si="11"/>
        <v>1116577.7777777717</v>
      </c>
      <c r="I85" s="206"/>
      <c r="J85" s="206"/>
      <c r="K85" s="206"/>
    </row>
    <row r="86" spans="2:11">
      <c r="B86" s="218">
        <v>46721</v>
      </c>
      <c r="C86" s="217">
        <f t="shared" si="7"/>
        <v>1116577.7777777717</v>
      </c>
      <c r="D86" s="217">
        <f t="shared" si="9"/>
        <v>1860.9629629629528</v>
      </c>
      <c r="E86" s="217">
        <f t="shared" si="10"/>
        <v>15088.888888888889</v>
      </c>
      <c r="F86" s="217">
        <f t="shared" si="8"/>
        <v>16949.851851851843</v>
      </c>
      <c r="G86" s="217">
        <f t="shared" si="11"/>
        <v>1101488.8888888827</v>
      </c>
      <c r="I86" s="206"/>
      <c r="J86" s="206"/>
      <c r="K86" s="206"/>
    </row>
    <row r="87" spans="2:11">
      <c r="B87" s="221">
        <v>46752</v>
      </c>
      <c r="C87" s="220">
        <f t="shared" si="7"/>
        <v>1101488.8888888827</v>
      </c>
      <c r="D87" s="220">
        <f t="shared" si="9"/>
        <v>1835.8148148148045</v>
      </c>
      <c r="E87" s="220">
        <f t="shared" si="10"/>
        <v>15088.888888888889</v>
      </c>
      <c r="F87" s="220">
        <f t="shared" si="8"/>
        <v>16924.703703703693</v>
      </c>
      <c r="G87" s="220">
        <f t="shared" si="11"/>
        <v>1086399.9999999937</v>
      </c>
      <c r="H87" s="213"/>
      <c r="I87" s="214">
        <f>SUM(D76:D87)</f>
        <v>23689.555555555442</v>
      </c>
      <c r="J87" s="214">
        <f>SUM(E76:E87)</f>
        <v>181066.66666666663</v>
      </c>
      <c r="K87" s="214">
        <f>I87+J87</f>
        <v>204756.22222222207</v>
      </c>
    </row>
    <row r="88" spans="2:11">
      <c r="B88" s="218">
        <v>46783</v>
      </c>
      <c r="C88" s="217">
        <f t="shared" si="7"/>
        <v>1086399.9999999937</v>
      </c>
      <c r="D88" s="217">
        <f t="shared" si="9"/>
        <v>1810.6666666666563</v>
      </c>
      <c r="E88" s="217">
        <f t="shared" si="10"/>
        <v>15088.888888888889</v>
      </c>
      <c r="F88" s="217">
        <f t="shared" si="8"/>
        <v>16899.555555555544</v>
      </c>
      <c r="G88" s="217">
        <f t="shared" si="11"/>
        <v>1071311.1111111047</v>
      </c>
      <c r="I88" s="206"/>
      <c r="J88" s="206"/>
      <c r="K88" s="206"/>
    </row>
    <row r="89" spans="2:11">
      <c r="B89" s="216">
        <v>46812</v>
      </c>
      <c r="C89" s="217">
        <f t="shared" si="7"/>
        <v>1071311.1111111047</v>
      </c>
      <c r="D89" s="217">
        <f t="shared" si="9"/>
        <v>1785.518518518508</v>
      </c>
      <c r="E89" s="217">
        <f t="shared" si="10"/>
        <v>15088.888888888889</v>
      </c>
      <c r="F89" s="217">
        <f t="shared" si="8"/>
        <v>16874.407407407398</v>
      </c>
      <c r="G89" s="217">
        <f t="shared" si="11"/>
        <v>1056222.2222222157</v>
      </c>
      <c r="I89" s="206"/>
      <c r="J89" s="206"/>
      <c r="K89" s="206"/>
    </row>
    <row r="90" spans="2:11">
      <c r="B90" s="218">
        <v>46843</v>
      </c>
      <c r="C90" s="217">
        <f t="shared" si="7"/>
        <v>1056222.2222222157</v>
      </c>
      <c r="D90" s="217">
        <f t="shared" si="9"/>
        <v>1760.3703703703595</v>
      </c>
      <c r="E90" s="217">
        <f t="shared" si="10"/>
        <v>15088.888888888889</v>
      </c>
      <c r="F90" s="217">
        <f t="shared" si="8"/>
        <v>16849.259259259248</v>
      </c>
      <c r="G90" s="217">
        <f t="shared" si="11"/>
        <v>1041133.3333333269</v>
      </c>
      <c r="I90" s="206"/>
      <c r="J90" s="206"/>
      <c r="K90" s="206"/>
    </row>
    <row r="91" spans="2:11">
      <c r="B91" s="216">
        <v>46873</v>
      </c>
      <c r="C91" s="217">
        <f t="shared" si="7"/>
        <v>1041133.3333333269</v>
      </c>
      <c r="D91" s="217">
        <f t="shared" si="9"/>
        <v>1735.2222222222115</v>
      </c>
      <c r="E91" s="217">
        <f t="shared" si="10"/>
        <v>15088.888888888889</v>
      </c>
      <c r="F91" s="217">
        <f t="shared" si="8"/>
        <v>16824.111111111099</v>
      </c>
      <c r="G91" s="217">
        <f t="shared" si="11"/>
        <v>1026044.444444438</v>
      </c>
      <c r="I91" s="206"/>
      <c r="J91" s="206"/>
      <c r="K91" s="206"/>
    </row>
    <row r="92" spans="2:11">
      <c r="B92" s="218">
        <v>46904</v>
      </c>
      <c r="C92" s="217">
        <f t="shared" ref="C92:C98" si="12">G91</f>
        <v>1026044.444444438</v>
      </c>
      <c r="D92" s="217">
        <f t="shared" si="9"/>
        <v>1710.0740740740632</v>
      </c>
      <c r="E92" s="217">
        <f t="shared" si="10"/>
        <v>15088.888888888889</v>
      </c>
      <c r="F92" s="217">
        <f t="shared" si="8"/>
        <v>16798.962962962953</v>
      </c>
      <c r="G92" s="217">
        <f t="shared" si="11"/>
        <v>1010955.5555555491</v>
      </c>
      <c r="I92" s="206"/>
      <c r="J92" s="206"/>
      <c r="K92" s="206"/>
    </row>
    <row r="93" spans="2:11">
      <c r="B93" s="218">
        <v>46934</v>
      </c>
      <c r="C93" s="217">
        <f t="shared" si="12"/>
        <v>1010955.5555555491</v>
      </c>
      <c r="D93" s="217">
        <f t="shared" si="9"/>
        <v>1684.9259259259152</v>
      </c>
      <c r="E93" s="217">
        <f t="shared" si="10"/>
        <v>15088.888888888889</v>
      </c>
      <c r="F93" s="217">
        <f t="shared" si="8"/>
        <v>16773.814814814803</v>
      </c>
      <c r="G93" s="217">
        <f t="shared" si="11"/>
        <v>995866.66666666023</v>
      </c>
      <c r="I93" s="206"/>
      <c r="J93" s="206"/>
      <c r="K93" s="206"/>
    </row>
    <row r="94" spans="2:11">
      <c r="B94" s="216">
        <v>46965</v>
      </c>
      <c r="C94" s="217">
        <f t="shared" si="12"/>
        <v>995866.66666666023</v>
      </c>
      <c r="D94" s="217">
        <f t="shared" si="9"/>
        <v>1659.7777777777671</v>
      </c>
      <c r="E94" s="217">
        <f t="shared" si="10"/>
        <v>15088.888888888889</v>
      </c>
      <c r="F94" s="217">
        <f t="shared" si="8"/>
        <v>16748.666666666657</v>
      </c>
      <c r="G94" s="217">
        <f t="shared" si="11"/>
        <v>980777.77777777135</v>
      </c>
      <c r="I94" s="206"/>
      <c r="J94" s="206"/>
      <c r="K94" s="206"/>
    </row>
    <row r="95" spans="2:11">
      <c r="B95" s="218">
        <v>46996</v>
      </c>
      <c r="C95" s="217">
        <f t="shared" si="12"/>
        <v>980777.77777777135</v>
      </c>
      <c r="D95" s="217">
        <f t="shared" si="9"/>
        <v>1634.6296296296189</v>
      </c>
      <c r="E95" s="217">
        <f t="shared" si="10"/>
        <v>15088.888888888889</v>
      </c>
      <c r="F95" s="217">
        <f t="shared" si="8"/>
        <v>16723.518518518507</v>
      </c>
      <c r="G95" s="217">
        <f t="shared" si="11"/>
        <v>965688.88888888247</v>
      </c>
      <c r="I95" s="206"/>
      <c r="J95" s="206"/>
      <c r="K95" s="206"/>
    </row>
    <row r="96" spans="2:11">
      <c r="B96" s="216">
        <v>47026</v>
      </c>
      <c r="C96" s="217">
        <f t="shared" si="12"/>
        <v>965688.88888888247</v>
      </c>
      <c r="D96" s="217">
        <f t="shared" si="9"/>
        <v>1609.4814814814708</v>
      </c>
      <c r="E96" s="217">
        <f t="shared" si="10"/>
        <v>15088.888888888889</v>
      </c>
      <c r="F96" s="217">
        <f t="shared" si="8"/>
        <v>16698.370370370358</v>
      </c>
      <c r="G96" s="217">
        <f t="shared" si="11"/>
        <v>950599.9999999936</v>
      </c>
      <c r="I96" s="206"/>
      <c r="J96" s="206"/>
      <c r="K96" s="206"/>
    </row>
    <row r="97" spans="2:11">
      <c r="B97" s="218">
        <v>47057</v>
      </c>
      <c r="C97" s="217">
        <f t="shared" si="12"/>
        <v>950599.9999999936</v>
      </c>
      <c r="D97" s="217">
        <f t="shared" si="9"/>
        <v>1584.3333333333228</v>
      </c>
      <c r="E97" s="217">
        <f t="shared" si="10"/>
        <v>15088.888888888889</v>
      </c>
      <c r="F97" s="217">
        <f t="shared" si="8"/>
        <v>16673.222222222212</v>
      </c>
      <c r="G97" s="217">
        <f t="shared" si="11"/>
        <v>935511.11111110472</v>
      </c>
      <c r="I97" s="206"/>
      <c r="J97" s="206"/>
      <c r="K97" s="206"/>
    </row>
    <row r="98" spans="2:11">
      <c r="B98" s="216">
        <v>47087</v>
      </c>
      <c r="C98" s="217">
        <f t="shared" si="12"/>
        <v>935511.11111110472</v>
      </c>
      <c r="D98" s="217">
        <f t="shared" si="9"/>
        <v>1559.1851851851745</v>
      </c>
      <c r="E98" s="217">
        <f t="shared" si="10"/>
        <v>15088.888888888889</v>
      </c>
      <c r="F98" s="217">
        <f t="shared" si="8"/>
        <v>16648.074074074062</v>
      </c>
      <c r="G98" s="217">
        <f t="shared" si="11"/>
        <v>920422.22222221585</v>
      </c>
      <c r="I98" s="206"/>
      <c r="J98" s="206"/>
      <c r="K98" s="206"/>
    </row>
    <row r="99" spans="2:11">
      <c r="B99" s="219">
        <v>47118</v>
      </c>
      <c r="C99" s="220">
        <f>G98</f>
        <v>920422.22222221585</v>
      </c>
      <c r="D99" s="220">
        <f t="shared" si="9"/>
        <v>1534.0370370370265</v>
      </c>
      <c r="E99" s="220">
        <f t="shared" si="10"/>
        <v>15088.888888888889</v>
      </c>
      <c r="F99" s="220">
        <f t="shared" si="8"/>
        <v>16622.925925925916</v>
      </c>
      <c r="G99" s="220">
        <f t="shared" si="11"/>
        <v>905333.33333332697</v>
      </c>
      <c r="H99" s="213"/>
      <c r="I99" s="214">
        <f>SUM(D88:D99)</f>
        <v>20068.222222222095</v>
      </c>
      <c r="J99" s="214">
        <f>SUM(E88:E99)</f>
        <v>181066.66666666663</v>
      </c>
      <c r="K99" s="214">
        <f>I99+J99</f>
        <v>201134.88888888873</v>
      </c>
    </row>
    <row r="100" spans="2:11">
      <c r="B100" s="218">
        <v>47149</v>
      </c>
      <c r="C100" s="217">
        <f t="shared" ref="C100:C123" si="13">G99</f>
        <v>905333.33333332697</v>
      </c>
      <c r="D100" s="217">
        <f t="shared" si="9"/>
        <v>1508.8888888888785</v>
      </c>
      <c r="E100" s="217">
        <f t="shared" si="10"/>
        <v>15088.888888888889</v>
      </c>
      <c r="F100" s="217">
        <f t="shared" si="8"/>
        <v>16597.777777777766</v>
      </c>
      <c r="G100" s="217">
        <f t="shared" si="11"/>
        <v>890244.44444443809</v>
      </c>
      <c r="I100" s="206"/>
      <c r="J100" s="206"/>
      <c r="K100" s="206"/>
    </row>
    <row r="101" spans="2:11">
      <c r="B101" s="216">
        <v>47177</v>
      </c>
      <c r="C101" s="217">
        <f t="shared" si="13"/>
        <v>890244.44444443809</v>
      </c>
      <c r="D101" s="217">
        <f t="shared" si="9"/>
        <v>1483.7407407407302</v>
      </c>
      <c r="E101" s="217">
        <f t="shared" si="10"/>
        <v>15088.888888888889</v>
      </c>
      <c r="F101" s="217">
        <f t="shared" si="8"/>
        <v>16572.62962962962</v>
      </c>
      <c r="G101" s="217">
        <f t="shared" si="11"/>
        <v>875155.55555554922</v>
      </c>
      <c r="I101" s="206"/>
      <c r="J101" s="206"/>
      <c r="K101" s="206"/>
    </row>
    <row r="102" spans="2:11">
      <c r="B102" s="218">
        <v>47208</v>
      </c>
      <c r="C102" s="217">
        <f t="shared" si="13"/>
        <v>875155.55555554922</v>
      </c>
      <c r="D102" s="217">
        <f t="shared" si="9"/>
        <v>1458.5925925925822</v>
      </c>
      <c r="E102" s="217">
        <f t="shared" si="10"/>
        <v>15088.888888888889</v>
      </c>
      <c r="F102" s="217">
        <f t="shared" si="8"/>
        <v>16547.481481481471</v>
      </c>
      <c r="G102" s="217">
        <f t="shared" si="11"/>
        <v>860066.66666666034</v>
      </c>
      <c r="I102" s="206"/>
      <c r="J102" s="206"/>
      <c r="K102" s="206"/>
    </row>
    <row r="103" spans="2:11">
      <c r="B103" s="216">
        <v>47238</v>
      </c>
      <c r="C103" s="217">
        <f t="shared" si="13"/>
        <v>860066.66666666034</v>
      </c>
      <c r="D103" s="217">
        <f t="shared" si="9"/>
        <v>1433.4444444444341</v>
      </c>
      <c r="E103" s="217">
        <f t="shared" si="10"/>
        <v>15088.888888888889</v>
      </c>
      <c r="F103" s="217">
        <f t="shared" si="8"/>
        <v>16522.333333333321</v>
      </c>
      <c r="G103" s="217">
        <f t="shared" si="11"/>
        <v>844977.77777777147</v>
      </c>
      <c r="I103" s="206"/>
      <c r="J103" s="206"/>
      <c r="K103" s="206"/>
    </row>
    <row r="104" spans="2:11">
      <c r="B104" s="218">
        <v>47269</v>
      </c>
      <c r="C104" s="217">
        <f t="shared" si="13"/>
        <v>844977.77777777147</v>
      </c>
      <c r="D104" s="217">
        <f t="shared" si="9"/>
        <v>1408.2962962962858</v>
      </c>
      <c r="E104" s="217">
        <f t="shared" si="10"/>
        <v>15088.888888888889</v>
      </c>
      <c r="F104" s="217">
        <f t="shared" si="8"/>
        <v>16497.185185185175</v>
      </c>
      <c r="G104" s="217">
        <f t="shared" si="11"/>
        <v>829888.88888888259</v>
      </c>
      <c r="I104" s="206"/>
      <c r="J104" s="206"/>
      <c r="K104" s="206"/>
    </row>
    <row r="105" spans="2:11">
      <c r="B105" s="218">
        <v>47299</v>
      </c>
      <c r="C105" s="217">
        <f t="shared" si="13"/>
        <v>829888.88888888259</v>
      </c>
      <c r="D105" s="217">
        <f t="shared" si="9"/>
        <v>1383.1481481481378</v>
      </c>
      <c r="E105" s="217">
        <f t="shared" si="10"/>
        <v>15088.888888888889</v>
      </c>
      <c r="F105" s="217">
        <f t="shared" si="8"/>
        <v>16472.037037037026</v>
      </c>
      <c r="G105" s="217">
        <f t="shared" si="11"/>
        <v>814799.99999999371</v>
      </c>
      <c r="I105" s="206"/>
      <c r="J105" s="206"/>
      <c r="K105" s="206"/>
    </row>
    <row r="106" spans="2:11">
      <c r="B106" s="216">
        <v>47330</v>
      </c>
      <c r="C106" s="217">
        <f t="shared" si="13"/>
        <v>814799.99999999371</v>
      </c>
      <c r="D106" s="217">
        <f t="shared" si="9"/>
        <v>1357.9999999999895</v>
      </c>
      <c r="E106" s="217">
        <f t="shared" si="10"/>
        <v>15088.888888888889</v>
      </c>
      <c r="F106" s="217">
        <f t="shared" si="8"/>
        <v>16446.88888888888</v>
      </c>
      <c r="G106" s="217">
        <f t="shared" si="11"/>
        <v>799711.11111110484</v>
      </c>
      <c r="I106" s="206"/>
      <c r="J106" s="206"/>
      <c r="K106" s="206"/>
    </row>
    <row r="107" spans="2:11">
      <c r="B107" s="218">
        <v>47361</v>
      </c>
      <c r="C107" s="217">
        <f t="shared" si="13"/>
        <v>799711.11111110484</v>
      </c>
      <c r="D107" s="217">
        <f t="shared" si="9"/>
        <v>1332.8518518518415</v>
      </c>
      <c r="E107" s="217">
        <f t="shared" si="10"/>
        <v>15088.888888888889</v>
      </c>
      <c r="F107" s="217">
        <f t="shared" si="8"/>
        <v>16421.74074074073</v>
      </c>
      <c r="G107" s="217">
        <f t="shared" si="11"/>
        <v>784622.22222221596</v>
      </c>
      <c r="I107" s="206"/>
      <c r="J107" s="206"/>
      <c r="K107" s="206"/>
    </row>
    <row r="108" spans="2:11">
      <c r="B108" s="216">
        <v>47391</v>
      </c>
      <c r="C108" s="217">
        <f t="shared" si="13"/>
        <v>784622.22222221596</v>
      </c>
      <c r="D108" s="217">
        <f t="shared" si="9"/>
        <v>1307.7037037036932</v>
      </c>
      <c r="E108" s="217">
        <f t="shared" si="10"/>
        <v>15088.888888888889</v>
      </c>
      <c r="F108" s="217">
        <f t="shared" si="8"/>
        <v>16396.59259259258</v>
      </c>
      <c r="G108" s="217">
        <f t="shared" si="11"/>
        <v>769533.33333332709</v>
      </c>
      <c r="I108" s="206"/>
      <c r="J108" s="206"/>
      <c r="K108" s="206"/>
    </row>
    <row r="109" spans="2:11">
      <c r="B109" s="218">
        <v>47422</v>
      </c>
      <c r="C109" s="217">
        <f t="shared" si="13"/>
        <v>769533.33333332709</v>
      </c>
      <c r="D109" s="217">
        <f t="shared" si="9"/>
        <v>1282.5555555555452</v>
      </c>
      <c r="E109" s="217">
        <f t="shared" si="10"/>
        <v>15088.888888888889</v>
      </c>
      <c r="F109" s="217">
        <f t="shared" si="8"/>
        <v>16371.444444444434</v>
      </c>
      <c r="G109" s="217">
        <f t="shared" si="11"/>
        <v>754444.44444443821</v>
      </c>
      <c r="I109" s="206"/>
      <c r="J109" s="206"/>
      <c r="K109" s="206"/>
    </row>
    <row r="110" spans="2:11">
      <c r="B110" s="216">
        <v>47452</v>
      </c>
      <c r="C110" s="217">
        <f t="shared" si="13"/>
        <v>754444.44444443821</v>
      </c>
      <c r="D110" s="217">
        <f t="shared" si="9"/>
        <v>1257.4074074073972</v>
      </c>
      <c r="E110" s="217">
        <f t="shared" si="10"/>
        <v>15088.888888888889</v>
      </c>
      <c r="F110" s="217">
        <f t="shared" si="8"/>
        <v>16346.296296296287</v>
      </c>
      <c r="G110" s="217">
        <f t="shared" si="11"/>
        <v>739355.55555554933</v>
      </c>
      <c r="I110" s="206"/>
      <c r="J110" s="206"/>
      <c r="K110" s="206"/>
    </row>
    <row r="111" spans="2:11">
      <c r="B111" s="219">
        <v>47483</v>
      </c>
      <c r="C111" s="220">
        <f t="shared" si="13"/>
        <v>739355.55555554933</v>
      </c>
      <c r="D111" s="220">
        <f t="shared" si="9"/>
        <v>1232.2592592592489</v>
      </c>
      <c r="E111" s="220">
        <f t="shared" si="10"/>
        <v>15088.888888888889</v>
      </c>
      <c r="F111" s="220">
        <f t="shared" si="8"/>
        <v>16321.148148148137</v>
      </c>
      <c r="G111" s="220">
        <f t="shared" si="11"/>
        <v>724266.66666666046</v>
      </c>
      <c r="H111" s="213"/>
      <c r="I111" s="214">
        <f>SUM(D100:D111)</f>
        <v>16446.888888888763</v>
      </c>
      <c r="J111" s="214">
        <f>SUM(E100:E111)</f>
        <v>181066.66666666663</v>
      </c>
      <c r="K111" s="214">
        <f>I111+J111</f>
        <v>197513.55555555539</v>
      </c>
    </row>
    <row r="112" spans="2:11">
      <c r="B112" s="218">
        <v>47514</v>
      </c>
      <c r="C112" s="217">
        <f t="shared" si="13"/>
        <v>724266.66666666046</v>
      </c>
      <c r="D112" s="423">
        <f t="shared" si="9"/>
        <v>1207.1111111111009</v>
      </c>
      <c r="E112" s="217">
        <f t="shared" si="10"/>
        <v>15088.888888888889</v>
      </c>
      <c r="F112" s="217">
        <f t="shared" si="8"/>
        <v>16295.999999999989</v>
      </c>
      <c r="G112" s="217">
        <f t="shared" si="11"/>
        <v>709177.77777777158</v>
      </c>
      <c r="I112" s="206"/>
      <c r="J112" s="206"/>
      <c r="K112" s="206"/>
    </row>
    <row r="113" spans="2:11">
      <c r="B113" s="216">
        <v>47542</v>
      </c>
      <c r="C113" s="217">
        <f t="shared" si="13"/>
        <v>709177.77777777158</v>
      </c>
      <c r="D113" s="217">
        <f t="shared" si="9"/>
        <v>1181.9629629629526</v>
      </c>
      <c r="E113" s="217">
        <f t="shared" si="10"/>
        <v>15088.888888888889</v>
      </c>
      <c r="F113" s="217">
        <f t="shared" si="8"/>
        <v>16270.851851851841</v>
      </c>
      <c r="G113" s="217">
        <f t="shared" si="11"/>
        <v>694088.88888888271</v>
      </c>
      <c r="I113" s="206"/>
      <c r="J113" s="206"/>
      <c r="K113" s="206"/>
    </row>
    <row r="114" spans="2:11">
      <c r="B114" s="218">
        <v>47573</v>
      </c>
      <c r="C114" s="217">
        <f t="shared" si="13"/>
        <v>694088.88888888271</v>
      </c>
      <c r="D114" s="217">
        <f t="shared" si="9"/>
        <v>1156.8148148148045</v>
      </c>
      <c r="E114" s="217">
        <f t="shared" si="10"/>
        <v>15088.888888888889</v>
      </c>
      <c r="F114" s="217">
        <f t="shared" si="8"/>
        <v>16245.703703703693</v>
      </c>
      <c r="G114" s="217">
        <f t="shared" si="11"/>
        <v>678999.99999999383</v>
      </c>
      <c r="I114" s="206"/>
      <c r="J114" s="206"/>
      <c r="K114" s="206"/>
    </row>
    <row r="115" spans="2:11">
      <c r="B115" s="216">
        <v>47603</v>
      </c>
      <c r="C115" s="217">
        <f t="shared" si="13"/>
        <v>678999.99999999383</v>
      </c>
      <c r="D115" s="217">
        <f t="shared" si="9"/>
        <v>1131.6666666666563</v>
      </c>
      <c r="E115" s="217">
        <f t="shared" si="10"/>
        <v>15088.888888888889</v>
      </c>
      <c r="F115" s="217">
        <f t="shared" si="8"/>
        <v>16220.555555555546</v>
      </c>
      <c r="G115" s="217">
        <f t="shared" si="11"/>
        <v>663911.11111110495</v>
      </c>
      <c r="I115" s="206"/>
      <c r="J115" s="206"/>
      <c r="K115" s="206"/>
    </row>
    <row r="116" spans="2:11">
      <c r="B116" s="218">
        <v>47634</v>
      </c>
      <c r="C116" s="217">
        <f t="shared" si="13"/>
        <v>663911.11111110495</v>
      </c>
      <c r="D116" s="217">
        <f t="shared" si="9"/>
        <v>1106.5185185185082</v>
      </c>
      <c r="E116" s="217">
        <f t="shared" si="10"/>
        <v>15088.888888888889</v>
      </c>
      <c r="F116" s="217">
        <f t="shared" si="8"/>
        <v>16195.407407407398</v>
      </c>
      <c r="G116" s="217">
        <f t="shared" si="11"/>
        <v>648822.22222221608</v>
      </c>
      <c r="I116" s="206"/>
      <c r="J116" s="206"/>
      <c r="K116" s="206"/>
    </row>
    <row r="117" spans="2:11">
      <c r="B117" s="218">
        <v>47664</v>
      </c>
      <c r="C117" s="217">
        <f t="shared" si="13"/>
        <v>648822.22222221608</v>
      </c>
      <c r="D117" s="217">
        <f t="shared" si="9"/>
        <v>1081.3703703703602</v>
      </c>
      <c r="E117" s="217">
        <f t="shared" si="10"/>
        <v>15088.888888888889</v>
      </c>
      <c r="F117" s="217">
        <f t="shared" si="8"/>
        <v>16170.259259259248</v>
      </c>
      <c r="G117" s="217">
        <f t="shared" si="11"/>
        <v>633733.3333333272</v>
      </c>
      <c r="I117" s="206"/>
      <c r="J117" s="206"/>
      <c r="K117" s="206"/>
    </row>
    <row r="118" spans="2:11">
      <c r="B118" s="216">
        <v>47695</v>
      </c>
      <c r="C118" s="217">
        <f t="shared" si="13"/>
        <v>633733.3333333272</v>
      </c>
      <c r="D118" s="217">
        <f t="shared" si="9"/>
        <v>1056.2222222222119</v>
      </c>
      <c r="E118" s="217">
        <f t="shared" si="10"/>
        <v>15088.888888888889</v>
      </c>
      <c r="F118" s="217">
        <f t="shared" si="8"/>
        <v>16145.1111111111</v>
      </c>
      <c r="G118" s="217">
        <f t="shared" si="11"/>
        <v>618644.44444443833</v>
      </c>
      <c r="I118" s="206"/>
      <c r="J118" s="206"/>
      <c r="K118" s="206"/>
    </row>
    <row r="119" spans="2:11">
      <c r="B119" s="218">
        <v>47726</v>
      </c>
      <c r="C119" s="217">
        <f t="shared" si="13"/>
        <v>618644.44444443833</v>
      </c>
      <c r="D119" s="217">
        <f t="shared" si="9"/>
        <v>1031.0740740740639</v>
      </c>
      <c r="E119" s="217">
        <f t="shared" si="10"/>
        <v>15088.888888888889</v>
      </c>
      <c r="F119" s="217">
        <f t="shared" si="8"/>
        <v>16119.962962962953</v>
      </c>
      <c r="G119" s="217">
        <f t="shared" si="11"/>
        <v>603555.55555554945</v>
      </c>
      <c r="I119" s="206"/>
      <c r="J119" s="206"/>
      <c r="K119" s="206"/>
    </row>
    <row r="120" spans="2:11">
      <c r="B120" s="216">
        <v>47756</v>
      </c>
      <c r="C120" s="217">
        <f t="shared" si="13"/>
        <v>603555.55555554945</v>
      </c>
      <c r="D120" s="217">
        <f t="shared" si="9"/>
        <v>1005.9259259259157</v>
      </c>
      <c r="E120" s="217">
        <f t="shared" si="10"/>
        <v>15088.888888888889</v>
      </c>
      <c r="F120" s="217">
        <f t="shared" si="8"/>
        <v>16094.814814814805</v>
      </c>
      <c r="G120" s="217">
        <f t="shared" si="11"/>
        <v>588466.66666666057</v>
      </c>
      <c r="I120" s="206"/>
      <c r="J120" s="206"/>
      <c r="K120" s="206"/>
    </row>
    <row r="121" spans="2:11">
      <c r="B121" s="218">
        <v>47787</v>
      </c>
      <c r="C121" s="217">
        <f t="shared" si="13"/>
        <v>588466.66666666057</v>
      </c>
      <c r="D121" s="217">
        <f t="shared" si="9"/>
        <v>980.77777777776771</v>
      </c>
      <c r="E121" s="217">
        <f t="shared" si="10"/>
        <v>15088.888888888889</v>
      </c>
      <c r="F121" s="217">
        <f t="shared" si="8"/>
        <v>16069.666666666657</v>
      </c>
      <c r="G121" s="217">
        <f t="shared" si="11"/>
        <v>573377.7777777717</v>
      </c>
      <c r="I121" s="206"/>
      <c r="J121" s="206"/>
      <c r="K121" s="206"/>
    </row>
    <row r="122" spans="2:11">
      <c r="B122" s="216">
        <v>47817</v>
      </c>
      <c r="C122" s="217">
        <f t="shared" si="13"/>
        <v>573377.7777777717</v>
      </c>
      <c r="D122" s="217">
        <f t="shared" si="9"/>
        <v>955.62962962961956</v>
      </c>
      <c r="E122" s="217">
        <f t="shared" si="10"/>
        <v>15088.888888888889</v>
      </c>
      <c r="F122" s="217">
        <f t="shared" si="8"/>
        <v>16044.518518518507</v>
      </c>
      <c r="G122" s="217">
        <f t="shared" si="11"/>
        <v>558288.88888888282</v>
      </c>
      <c r="I122" s="206"/>
      <c r="J122" s="206"/>
      <c r="K122" s="206"/>
    </row>
    <row r="123" spans="2:11">
      <c r="B123" s="219">
        <v>47848</v>
      </c>
      <c r="C123" s="220">
        <f t="shared" si="13"/>
        <v>558288.88888888282</v>
      </c>
      <c r="D123" s="220">
        <f t="shared" si="9"/>
        <v>930.48148148147141</v>
      </c>
      <c r="E123" s="220">
        <f t="shared" si="10"/>
        <v>15088.888888888889</v>
      </c>
      <c r="F123" s="220">
        <f t="shared" si="8"/>
        <v>16019.37037037036</v>
      </c>
      <c r="G123" s="220">
        <f t="shared" si="11"/>
        <v>543199.99999999395</v>
      </c>
      <c r="H123" s="213"/>
      <c r="I123" s="214">
        <f>SUM(D112:D123)</f>
        <v>12825.555555555431</v>
      </c>
      <c r="J123" s="214">
        <f>SUM(E112:E123)</f>
        <v>181066.66666666663</v>
      </c>
      <c r="K123" s="214">
        <f>I123+J123</f>
        <v>193892.22222222207</v>
      </c>
    </row>
    <row r="124" spans="2:11">
      <c r="B124" s="218">
        <v>47879</v>
      </c>
      <c r="C124" s="217">
        <f t="shared" ref="C124:C158" si="14">G123</f>
        <v>543199.99999999395</v>
      </c>
      <c r="D124" s="217">
        <f t="shared" si="9"/>
        <v>905.33333333332337</v>
      </c>
      <c r="E124" s="217">
        <f t="shared" si="10"/>
        <v>15088.888888888889</v>
      </c>
      <c r="F124" s="217">
        <f t="shared" si="8"/>
        <v>15994.222222222212</v>
      </c>
      <c r="G124" s="217">
        <f t="shared" si="11"/>
        <v>528111.11111110507</v>
      </c>
      <c r="H124" s="207"/>
      <c r="I124" s="208"/>
      <c r="J124" s="208"/>
      <c r="K124" s="208"/>
    </row>
    <row r="125" spans="2:11">
      <c r="B125" s="216">
        <v>47907</v>
      </c>
      <c r="C125" s="217">
        <f t="shared" si="14"/>
        <v>528111.11111110507</v>
      </c>
      <c r="D125" s="217">
        <f t="shared" si="9"/>
        <v>880.1851851851751</v>
      </c>
      <c r="E125" s="217">
        <f t="shared" si="10"/>
        <v>15088.888888888889</v>
      </c>
      <c r="F125" s="217">
        <f t="shared" si="8"/>
        <v>15969.074074074064</v>
      </c>
      <c r="G125" s="217">
        <f t="shared" si="11"/>
        <v>513022.22222221619</v>
      </c>
      <c r="H125" s="207"/>
      <c r="I125" s="208"/>
      <c r="J125" s="208"/>
      <c r="K125" s="208"/>
    </row>
    <row r="126" spans="2:11">
      <c r="B126" s="218">
        <v>47938</v>
      </c>
      <c r="C126" s="217">
        <f t="shared" si="14"/>
        <v>513022.22222221619</v>
      </c>
      <c r="D126" s="217">
        <f t="shared" si="9"/>
        <v>855.03703703702695</v>
      </c>
      <c r="E126" s="217">
        <f t="shared" si="10"/>
        <v>15088.888888888889</v>
      </c>
      <c r="F126" s="217">
        <f t="shared" si="8"/>
        <v>15943.925925925916</v>
      </c>
      <c r="G126" s="217">
        <f t="shared" si="11"/>
        <v>497933.33333332732</v>
      </c>
      <c r="H126" s="207"/>
      <c r="I126" s="208"/>
      <c r="J126" s="208"/>
      <c r="K126" s="208"/>
    </row>
    <row r="127" spans="2:11">
      <c r="B127" s="216">
        <v>47968</v>
      </c>
      <c r="C127" s="217">
        <f t="shared" si="14"/>
        <v>497933.33333332732</v>
      </c>
      <c r="D127" s="217">
        <f t="shared" si="9"/>
        <v>829.8888888888788</v>
      </c>
      <c r="E127" s="217">
        <f t="shared" si="10"/>
        <v>15088.888888888889</v>
      </c>
      <c r="F127" s="217">
        <f t="shared" si="8"/>
        <v>15918.777777777768</v>
      </c>
      <c r="G127" s="217">
        <f t="shared" si="11"/>
        <v>482844.44444443844</v>
      </c>
      <c r="H127" s="207"/>
      <c r="I127" s="208"/>
      <c r="J127" s="208"/>
      <c r="K127" s="208"/>
    </row>
    <row r="128" spans="2:11">
      <c r="B128" s="218">
        <v>47999</v>
      </c>
      <c r="C128" s="217">
        <f t="shared" si="14"/>
        <v>482844.44444443844</v>
      </c>
      <c r="D128" s="217">
        <f t="shared" si="9"/>
        <v>804.74074074073076</v>
      </c>
      <c r="E128" s="217">
        <f t="shared" si="10"/>
        <v>15088.888888888889</v>
      </c>
      <c r="F128" s="217">
        <f t="shared" si="8"/>
        <v>15893.629629629619</v>
      </c>
      <c r="G128" s="217">
        <f t="shared" si="11"/>
        <v>467755.55555554957</v>
      </c>
      <c r="H128" s="207"/>
      <c r="I128" s="208"/>
      <c r="J128" s="208"/>
      <c r="K128" s="208"/>
    </row>
    <row r="129" spans="2:11">
      <c r="B129" s="218">
        <v>48029</v>
      </c>
      <c r="C129" s="217">
        <f t="shared" si="14"/>
        <v>467755.55555554957</v>
      </c>
      <c r="D129" s="217">
        <f t="shared" si="9"/>
        <v>779.5925925925826</v>
      </c>
      <c r="E129" s="217">
        <f t="shared" si="10"/>
        <v>15088.888888888889</v>
      </c>
      <c r="F129" s="217">
        <f t="shared" si="8"/>
        <v>15868.481481481471</v>
      </c>
      <c r="G129" s="217">
        <f t="shared" si="11"/>
        <v>452666.66666666069</v>
      </c>
      <c r="H129" s="207"/>
      <c r="I129" s="208"/>
      <c r="J129" s="208"/>
      <c r="K129" s="208"/>
    </row>
    <row r="130" spans="2:11">
      <c r="B130" s="216">
        <v>48060</v>
      </c>
      <c r="C130" s="217">
        <f t="shared" si="14"/>
        <v>452666.66666666069</v>
      </c>
      <c r="D130" s="217">
        <f t="shared" si="9"/>
        <v>754.44444444443445</v>
      </c>
      <c r="E130" s="217">
        <f t="shared" si="10"/>
        <v>15088.888888888889</v>
      </c>
      <c r="F130" s="217">
        <f t="shared" si="8"/>
        <v>15843.333333333323</v>
      </c>
      <c r="G130" s="217">
        <f t="shared" si="11"/>
        <v>437577.77777777181</v>
      </c>
      <c r="H130" s="207"/>
      <c r="I130" s="208"/>
      <c r="J130" s="208"/>
      <c r="K130" s="208"/>
    </row>
    <row r="131" spans="2:11">
      <c r="B131" s="218">
        <v>48091</v>
      </c>
      <c r="C131" s="217">
        <f t="shared" si="14"/>
        <v>437577.77777777181</v>
      </c>
      <c r="D131" s="217">
        <f t="shared" si="9"/>
        <v>729.29629629628641</v>
      </c>
      <c r="E131" s="217">
        <f t="shared" si="10"/>
        <v>15088.888888888889</v>
      </c>
      <c r="F131" s="217">
        <f t="shared" si="8"/>
        <v>15818.185185185175</v>
      </c>
      <c r="G131" s="217">
        <f t="shared" si="11"/>
        <v>422488.88888888294</v>
      </c>
      <c r="H131" s="207"/>
      <c r="I131" s="208"/>
      <c r="J131" s="208"/>
      <c r="K131" s="208"/>
    </row>
    <row r="132" spans="2:11">
      <c r="B132" s="216">
        <v>48121</v>
      </c>
      <c r="C132" s="217">
        <f t="shared" si="14"/>
        <v>422488.88888888294</v>
      </c>
      <c r="D132" s="217">
        <f t="shared" si="9"/>
        <v>704.14814814813826</v>
      </c>
      <c r="E132" s="217">
        <f t="shared" si="10"/>
        <v>15088.888888888889</v>
      </c>
      <c r="F132" s="217">
        <f t="shared" si="8"/>
        <v>15793.037037037027</v>
      </c>
      <c r="G132" s="217">
        <f t="shared" si="11"/>
        <v>407399.99999999406</v>
      </c>
      <c r="H132" s="207"/>
      <c r="I132" s="208"/>
      <c r="J132" s="208"/>
      <c r="K132" s="208"/>
    </row>
    <row r="133" spans="2:11">
      <c r="B133" s="218">
        <v>48152</v>
      </c>
      <c r="C133" s="217">
        <f t="shared" si="14"/>
        <v>407399.99999999406</v>
      </c>
      <c r="D133" s="217">
        <f t="shared" si="9"/>
        <v>678.99999999999011</v>
      </c>
      <c r="E133" s="217">
        <f t="shared" si="10"/>
        <v>15088.888888888889</v>
      </c>
      <c r="F133" s="217">
        <f t="shared" si="8"/>
        <v>15767.88888888888</v>
      </c>
      <c r="G133" s="217">
        <f t="shared" si="11"/>
        <v>392311.11111110519</v>
      </c>
      <c r="H133" s="207"/>
      <c r="I133" s="208"/>
      <c r="J133" s="208"/>
      <c r="K133" s="208"/>
    </row>
    <row r="134" spans="2:11">
      <c r="B134" s="216">
        <v>48182</v>
      </c>
      <c r="C134" s="217">
        <f t="shared" si="14"/>
        <v>392311.11111110519</v>
      </c>
      <c r="D134" s="217">
        <f t="shared" si="9"/>
        <v>653.85185185184196</v>
      </c>
      <c r="E134" s="217">
        <f t="shared" si="10"/>
        <v>15088.888888888889</v>
      </c>
      <c r="F134" s="217">
        <f t="shared" si="8"/>
        <v>15742.74074074073</v>
      </c>
      <c r="G134" s="217">
        <f t="shared" si="11"/>
        <v>377222.22222221631</v>
      </c>
      <c r="H134" s="207"/>
      <c r="I134" s="208"/>
      <c r="J134" s="208"/>
      <c r="K134" s="208"/>
    </row>
    <row r="135" spans="2:11">
      <c r="B135" s="219">
        <v>48213</v>
      </c>
      <c r="C135" s="220">
        <f t="shared" si="14"/>
        <v>377222.22222221631</v>
      </c>
      <c r="D135" s="220">
        <f t="shared" si="9"/>
        <v>628.7037037036938</v>
      </c>
      <c r="E135" s="220">
        <f t="shared" si="10"/>
        <v>15088.888888888889</v>
      </c>
      <c r="F135" s="220">
        <f t="shared" si="8"/>
        <v>15717.592592592582</v>
      </c>
      <c r="G135" s="220">
        <f t="shared" si="11"/>
        <v>362133.33333332743</v>
      </c>
      <c r="H135" s="213"/>
      <c r="I135" s="214">
        <f>SUM(D124:D135)</f>
        <v>9204.2222222221026</v>
      </c>
      <c r="J135" s="214">
        <f>SUM(E124:E135)</f>
        <v>181066.66666666663</v>
      </c>
      <c r="K135" s="214">
        <f>I135+J135</f>
        <v>190270.88888888873</v>
      </c>
    </row>
    <row r="136" spans="2:11">
      <c r="B136" s="218">
        <v>48244</v>
      </c>
      <c r="C136" s="217">
        <f t="shared" si="14"/>
        <v>362133.33333332743</v>
      </c>
      <c r="D136" s="217">
        <f t="shared" si="9"/>
        <v>603.55555555554577</v>
      </c>
      <c r="E136" s="217">
        <f t="shared" si="10"/>
        <v>15088.888888888889</v>
      </c>
      <c r="F136" s="217">
        <f t="shared" si="8"/>
        <v>15692.444444444434</v>
      </c>
      <c r="G136" s="217">
        <f t="shared" si="11"/>
        <v>347044.44444443856</v>
      </c>
      <c r="H136" s="207"/>
      <c r="I136" s="208"/>
      <c r="J136" s="208"/>
      <c r="K136" s="208"/>
    </row>
    <row r="137" spans="2:11">
      <c r="B137" s="216">
        <v>48273</v>
      </c>
      <c r="C137" s="217">
        <f t="shared" si="14"/>
        <v>347044.44444443856</v>
      </c>
      <c r="D137" s="217">
        <f t="shared" si="9"/>
        <v>578.40740740739761</v>
      </c>
      <c r="E137" s="217">
        <f t="shared" si="10"/>
        <v>15088.888888888889</v>
      </c>
      <c r="F137" s="217">
        <f t="shared" si="8"/>
        <v>15667.296296296287</v>
      </c>
      <c r="G137" s="217">
        <f t="shared" si="11"/>
        <v>331955.55555554968</v>
      </c>
      <c r="H137" s="207"/>
      <c r="I137" s="208"/>
      <c r="J137" s="208"/>
      <c r="K137" s="208"/>
    </row>
    <row r="138" spans="2:11">
      <c r="B138" s="218">
        <v>48304</v>
      </c>
      <c r="C138" s="217">
        <f t="shared" si="14"/>
        <v>331955.55555554968</v>
      </c>
      <c r="D138" s="217">
        <f t="shared" si="9"/>
        <v>553.25925925924946</v>
      </c>
      <c r="E138" s="217">
        <f t="shared" si="10"/>
        <v>15088.888888888889</v>
      </c>
      <c r="F138" s="217">
        <f t="shared" si="8"/>
        <v>15642.148148148139</v>
      </c>
      <c r="G138" s="217">
        <f t="shared" si="11"/>
        <v>316866.66666666081</v>
      </c>
      <c r="H138" s="207"/>
      <c r="I138" s="208"/>
      <c r="J138" s="208"/>
      <c r="K138" s="208"/>
    </row>
    <row r="139" spans="2:11">
      <c r="B139" s="216">
        <v>48334</v>
      </c>
      <c r="C139" s="217">
        <f t="shared" si="14"/>
        <v>316866.66666666081</v>
      </c>
      <c r="D139" s="217">
        <f t="shared" si="9"/>
        <v>528.11111111110142</v>
      </c>
      <c r="E139" s="217">
        <f t="shared" si="10"/>
        <v>15088.888888888889</v>
      </c>
      <c r="F139" s="217">
        <f t="shared" si="8"/>
        <v>15616.999999999991</v>
      </c>
      <c r="G139" s="217">
        <f t="shared" si="11"/>
        <v>301777.77777777193</v>
      </c>
      <c r="H139" s="207"/>
      <c r="I139" s="208"/>
      <c r="J139" s="208"/>
      <c r="K139" s="208"/>
    </row>
    <row r="140" spans="2:11">
      <c r="B140" s="218">
        <v>48365</v>
      </c>
      <c r="C140" s="217">
        <f t="shared" si="14"/>
        <v>301777.77777777193</v>
      </c>
      <c r="D140" s="217">
        <f t="shared" si="9"/>
        <v>502.96296296295321</v>
      </c>
      <c r="E140" s="217">
        <f t="shared" si="10"/>
        <v>15088.888888888889</v>
      </c>
      <c r="F140" s="217">
        <f t="shared" si="8"/>
        <v>15591.851851851841</v>
      </c>
      <c r="G140" s="217">
        <f t="shared" si="11"/>
        <v>286688.88888888306</v>
      </c>
      <c r="H140" s="207"/>
      <c r="I140" s="208"/>
      <c r="J140" s="208"/>
      <c r="K140" s="208"/>
    </row>
    <row r="141" spans="2:11">
      <c r="B141" s="218">
        <v>48395</v>
      </c>
      <c r="C141" s="217">
        <f t="shared" si="14"/>
        <v>286688.88888888306</v>
      </c>
      <c r="D141" s="217">
        <f t="shared" si="9"/>
        <v>477.81481481480506</v>
      </c>
      <c r="E141" s="217">
        <f t="shared" si="10"/>
        <v>15088.888888888889</v>
      </c>
      <c r="F141" s="217">
        <f t="shared" si="8"/>
        <v>15566.703703703693</v>
      </c>
      <c r="G141" s="217">
        <f t="shared" si="11"/>
        <v>271599.99999999418</v>
      </c>
      <c r="H141" s="207"/>
      <c r="I141" s="208"/>
      <c r="J141" s="208"/>
      <c r="K141" s="208"/>
    </row>
    <row r="142" spans="2:11">
      <c r="B142" s="216">
        <v>48426</v>
      </c>
      <c r="C142" s="217">
        <f t="shared" si="14"/>
        <v>271599.99999999418</v>
      </c>
      <c r="D142" s="217">
        <f t="shared" si="9"/>
        <v>452.66666666665697</v>
      </c>
      <c r="E142" s="217">
        <f t="shared" si="10"/>
        <v>15088.888888888889</v>
      </c>
      <c r="F142" s="217">
        <f t="shared" si="8"/>
        <v>15541.555555555546</v>
      </c>
      <c r="G142" s="217">
        <f t="shared" si="11"/>
        <v>256511.1111111053</v>
      </c>
      <c r="H142" s="207"/>
      <c r="I142" s="208"/>
      <c r="J142" s="208"/>
      <c r="K142" s="208"/>
    </row>
    <row r="143" spans="2:11">
      <c r="B143" s="218">
        <v>48457</v>
      </c>
      <c r="C143" s="217">
        <f t="shared" si="14"/>
        <v>256511.1111111053</v>
      </c>
      <c r="D143" s="217">
        <f t="shared" si="9"/>
        <v>427.51851851850887</v>
      </c>
      <c r="E143" s="217">
        <f t="shared" si="10"/>
        <v>15088.888888888889</v>
      </c>
      <c r="F143" s="217">
        <f t="shared" si="8"/>
        <v>15516.407407407398</v>
      </c>
      <c r="G143" s="217">
        <f t="shared" si="11"/>
        <v>241422.22222221643</v>
      </c>
      <c r="H143" s="207"/>
      <c r="I143" s="208"/>
      <c r="J143" s="208"/>
      <c r="K143" s="208"/>
    </row>
    <row r="144" spans="2:11">
      <c r="B144" s="216">
        <v>48487</v>
      </c>
      <c r="C144" s="217">
        <f t="shared" si="14"/>
        <v>241422.22222221643</v>
      </c>
      <c r="D144" s="217">
        <f t="shared" si="9"/>
        <v>402.37037037036072</v>
      </c>
      <c r="E144" s="217">
        <f t="shared" si="10"/>
        <v>15088.888888888889</v>
      </c>
      <c r="F144" s="217">
        <f t="shared" ref="F144:F159" si="15">D144+E144</f>
        <v>15491.25925925925</v>
      </c>
      <c r="G144" s="217">
        <f t="shared" si="11"/>
        <v>226333.33333332755</v>
      </c>
      <c r="H144" s="207"/>
      <c r="I144" s="208"/>
      <c r="J144" s="208"/>
      <c r="K144" s="208"/>
    </row>
    <row r="145" spans="2:11">
      <c r="B145" s="218">
        <v>48518</v>
      </c>
      <c r="C145" s="217">
        <f t="shared" si="14"/>
        <v>226333.33333332755</v>
      </c>
      <c r="D145" s="217">
        <f t="shared" ref="D145:D159" si="16">C145*$J$6/12</f>
        <v>377.22222222221262</v>
      </c>
      <c r="E145" s="217">
        <f t="shared" ref="E145:E159" si="17">$J$5/$J$8</f>
        <v>15088.888888888889</v>
      </c>
      <c r="F145" s="217">
        <f t="shared" si="15"/>
        <v>15466.111111111102</v>
      </c>
      <c r="G145" s="217">
        <f t="shared" ref="G145:G159" si="18">C145-E145</f>
        <v>211244.44444443868</v>
      </c>
      <c r="H145" s="207"/>
      <c r="I145" s="208"/>
      <c r="J145" s="208"/>
      <c r="K145" s="208"/>
    </row>
    <row r="146" spans="2:11">
      <c r="B146" s="216">
        <v>48548</v>
      </c>
      <c r="C146" s="217">
        <f t="shared" si="14"/>
        <v>211244.44444443868</v>
      </c>
      <c r="D146" s="217">
        <f t="shared" si="16"/>
        <v>352.07407407406441</v>
      </c>
      <c r="E146" s="217">
        <f t="shared" si="17"/>
        <v>15088.888888888889</v>
      </c>
      <c r="F146" s="217">
        <f t="shared" si="15"/>
        <v>15440.962962962953</v>
      </c>
      <c r="G146" s="217">
        <f t="shared" si="18"/>
        <v>196155.5555555498</v>
      </c>
      <c r="H146" s="207"/>
      <c r="I146" s="208"/>
      <c r="J146" s="208"/>
      <c r="K146" s="208"/>
    </row>
    <row r="147" spans="2:11">
      <c r="B147" s="219">
        <v>48579</v>
      </c>
      <c r="C147" s="220">
        <f t="shared" si="14"/>
        <v>196155.5555555498</v>
      </c>
      <c r="D147" s="220">
        <f t="shared" si="16"/>
        <v>326.92592592591637</v>
      </c>
      <c r="E147" s="220">
        <f t="shared" si="17"/>
        <v>15088.888888888889</v>
      </c>
      <c r="F147" s="220">
        <f t="shared" si="15"/>
        <v>15415.814814814805</v>
      </c>
      <c r="G147" s="220">
        <f t="shared" si="18"/>
        <v>181066.66666666092</v>
      </c>
      <c r="H147" s="213"/>
      <c r="I147" s="214">
        <f>SUM(D136:D147)</f>
        <v>5582.8888888887723</v>
      </c>
      <c r="J147" s="214">
        <f>SUM(E136:E147)</f>
        <v>181066.66666666663</v>
      </c>
      <c r="K147" s="214">
        <f>I147+J147</f>
        <v>186649.55555555539</v>
      </c>
    </row>
    <row r="148" spans="2:11">
      <c r="B148" s="218">
        <v>48610</v>
      </c>
      <c r="C148" s="217">
        <f t="shared" si="14"/>
        <v>181066.66666666092</v>
      </c>
      <c r="D148" s="217">
        <f t="shared" si="16"/>
        <v>301.77777777776822</v>
      </c>
      <c r="E148" s="217">
        <f t="shared" si="17"/>
        <v>15088.888888888889</v>
      </c>
      <c r="F148" s="217">
        <f t="shared" si="15"/>
        <v>15390.666666666657</v>
      </c>
      <c r="G148" s="217">
        <f t="shared" si="18"/>
        <v>165977.77777777205</v>
      </c>
      <c r="H148" s="207"/>
      <c r="I148" s="208"/>
      <c r="J148" s="208"/>
      <c r="K148" s="208"/>
    </row>
    <row r="149" spans="2:11">
      <c r="B149" s="216">
        <v>48638</v>
      </c>
      <c r="C149" s="217">
        <f t="shared" si="14"/>
        <v>165977.77777777205</v>
      </c>
      <c r="D149" s="217">
        <f t="shared" si="16"/>
        <v>276.62962962962007</v>
      </c>
      <c r="E149" s="217">
        <f t="shared" si="17"/>
        <v>15088.888888888889</v>
      </c>
      <c r="F149" s="217">
        <f t="shared" si="15"/>
        <v>15365.518518518509</v>
      </c>
      <c r="G149" s="217">
        <f t="shared" si="18"/>
        <v>150888.88888888317</v>
      </c>
      <c r="H149" s="207"/>
      <c r="I149" s="208"/>
      <c r="J149" s="208"/>
      <c r="K149" s="208"/>
    </row>
    <row r="150" spans="2:11">
      <c r="B150" s="218">
        <v>48669</v>
      </c>
      <c r="C150" s="217">
        <f t="shared" si="14"/>
        <v>150888.88888888317</v>
      </c>
      <c r="D150" s="217">
        <f t="shared" si="16"/>
        <v>251.48148148147197</v>
      </c>
      <c r="E150" s="217">
        <f t="shared" si="17"/>
        <v>15088.888888888889</v>
      </c>
      <c r="F150" s="217">
        <f t="shared" si="15"/>
        <v>15340.370370370361</v>
      </c>
      <c r="G150" s="217">
        <f t="shared" si="18"/>
        <v>135799.9999999943</v>
      </c>
      <c r="H150" s="207"/>
      <c r="I150" s="208"/>
      <c r="J150" s="208"/>
      <c r="K150" s="208"/>
    </row>
    <row r="151" spans="2:11">
      <c r="B151" s="216">
        <v>48699</v>
      </c>
      <c r="C151" s="217">
        <f t="shared" si="14"/>
        <v>135799.9999999943</v>
      </c>
      <c r="D151" s="217">
        <f t="shared" si="16"/>
        <v>226.33333333332382</v>
      </c>
      <c r="E151" s="217">
        <f t="shared" si="17"/>
        <v>15088.888888888889</v>
      </c>
      <c r="F151" s="217">
        <f t="shared" si="15"/>
        <v>15315.222222222212</v>
      </c>
      <c r="G151" s="217">
        <f t="shared" si="18"/>
        <v>120711.11111110541</v>
      </c>
      <c r="H151" s="207"/>
      <c r="I151" s="208"/>
      <c r="J151" s="208"/>
      <c r="K151" s="208"/>
    </row>
    <row r="152" spans="2:11">
      <c r="B152" s="218">
        <v>48730</v>
      </c>
      <c r="C152" s="217">
        <f t="shared" si="14"/>
        <v>120711.11111110541</v>
      </c>
      <c r="D152" s="217">
        <f t="shared" si="16"/>
        <v>201.18518518517567</v>
      </c>
      <c r="E152" s="217">
        <f t="shared" si="17"/>
        <v>15088.888888888889</v>
      </c>
      <c r="F152" s="217">
        <f t="shared" si="15"/>
        <v>15290.074074074064</v>
      </c>
      <c r="G152" s="217">
        <f t="shared" si="18"/>
        <v>105622.22222221651</v>
      </c>
      <c r="H152" s="207"/>
      <c r="I152" s="208"/>
      <c r="J152" s="208"/>
      <c r="K152" s="208"/>
    </row>
    <row r="153" spans="2:11">
      <c r="B153" s="218">
        <v>48760</v>
      </c>
      <c r="C153" s="217">
        <f t="shared" si="14"/>
        <v>105622.22222221651</v>
      </c>
      <c r="D153" s="217">
        <f t="shared" si="16"/>
        <v>176.03703703702752</v>
      </c>
      <c r="E153" s="217">
        <f t="shared" si="17"/>
        <v>15088.888888888889</v>
      </c>
      <c r="F153" s="217">
        <f t="shared" si="15"/>
        <v>15264.925925925916</v>
      </c>
      <c r="G153" s="217">
        <f t="shared" si="18"/>
        <v>90533.333333327624</v>
      </c>
      <c r="H153" s="207"/>
      <c r="I153" s="208"/>
      <c r="J153" s="208"/>
      <c r="K153" s="208"/>
    </row>
    <row r="154" spans="2:11">
      <c r="B154" s="216">
        <v>48791</v>
      </c>
      <c r="C154" s="217">
        <f t="shared" si="14"/>
        <v>90533.333333327624</v>
      </c>
      <c r="D154" s="217">
        <f t="shared" si="16"/>
        <v>150.88888888887939</v>
      </c>
      <c r="E154" s="217">
        <f t="shared" si="17"/>
        <v>15088.888888888889</v>
      </c>
      <c r="F154" s="217">
        <f t="shared" si="15"/>
        <v>15239.777777777768</v>
      </c>
      <c r="G154" s="217">
        <f t="shared" si="18"/>
        <v>75444.444444438734</v>
      </c>
      <c r="H154" s="207"/>
      <c r="I154" s="208"/>
      <c r="J154" s="208"/>
      <c r="K154" s="208"/>
    </row>
    <row r="155" spans="2:11">
      <c r="B155" s="218">
        <v>48822</v>
      </c>
      <c r="C155" s="217">
        <f t="shared" si="14"/>
        <v>75444.444444438734</v>
      </c>
      <c r="D155" s="217">
        <f t="shared" si="16"/>
        <v>125.74074074073123</v>
      </c>
      <c r="E155" s="217">
        <f t="shared" si="17"/>
        <v>15088.888888888889</v>
      </c>
      <c r="F155" s="217">
        <f t="shared" si="15"/>
        <v>15214.62962962962</v>
      </c>
      <c r="G155" s="217">
        <f t="shared" si="18"/>
        <v>60355.555555549843</v>
      </c>
      <c r="H155" s="207"/>
      <c r="I155" s="208"/>
      <c r="J155" s="208"/>
      <c r="K155" s="208"/>
    </row>
    <row r="156" spans="2:11">
      <c r="B156" s="216">
        <v>48852</v>
      </c>
      <c r="C156" s="217">
        <f t="shared" si="14"/>
        <v>60355.555555549843</v>
      </c>
      <c r="D156" s="217">
        <f t="shared" si="16"/>
        <v>100.59259259258307</v>
      </c>
      <c r="E156" s="217">
        <f t="shared" si="17"/>
        <v>15088.888888888889</v>
      </c>
      <c r="F156" s="217">
        <f t="shared" si="15"/>
        <v>15189.481481481473</v>
      </c>
      <c r="G156" s="217">
        <f t="shared" si="18"/>
        <v>45266.666666660953</v>
      </c>
      <c r="H156" s="207"/>
      <c r="I156" s="208"/>
      <c r="J156" s="208"/>
      <c r="K156" s="208"/>
    </row>
    <row r="157" spans="2:11">
      <c r="B157" s="218">
        <v>48883</v>
      </c>
      <c r="C157" s="217">
        <f t="shared" si="14"/>
        <v>45266.666666660953</v>
      </c>
      <c r="D157" s="217">
        <f t="shared" si="16"/>
        <v>75.444444444434922</v>
      </c>
      <c r="E157" s="217">
        <f t="shared" si="17"/>
        <v>15088.888888888889</v>
      </c>
      <c r="F157" s="217">
        <f t="shared" si="15"/>
        <v>15164.333333333323</v>
      </c>
      <c r="G157" s="217">
        <f t="shared" si="18"/>
        <v>30177.777777772062</v>
      </c>
      <c r="H157" s="207"/>
      <c r="I157" s="208"/>
      <c r="J157" s="208"/>
      <c r="K157" s="208"/>
    </row>
    <row r="158" spans="2:11">
      <c r="B158" s="216">
        <v>48913</v>
      </c>
      <c r="C158" s="217">
        <f t="shared" si="14"/>
        <v>30177.777777772062</v>
      </c>
      <c r="D158" s="217">
        <f t="shared" si="16"/>
        <v>50.296296296286776</v>
      </c>
      <c r="E158" s="217">
        <f t="shared" si="17"/>
        <v>15088.888888888889</v>
      </c>
      <c r="F158" s="217">
        <f t="shared" si="15"/>
        <v>15139.185185185175</v>
      </c>
      <c r="G158" s="217">
        <f t="shared" si="18"/>
        <v>15088.888888883173</v>
      </c>
      <c r="H158" s="207"/>
      <c r="I158" s="208"/>
      <c r="J158" s="208"/>
      <c r="K158" s="208"/>
    </row>
    <row r="159" spans="2:11">
      <c r="B159" s="219">
        <v>48944</v>
      </c>
      <c r="C159" s="220">
        <f>G158</f>
        <v>15088.888888883173</v>
      </c>
      <c r="D159" s="220">
        <f t="shared" si="16"/>
        <v>25.14814814813862</v>
      </c>
      <c r="E159" s="220">
        <f t="shared" si="17"/>
        <v>15088.888888888889</v>
      </c>
      <c r="F159" s="220">
        <f t="shared" si="15"/>
        <v>15114.037037037027</v>
      </c>
      <c r="G159" s="220">
        <f t="shared" si="18"/>
        <v>-5.715264705941081E-9</v>
      </c>
      <c r="H159" s="213"/>
      <c r="I159" s="214">
        <f>SUM(D148:D159)</f>
        <v>1961.5555555554413</v>
      </c>
      <c r="J159" s="214">
        <f>SUM(E148:E159)</f>
        <v>181066.66666666663</v>
      </c>
      <c r="K159" s="214">
        <f>I159+J159</f>
        <v>183028.22222222207</v>
      </c>
    </row>
    <row r="160" spans="2:11" hidden="1">
      <c r="B160" s="218"/>
      <c r="C160" s="217"/>
      <c r="D160" s="217"/>
      <c r="E160" s="217"/>
      <c r="F160" s="217"/>
      <c r="G160" s="217"/>
      <c r="H160" s="207"/>
      <c r="I160" s="208"/>
      <c r="J160" s="208"/>
      <c r="K160" s="208"/>
    </row>
    <row r="161" spans="2:11" hidden="1">
      <c r="B161" s="216"/>
      <c r="C161" s="217"/>
      <c r="D161" s="217"/>
      <c r="E161" s="217"/>
      <c r="F161" s="217"/>
      <c r="G161" s="217"/>
      <c r="H161" s="207"/>
      <c r="I161" s="208"/>
      <c r="J161" s="208"/>
      <c r="K161" s="208"/>
    </row>
    <row r="162" spans="2:11" hidden="1">
      <c r="B162" s="218"/>
      <c r="C162" s="217"/>
      <c r="D162" s="217"/>
      <c r="E162" s="217"/>
      <c r="F162" s="217"/>
      <c r="G162" s="217"/>
      <c r="H162" s="207"/>
      <c r="I162" s="208"/>
      <c r="J162" s="208"/>
      <c r="K162" s="208"/>
    </row>
    <row r="163" spans="2:11" hidden="1">
      <c r="B163" s="216"/>
      <c r="C163" s="217"/>
      <c r="D163" s="217"/>
      <c r="E163" s="217"/>
      <c r="F163" s="217"/>
      <c r="G163" s="217"/>
      <c r="H163" s="207"/>
      <c r="I163" s="208"/>
      <c r="J163" s="208"/>
      <c r="K163" s="208"/>
    </row>
    <row r="164" spans="2:11" hidden="1">
      <c r="B164" s="218"/>
      <c r="C164" s="217"/>
      <c r="D164" s="217"/>
      <c r="E164" s="217"/>
      <c r="F164" s="217"/>
      <c r="G164" s="217"/>
      <c r="H164" s="207"/>
      <c r="I164" s="208"/>
      <c r="J164" s="208"/>
      <c r="K164" s="208"/>
    </row>
    <row r="165" spans="2:11" hidden="1">
      <c r="B165" s="218"/>
      <c r="C165" s="217"/>
      <c r="D165" s="217"/>
      <c r="E165" s="217"/>
      <c r="F165" s="217"/>
      <c r="G165" s="217"/>
      <c r="H165" s="207"/>
      <c r="I165" s="208"/>
      <c r="J165" s="208"/>
      <c r="K165" s="208"/>
    </row>
    <row r="166" spans="2:11" hidden="1">
      <c r="B166" s="216"/>
      <c r="C166" s="217"/>
      <c r="D166" s="217"/>
      <c r="E166" s="217"/>
      <c r="F166" s="217"/>
      <c r="G166" s="217"/>
      <c r="H166" s="207"/>
      <c r="I166" s="208"/>
      <c r="J166" s="208"/>
      <c r="K166" s="208"/>
    </row>
    <row r="167" spans="2:11" hidden="1">
      <c r="B167" s="218"/>
      <c r="C167" s="217"/>
      <c r="D167" s="217"/>
      <c r="E167" s="217"/>
      <c r="F167" s="217"/>
      <c r="G167" s="217"/>
      <c r="H167" s="207"/>
      <c r="I167" s="208"/>
      <c r="J167" s="208"/>
      <c r="K167" s="208"/>
    </row>
    <row r="168" spans="2:11" hidden="1">
      <c r="B168" s="216"/>
      <c r="C168" s="217"/>
      <c r="D168" s="217"/>
      <c r="E168" s="217"/>
      <c r="F168" s="217"/>
      <c r="G168" s="217"/>
      <c r="H168" s="207"/>
      <c r="I168" s="208"/>
      <c r="J168" s="208"/>
      <c r="K168" s="208"/>
    </row>
    <row r="169" spans="2:11" hidden="1">
      <c r="B169" s="218"/>
      <c r="C169" s="217"/>
      <c r="D169" s="217"/>
      <c r="E169" s="217"/>
      <c r="F169" s="217"/>
      <c r="G169" s="217"/>
      <c r="H169" s="207"/>
      <c r="I169" s="208"/>
      <c r="J169" s="208"/>
      <c r="K169" s="208"/>
    </row>
    <row r="170" spans="2:11" hidden="1">
      <c r="B170" s="216"/>
      <c r="C170" s="217"/>
      <c r="D170" s="217"/>
      <c r="E170" s="217"/>
      <c r="F170" s="217"/>
      <c r="G170" s="217"/>
      <c r="H170" s="207"/>
      <c r="I170" s="208"/>
      <c r="J170" s="208"/>
      <c r="K170" s="208"/>
    </row>
    <row r="171" spans="2:11" hidden="1">
      <c r="B171" s="219"/>
      <c r="C171" s="220"/>
      <c r="D171" s="217"/>
      <c r="E171" s="220"/>
      <c r="F171" s="220"/>
      <c r="G171" s="220"/>
      <c r="H171" s="213"/>
      <c r="I171" s="214"/>
      <c r="J171" s="214"/>
      <c r="K171" s="214"/>
    </row>
    <row r="172" spans="2:11" hidden="1">
      <c r="B172" s="218"/>
      <c r="C172" s="217"/>
      <c r="D172" s="217"/>
      <c r="E172" s="217"/>
      <c r="F172" s="217"/>
      <c r="G172" s="217"/>
      <c r="H172" s="207"/>
      <c r="I172" s="208"/>
      <c r="J172" s="208"/>
      <c r="K172" s="208"/>
    </row>
    <row r="173" spans="2:11" hidden="1">
      <c r="B173" s="216"/>
      <c r="C173" s="217"/>
      <c r="D173" s="217"/>
      <c r="E173" s="217"/>
      <c r="F173" s="217"/>
      <c r="G173" s="217"/>
      <c r="H173" s="207"/>
      <c r="I173" s="208"/>
      <c r="J173" s="208"/>
      <c r="K173" s="208"/>
    </row>
    <row r="174" spans="2:11" hidden="1">
      <c r="B174" s="218"/>
      <c r="C174" s="217"/>
      <c r="D174" s="217"/>
      <c r="E174" s="217"/>
      <c r="F174" s="217"/>
      <c r="G174" s="217"/>
      <c r="H174" s="207"/>
      <c r="I174" s="208"/>
      <c r="J174" s="208"/>
      <c r="K174" s="208"/>
    </row>
    <row r="175" spans="2:11" hidden="1">
      <c r="B175" s="216"/>
      <c r="C175" s="217"/>
      <c r="D175" s="217"/>
      <c r="E175" s="217"/>
      <c r="F175" s="217"/>
      <c r="G175" s="217"/>
      <c r="H175" s="207"/>
      <c r="I175" s="208"/>
      <c r="J175" s="208"/>
      <c r="K175" s="208"/>
    </row>
    <row r="176" spans="2:11" hidden="1">
      <c r="B176" s="218"/>
      <c r="C176" s="217"/>
      <c r="D176" s="217"/>
      <c r="E176" s="217"/>
      <c r="F176" s="217"/>
      <c r="G176" s="217"/>
      <c r="H176" s="207"/>
      <c r="I176" s="208"/>
      <c r="J176" s="208"/>
      <c r="K176" s="208"/>
    </row>
    <row r="177" spans="2:11" hidden="1">
      <c r="B177" s="218"/>
      <c r="C177" s="217"/>
      <c r="D177" s="217"/>
      <c r="E177" s="217"/>
      <c r="F177" s="217"/>
      <c r="G177" s="217"/>
      <c r="H177" s="207"/>
      <c r="I177" s="208"/>
      <c r="J177" s="208"/>
      <c r="K177" s="208"/>
    </row>
    <row r="178" spans="2:11" hidden="1">
      <c r="B178" s="216"/>
      <c r="C178" s="217"/>
      <c r="D178" s="217"/>
      <c r="E178" s="217"/>
      <c r="F178" s="217"/>
      <c r="G178" s="217"/>
      <c r="H178" s="207"/>
      <c r="I178" s="208"/>
      <c r="J178" s="208"/>
      <c r="K178" s="208"/>
    </row>
    <row r="179" spans="2:11" hidden="1">
      <c r="B179" s="218"/>
      <c r="C179" s="217"/>
      <c r="D179" s="217"/>
      <c r="E179" s="217"/>
      <c r="F179" s="217"/>
      <c r="G179" s="217"/>
      <c r="H179" s="207"/>
      <c r="I179" s="208"/>
      <c r="J179" s="208"/>
      <c r="K179" s="208"/>
    </row>
    <row r="180" spans="2:11" hidden="1">
      <c r="B180" s="216"/>
      <c r="C180" s="217"/>
      <c r="D180" s="217"/>
      <c r="E180" s="217"/>
      <c r="F180" s="217"/>
      <c r="G180" s="217"/>
      <c r="H180" s="207"/>
      <c r="I180" s="208"/>
      <c r="J180" s="208"/>
      <c r="K180" s="208"/>
    </row>
    <row r="181" spans="2:11" hidden="1">
      <c r="B181" s="218"/>
      <c r="C181" s="217"/>
      <c r="D181" s="217"/>
      <c r="E181" s="217"/>
      <c r="F181" s="217"/>
      <c r="G181" s="217"/>
      <c r="H181" s="207"/>
      <c r="I181" s="208"/>
      <c r="J181" s="208"/>
      <c r="K181" s="208"/>
    </row>
    <row r="182" spans="2:11" hidden="1">
      <c r="B182" s="216"/>
      <c r="C182" s="217"/>
      <c r="D182" s="217"/>
      <c r="E182" s="217"/>
      <c r="F182" s="217"/>
      <c r="G182" s="217"/>
      <c r="H182" s="207"/>
      <c r="I182" s="208"/>
      <c r="J182" s="208"/>
      <c r="K182" s="208"/>
    </row>
    <row r="183" spans="2:11" hidden="1">
      <c r="B183" s="219"/>
      <c r="C183" s="220"/>
      <c r="D183" s="217"/>
      <c r="E183" s="220"/>
      <c r="F183" s="220"/>
      <c r="G183" s="220"/>
      <c r="H183" s="213"/>
      <c r="I183" s="214"/>
      <c r="J183" s="214"/>
      <c r="K183" s="214"/>
    </row>
    <row r="184" spans="2:11" hidden="1">
      <c r="B184" s="218"/>
      <c r="C184" s="217"/>
      <c r="D184" s="217"/>
      <c r="E184" s="217"/>
      <c r="F184" s="217"/>
      <c r="G184" s="217"/>
      <c r="H184" s="207"/>
      <c r="I184" s="208"/>
      <c r="J184" s="208"/>
      <c r="K184" s="208"/>
    </row>
    <row r="185" spans="2:11" hidden="1">
      <c r="B185" s="216"/>
      <c r="C185" s="217"/>
      <c r="D185" s="217"/>
      <c r="E185" s="217"/>
      <c r="F185" s="217"/>
      <c r="G185" s="217"/>
      <c r="H185" s="207"/>
      <c r="I185" s="208"/>
      <c r="J185" s="208"/>
      <c r="K185" s="208"/>
    </row>
    <row r="186" spans="2:11" hidden="1">
      <c r="B186" s="218"/>
      <c r="C186" s="217"/>
      <c r="D186" s="217"/>
      <c r="E186" s="217"/>
      <c r="F186" s="217"/>
      <c r="G186" s="217"/>
      <c r="H186" s="207"/>
      <c r="I186" s="208"/>
      <c r="J186" s="208"/>
      <c r="K186" s="208"/>
    </row>
    <row r="187" spans="2:11" hidden="1">
      <c r="B187" s="216"/>
      <c r="C187" s="217"/>
      <c r="D187" s="217"/>
      <c r="E187" s="217"/>
      <c r="F187" s="217"/>
      <c r="G187" s="217"/>
      <c r="H187" s="207"/>
      <c r="I187" s="208"/>
      <c r="J187" s="208"/>
      <c r="K187" s="208"/>
    </row>
    <row r="188" spans="2:11" hidden="1">
      <c r="B188" s="218"/>
      <c r="C188" s="217"/>
      <c r="D188" s="217"/>
      <c r="E188" s="217"/>
      <c r="F188" s="217"/>
      <c r="G188" s="217"/>
      <c r="H188" s="207"/>
      <c r="I188" s="208"/>
      <c r="J188" s="208"/>
      <c r="K188" s="208"/>
    </row>
    <row r="189" spans="2:11" hidden="1">
      <c r="B189" s="218"/>
      <c r="C189" s="217"/>
      <c r="D189" s="217"/>
      <c r="E189" s="217"/>
      <c r="F189" s="217"/>
      <c r="G189" s="217"/>
      <c r="H189" s="207"/>
      <c r="I189" s="208"/>
      <c r="J189" s="208"/>
      <c r="K189" s="208"/>
    </row>
    <row r="190" spans="2:11" hidden="1">
      <c r="B190" s="216"/>
      <c r="C190" s="217"/>
      <c r="D190" s="217"/>
      <c r="E190" s="217"/>
      <c r="F190" s="217"/>
      <c r="G190" s="217"/>
      <c r="H190" s="207"/>
      <c r="I190" s="208"/>
      <c r="J190" s="208"/>
      <c r="K190" s="208"/>
    </row>
    <row r="191" spans="2:11" hidden="1">
      <c r="B191" s="218"/>
      <c r="C191" s="217"/>
      <c r="D191" s="217"/>
      <c r="E191" s="217"/>
      <c r="F191" s="217"/>
      <c r="G191" s="217"/>
      <c r="H191" s="207"/>
      <c r="I191" s="208"/>
      <c r="J191" s="208"/>
      <c r="K191" s="208"/>
    </row>
    <row r="192" spans="2:11" hidden="1">
      <c r="B192" s="216"/>
      <c r="C192" s="217"/>
      <c r="D192" s="217"/>
      <c r="E192" s="217"/>
      <c r="F192" s="217"/>
      <c r="G192" s="217"/>
      <c r="H192" s="207"/>
      <c r="I192" s="208"/>
      <c r="J192" s="208"/>
      <c r="K192" s="208"/>
    </row>
    <row r="193" spans="2:11" hidden="1">
      <c r="B193" s="218"/>
      <c r="C193" s="217"/>
      <c r="D193" s="217"/>
      <c r="E193" s="217"/>
      <c r="F193" s="217"/>
      <c r="G193" s="217"/>
      <c r="H193" s="207"/>
      <c r="I193" s="208"/>
      <c r="J193" s="208"/>
      <c r="K193" s="208"/>
    </row>
    <row r="194" spans="2:11" hidden="1">
      <c r="B194" s="216"/>
      <c r="C194" s="217"/>
      <c r="D194" s="217"/>
      <c r="E194" s="217"/>
      <c r="F194" s="217"/>
      <c r="G194" s="217"/>
      <c r="H194" s="207"/>
      <c r="I194" s="208"/>
      <c r="J194" s="208"/>
      <c r="K194" s="208"/>
    </row>
    <row r="195" spans="2:11" hidden="1">
      <c r="B195" s="219"/>
      <c r="C195" s="220"/>
      <c r="D195" s="220"/>
      <c r="E195" s="220"/>
      <c r="F195" s="220"/>
      <c r="G195" s="220"/>
      <c r="H195" s="213"/>
      <c r="I195" s="214"/>
      <c r="J195" s="214"/>
      <c r="K195" s="214"/>
    </row>
    <row r="196" spans="2:11">
      <c r="C196" s="206"/>
      <c r="D196" s="209">
        <f>SUM(D4:D195)</f>
        <v>240846.66666666564</v>
      </c>
      <c r="E196" s="209">
        <f>SUM(E4:E195)</f>
        <v>2172800.000000007</v>
      </c>
      <c r="F196" s="210"/>
      <c r="G196" s="206"/>
      <c r="K196" s="206"/>
    </row>
    <row r="197" spans="2:11">
      <c r="C197" s="206"/>
      <c r="D197" s="206"/>
      <c r="E197" s="206"/>
      <c r="F197" s="206"/>
    </row>
    <row r="198" spans="2:11" ht="18">
      <c r="B198" s="211"/>
      <c r="C198" s="212"/>
      <c r="D198" s="206"/>
      <c r="E198" s="206"/>
      <c r="F198" s="206"/>
    </row>
    <row r="199" spans="2:11">
      <c r="C199" s="206"/>
      <c r="D199" s="206"/>
      <c r="E199" s="206"/>
      <c r="F199" s="206"/>
    </row>
    <row r="200" spans="2:11">
      <c r="C200" s="206"/>
      <c r="D200" s="206"/>
      <c r="E200" s="206"/>
      <c r="F200" s="206"/>
    </row>
    <row r="201" spans="2:11">
      <c r="C201" s="206"/>
      <c r="D201" s="206"/>
      <c r="E201" s="206"/>
      <c r="F201" s="206"/>
    </row>
    <row r="202" spans="2:11">
      <c r="C202" s="206"/>
      <c r="D202" s="206"/>
      <c r="E202" s="206"/>
      <c r="F202" s="206"/>
    </row>
    <row r="203" spans="2:11">
      <c r="C203" s="206"/>
      <c r="D203" s="206"/>
      <c r="E203" s="206"/>
      <c r="F203" s="206"/>
    </row>
    <row r="204" spans="2:11">
      <c r="C204" s="206"/>
      <c r="D204" s="206"/>
      <c r="E204" s="206"/>
      <c r="F204" s="206"/>
    </row>
    <row r="205" spans="2:11">
      <c r="C205" s="206"/>
      <c r="D205" s="206"/>
      <c r="E205" s="206"/>
      <c r="F205" s="206"/>
    </row>
    <row r="206" spans="2:11">
      <c r="C206" s="206"/>
      <c r="D206" s="206"/>
      <c r="E206" s="206"/>
      <c r="F206" s="206"/>
    </row>
    <row r="207" spans="2:11">
      <c r="C207" s="206"/>
      <c r="D207" s="206"/>
      <c r="E207" s="206"/>
      <c r="F207" s="206"/>
    </row>
    <row r="208" spans="2:11">
      <c r="C208" s="206"/>
      <c r="D208" s="206"/>
      <c r="E208" s="206"/>
      <c r="F208" s="206"/>
    </row>
    <row r="209" spans="3:6">
      <c r="C209" s="206"/>
      <c r="D209" s="206"/>
      <c r="E209" s="206"/>
      <c r="F209" s="206"/>
    </row>
    <row r="210" spans="3:6">
      <c r="C210" s="206"/>
      <c r="D210" s="206"/>
      <c r="E210" s="206"/>
      <c r="F210" s="206"/>
    </row>
    <row r="211" spans="3:6">
      <c r="C211" s="206"/>
      <c r="D211" s="206"/>
      <c r="E211" s="206"/>
      <c r="F211" s="206"/>
    </row>
    <row r="212" spans="3:6">
      <c r="C212" s="206"/>
      <c r="D212" s="206"/>
      <c r="E212" s="206"/>
      <c r="F212" s="206"/>
    </row>
    <row r="213" spans="3:6">
      <c r="C213" s="206"/>
      <c r="D213" s="206"/>
      <c r="E213" s="206"/>
      <c r="F213" s="206"/>
    </row>
    <row r="214" spans="3:6">
      <c r="C214" s="206"/>
      <c r="D214" s="206"/>
      <c r="E214" s="206"/>
      <c r="F214" s="206"/>
    </row>
    <row r="215" spans="3:6">
      <c r="C215" s="206"/>
      <c r="D215" s="206"/>
      <c r="E215" s="206"/>
      <c r="F215" s="206"/>
    </row>
    <row r="216" spans="3:6">
      <c r="C216" s="206"/>
      <c r="D216" s="206"/>
      <c r="E216" s="206"/>
      <c r="F216" s="206"/>
    </row>
    <row r="217" spans="3:6">
      <c r="C217" s="206"/>
      <c r="D217" s="206"/>
      <c r="E217" s="206"/>
      <c r="F217" s="206"/>
    </row>
    <row r="218" spans="3:6">
      <c r="C218" s="206"/>
      <c r="D218" s="206"/>
      <c r="E218" s="206"/>
      <c r="F218" s="206"/>
    </row>
    <row r="219" spans="3:6">
      <c r="C219" s="206"/>
      <c r="D219" s="206"/>
      <c r="E219" s="206"/>
      <c r="F219" s="206"/>
    </row>
    <row r="220" spans="3:6">
      <c r="C220" s="206"/>
      <c r="D220" s="206"/>
      <c r="E220" s="206"/>
      <c r="F220" s="206"/>
    </row>
    <row r="221" spans="3:6">
      <c r="C221" s="206"/>
      <c r="D221" s="206"/>
      <c r="E221" s="206"/>
      <c r="F221" s="206"/>
    </row>
    <row r="222" spans="3:6">
      <c r="C222" s="206"/>
      <c r="D222" s="206"/>
      <c r="E222" s="206"/>
      <c r="F222" s="206"/>
    </row>
    <row r="223" spans="3:6">
      <c r="C223" s="206"/>
      <c r="D223" s="206"/>
      <c r="E223" s="206"/>
      <c r="F223" s="206"/>
    </row>
    <row r="224" spans="3:6">
      <c r="C224" s="206"/>
      <c r="D224" s="206"/>
      <c r="E224" s="206"/>
      <c r="F224" s="206"/>
    </row>
    <row r="225" spans="3:6">
      <c r="C225" s="206"/>
      <c r="D225" s="206"/>
      <c r="E225" s="206"/>
      <c r="F225" s="206"/>
    </row>
    <row r="226" spans="3:6">
      <c r="C226" s="206"/>
      <c r="D226" s="206"/>
      <c r="E226" s="206"/>
      <c r="F226" s="206"/>
    </row>
    <row r="227" spans="3:6">
      <c r="C227" s="206"/>
      <c r="D227" s="206"/>
      <c r="E227" s="206"/>
      <c r="F227" s="206"/>
    </row>
    <row r="228" spans="3:6">
      <c r="C228" s="206"/>
      <c r="D228" s="206"/>
      <c r="E228" s="206"/>
      <c r="F228" s="206"/>
    </row>
    <row r="229" spans="3:6">
      <c r="C229" s="206"/>
      <c r="D229" s="206"/>
      <c r="E229" s="206"/>
      <c r="F229" s="206"/>
    </row>
    <row r="230" spans="3:6">
      <c r="C230" s="206"/>
      <c r="D230" s="206"/>
      <c r="E230" s="206"/>
      <c r="F230" s="206"/>
    </row>
    <row r="231" spans="3:6">
      <c r="C231" s="206"/>
      <c r="D231" s="206"/>
      <c r="E231" s="206"/>
      <c r="F231" s="206"/>
    </row>
    <row r="232" spans="3:6">
      <c r="C232" s="206"/>
      <c r="D232" s="206"/>
      <c r="E232" s="206"/>
      <c r="F232" s="206"/>
    </row>
    <row r="233" spans="3:6">
      <c r="C233" s="206"/>
      <c r="D233" s="206"/>
      <c r="E233" s="206"/>
      <c r="F233" s="206"/>
    </row>
    <row r="234" spans="3:6">
      <c r="C234" s="206"/>
      <c r="D234" s="206"/>
      <c r="E234" s="206"/>
      <c r="F234" s="206"/>
    </row>
    <row r="235" spans="3:6">
      <c r="C235" s="206"/>
      <c r="D235" s="206"/>
      <c r="E235" s="206"/>
      <c r="F235" s="206"/>
    </row>
    <row r="236" spans="3:6">
      <c r="C236" s="206"/>
      <c r="D236" s="206"/>
      <c r="E236" s="206"/>
      <c r="F236" s="206"/>
    </row>
    <row r="237" spans="3:6">
      <c r="C237" s="206"/>
      <c r="D237" s="206"/>
      <c r="E237" s="206"/>
      <c r="F237" s="206"/>
    </row>
    <row r="238" spans="3:6">
      <c r="C238" s="206"/>
      <c r="D238" s="206"/>
      <c r="E238" s="206"/>
      <c r="F238" s="206"/>
    </row>
    <row r="239" spans="3:6">
      <c r="C239" s="206"/>
      <c r="D239" s="206"/>
      <c r="E239" s="206"/>
      <c r="F239" s="206"/>
    </row>
    <row r="240" spans="3:6">
      <c r="C240" s="206"/>
      <c r="D240" s="206"/>
      <c r="E240" s="206"/>
      <c r="F240" s="206"/>
    </row>
    <row r="241" spans="3:6">
      <c r="C241" s="206"/>
      <c r="D241" s="206"/>
      <c r="E241" s="206"/>
      <c r="F241" s="206"/>
    </row>
    <row r="242" spans="3:6">
      <c r="C242" s="206"/>
      <c r="D242" s="206"/>
      <c r="E242" s="206"/>
      <c r="F242" s="206"/>
    </row>
    <row r="243" spans="3:6">
      <c r="C243" s="206"/>
      <c r="D243" s="206"/>
      <c r="E243" s="206"/>
      <c r="F243" s="206"/>
    </row>
    <row r="244" spans="3:6">
      <c r="C244" s="206"/>
      <c r="D244" s="206"/>
      <c r="E244" s="206"/>
      <c r="F244" s="206"/>
    </row>
    <row r="245" spans="3:6">
      <c r="C245" s="206"/>
      <c r="D245" s="206"/>
      <c r="E245" s="206"/>
      <c r="F245" s="206"/>
    </row>
    <row r="246" spans="3:6">
      <c r="C246" s="206"/>
      <c r="D246" s="206"/>
      <c r="E246" s="206"/>
      <c r="F246" s="206"/>
    </row>
    <row r="247" spans="3:6">
      <c r="C247" s="206"/>
      <c r="D247" s="206"/>
      <c r="E247" s="206"/>
      <c r="F247" s="206"/>
    </row>
    <row r="248" spans="3:6">
      <c r="C248" s="206"/>
      <c r="D248" s="206"/>
      <c r="E248" s="206"/>
      <c r="F248" s="206"/>
    </row>
    <row r="249" spans="3:6">
      <c r="C249" s="206"/>
      <c r="D249" s="206"/>
      <c r="E249" s="206"/>
      <c r="F249" s="206"/>
    </row>
    <row r="250" spans="3:6">
      <c r="C250" s="206"/>
      <c r="D250" s="206"/>
      <c r="E250" s="206"/>
      <c r="F250" s="206"/>
    </row>
    <row r="251" spans="3:6">
      <c r="C251" s="206"/>
      <c r="D251" s="206"/>
      <c r="E251" s="206"/>
      <c r="F251" s="206"/>
    </row>
    <row r="252" spans="3:6">
      <c r="C252" s="206"/>
      <c r="D252" s="206"/>
      <c r="E252" s="206"/>
      <c r="F252" s="206"/>
    </row>
    <row r="253" spans="3:6">
      <c r="C253" s="206"/>
      <c r="D253" s="206"/>
      <c r="E253" s="206"/>
      <c r="F253" s="206"/>
    </row>
    <row r="254" spans="3:6">
      <c r="C254" s="206"/>
      <c r="D254" s="206"/>
      <c r="E254" s="206"/>
      <c r="F254" s="206"/>
    </row>
    <row r="255" spans="3:6">
      <c r="C255" s="206"/>
      <c r="D255" s="206"/>
      <c r="E255" s="206"/>
      <c r="F255" s="206"/>
    </row>
    <row r="256" spans="3:6">
      <c r="C256" s="206"/>
      <c r="D256" s="206"/>
      <c r="E256" s="206"/>
      <c r="F256" s="206"/>
    </row>
    <row r="257" spans="3:6">
      <c r="C257" s="206"/>
      <c r="D257" s="206"/>
      <c r="E257" s="206"/>
      <c r="F257" s="206"/>
    </row>
    <row r="258" spans="3:6">
      <c r="C258" s="206"/>
      <c r="D258" s="206"/>
      <c r="E258" s="206"/>
      <c r="F258" s="206"/>
    </row>
    <row r="259" spans="3:6">
      <c r="C259" s="206"/>
      <c r="D259" s="206"/>
      <c r="E259" s="206"/>
      <c r="F259" s="206"/>
    </row>
    <row r="260" spans="3:6">
      <c r="C260" s="206"/>
      <c r="D260" s="206"/>
      <c r="E260" s="206"/>
      <c r="F260" s="206"/>
    </row>
    <row r="261" spans="3:6">
      <c r="C261" s="206"/>
      <c r="D261" s="206"/>
      <c r="E261" s="206"/>
      <c r="F261" s="206"/>
    </row>
    <row r="262" spans="3:6">
      <c r="C262" s="206"/>
      <c r="D262" s="206"/>
      <c r="E262" s="206"/>
      <c r="F262" s="206"/>
    </row>
    <row r="263" spans="3:6">
      <c r="C263" s="206"/>
      <c r="D263" s="206"/>
      <c r="E263" s="206"/>
      <c r="F263" s="206"/>
    </row>
    <row r="264" spans="3:6">
      <c r="C264" s="206"/>
      <c r="D264" s="206"/>
      <c r="E264" s="206"/>
      <c r="F264" s="206"/>
    </row>
    <row r="265" spans="3:6">
      <c r="C265" s="206"/>
      <c r="D265" s="206"/>
      <c r="E265" s="206"/>
      <c r="F265" s="206"/>
    </row>
    <row r="266" spans="3:6">
      <c r="C266" s="206"/>
      <c r="D266" s="206"/>
      <c r="E266" s="206"/>
      <c r="F266" s="206"/>
    </row>
    <row r="267" spans="3:6">
      <c r="C267" s="206"/>
      <c r="D267" s="206"/>
      <c r="E267" s="206"/>
      <c r="F267" s="206"/>
    </row>
    <row r="268" spans="3:6">
      <c r="C268" s="206"/>
      <c r="D268" s="206"/>
      <c r="E268" s="206"/>
      <c r="F268" s="206"/>
    </row>
    <row r="269" spans="3:6">
      <c r="C269" s="206"/>
      <c r="D269" s="206"/>
      <c r="E269" s="206"/>
      <c r="F269" s="206"/>
    </row>
    <row r="270" spans="3:6">
      <c r="C270" s="206"/>
      <c r="D270" s="206"/>
      <c r="E270" s="206"/>
      <c r="F270" s="206"/>
    </row>
    <row r="271" spans="3:6">
      <c r="C271" s="206"/>
      <c r="D271" s="206"/>
      <c r="E271" s="206"/>
      <c r="F271" s="206"/>
    </row>
    <row r="272" spans="3:6">
      <c r="C272" s="206"/>
      <c r="D272" s="206"/>
      <c r="E272" s="206"/>
      <c r="F272" s="206"/>
    </row>
    <row r="273" spans="3:6">
      <c r="C273" s="206"/>
      <c r="D273" s="206"/>
      <c r="E273" s="206"/>
      <c r="F273" s="206"/>
    </row>
    <row r="274" spans="3:6">
      <c r="C274" s="206"/>
      <c r="D274" s="206"/>
      <c r="E274" s="206"/>
      <c r="F274" s="206"/>
    </row>
    <row r="275" spans="3:6">
      <c r="C275" s="206"/>
      <c r="D275" s="206"/>
      <c r="E275" s="206"/>
      <c r="F275" s="206"/>
    </row>
    <row r="276" spans="3:6">
      <c r="C276" s="206"/>
      <c r="D276" s="206"/>
      <c r="E276" s="206"/>
      <c r="F276" s="206"/>
    </row>
    <row r="277" spans="3:6">
      <c r="C277" s="206"/>
      <c r="D277" s="206"/>
      <c r="E277" s="206"/>
      <c r="F277" s="206"/>
    </row>
    <row r="278" spans="3:6">
      <c r="C278" s="206"/>
      <c r="D278" s="206"/>
      <c r="E278" s="206"/>
      <c r="F278" s="206"/>
    </row>
    <row r="279" spans="3:6">
      <c r="C279" s="206"/>
      <c r="D279" s="206"/>
      <c r="E279" s="206"/>
      <c r="F279" s="206"/>
    </row>
    <row r="280" spans="3:6">
      <c r="C280" s="206"/>
      <c r="D280" s="206"/>
      <c r="E280" s="206"/>
      <c r="F280" s="206"/>
    </row>
    <row r="281" spans="3:6">
      <c r="C281" s="206"/>
      <c r="D281" s="206"/>
      <c r="E281" s="206"/>
      <c r="F281" s="206"/>
    </row>
    <row r="282" spans="3:6">
      <c r="C282" s="206"/>
      <c r="D282" s="206"/>
      <c r="E282" s="206"/>
      <c r="F282" s="206"/>
    </row>
    <row r="283" spans="3:6">
      <c r="C283" s="206"/>
      <c r="D283" s="206"/>
      <c r="E283" s="206"/>
      <c r="F283" s="206"/>
    </row>
    <row r="284" spans="3:6">
      <c r="C284" s="206"/>
      <c r="D284" s="206"/>
      <c r="E284" s="206"/>
      <c r="F284" s="206"/>
    </row>
    <row r="285" spans="3:6">
      <c r="C285" s="206"/>
      <c r="D285" s="206"/>
      <c r="E285" s="206"/>
      <c r="F285" s="206"/>
    </row>
    <row r="286" spans="3:6">
      <c r="C286" s="206"/>
      <c r="D286" s="206"/>
      <c r="E286" s="206"/>
      <c r="F286" s="206"/>
    </row>
    <row r="287" spans="3:6">
      <c r="C287" s="206"/>
      <c r="D287" s="206"/>
      <c r="E287" s="206"/>
      <c r="F287" s="206"/>
    </row>
    <row r="288" spans="3:6">
      <c r="C288" s="206"/>
      <c r="D288" s="206"/>
      <c r="E288" s="206"/>
      <c r="F288" s="206"/>
    </row>
    <row r="289" spans="3:6">
      <c r="C289" s="206"/>
      <c r="D289" s="206"/>
      <c r="E289" s="206"/>
      <c r="F289" s="206"/>
    </row>
    <row r="290" spans="3:6">
      <c r="C290" s="206"/>
      <c r="D290" s="206"/>
      <c r="E290" s="206"/>
      <c r="F290" s="206"/>
    </row>
    <row r="291" spans="3:6">
      <c r="C291" s="206"/>
      <c r="D291" s="206"/>
      <c r="E291" s="206"/>
      <c r="F291" s="206"/>
    </row>
    <row r="292" spans="3:6">
      <c r="C292" s="206"/>
      <c r="D292" s="206"/>
      <c r="E292" s="206"/>
      <c r="F292" s="206"/>
    </row>
    <row r="293" spans="3:6">
      <c r="C293" s="206"/>
      <c r="D293" s="206"/>
      <c r="E293" s="206"/>
      <c r="F293" s="206"/>
    </row>
    <row r="294" spans="3:6">
      <c r="C294" s="206"/>
      <c r="D294" s="206"/>
      <c r="E294" s="206"/>
      <c r="F294" s="206"/>
    </row>
    <row r="295" spans="3:6">
      <c r="C295" s="206"/>
      <c r="D295" s="206"/>
      <c r="E295" s="206"/>
      <c r="F295" s="206"/>
    </row>
    <row r="296" spans="3:6">
      <c r="C296" s="206"/>
      <c r="D296" s="206"/>
      <c r="E296" s="206"/>
      <c r="F296" s="206"/>
    </row>
    <row r="297" spans="3:6">
      <c r="C297" s="206"/>
      <c r="D297" s="206"/>
      <c r="E297" s="206"/>
      <c r="F297" s="206"/>
    </row>
    <row r="298" spans="3:6">
      <c r="C298" s="206"/>
      <c r="D298" s="206"/>
      <c r="E298" s="206"/>
      <c r="F298" s="206"/>
    </row>
    <row r="299" spans="3:6">
      <c r="C299" s="206"/>
      <c r="D299" s="206"/>
      <c r="E299" s="206"/>
      <c r="F299" s="206"/>
    </row>
    <row r="300" spans="3:6">
      <c r="C300" s="206"/>
      <c r="D300" s="206"/>
      <c r="E300" s="206"/>
      <c r="F300" s="206"/>
    </row>
    <row r="301" spans="3:6">
      <c r="C301" s="206"/>
      <c r="D301" s="206"/>
      <c r="E301" s="206"/>
      <c r="F301" s="206"/>
    </row>
    <row r="302" spans="3:6">
      <c r="C302" s="206"/>
      <c r="D302" s="206"/>
      <c r="E302" s="206"/>
      <c r="F302" s="206"/>
    </row>
    <row r="303" spans="3:6">
      <c r="C303" s="206"/>
      <c r="D303" s="206"/>
      <c r="E303" s="206"/>
      <c r="F303" s="206"/>
    </row>
    <row r="304" spans="3:6">
      <c r="C304" s="206"/>
      <c r="D304" s="206"/>
      <c r="E304" s="206"/>
      <c r="F304" s="206"/>
    </row>
    <row r="305" spans="3:6">
      <c r="C305" s="206"/>
      <c r="D305" s="206"/>
      <c r="E305" s="206"/>
      <c r="F305" s="206"/>
    </row>
    <row r="306" spans="3:6">
      <c r="C306" s="206"/>
      <c r="D306" s="206"/>
      <c r="E306" s="206"/>
      <c r="F306" s="206"/>
    </row>
    <row r="307" spans="3:6">
      <c r="C307" s="206"/>
      <c r="D307" s="206"/>
      <c r="E307" s="206"/>
      <c r="F307" s="206"/>
    </row>
    <row r="308" spans="3:6">
      <c r="C308" s="206"/>
      <c r="D308" s="206"/>
      <c r="E308" s="206"/>
      <c r="F308" s="206"/>
    </row>
    <row r="309" spans="3:6">
      <c r="C309" s="206"/>
      <c r="D309" s="206"/>
      <c r="E309" s="206"/>
      <c r="F309" s="206"/>
    </row>
    <row r="310" spans="3:6">
      <c r="C310" s="206"/>
      <c r="D310" s="206"/>
      <c r="E310" s="206"/>
      <c r="F310" s="206"/>
    </row>
    <row r="311" spans="3:6">
      <c r="C311" s="206"/>
      <c r="D311" s="206"/>
      <c r="E311" s="206"/>
      <c r="F311" s="206"/>
    </row>
    <row r="312" spans="3:6">
      <c r="C312" s="206"/>
      <c r="D312" s="206"/>
      <c r="E312" s="206"/>
      <c r="F312" s="206"/>
    </row>
    <row r="313" spans="3:6">
      <c r="C313" s="206"/>
      <c r="D313" s="206"/>
      <c r="E313" s="206"/>
      <c r="F313" s="206"/>
    </row>
    <row r="314" spans="3:6">
      <c r="C314" s="206"/>
      <c r="D314" s="206"/>
      <c r="E314" s="206"/>
      <c r="F314" s="206"/>
    </row>
    <row r="315" spans="3:6">
      <c r="C315" s="206"/>
      <c r="D315" s="206"/>
      <c r="E315" s="206"/>
      <c r="F315" s="206"/>
    </row>
    <row r="316" spans="3:6">
      <c r="C316" s="206"/>
      <c r="D316" s="206"/>
      <c r="E316" s="206"/>
      <c r="F316" s="206"/>
    </row>
    <row r="317" spans="3:6">
      <c r="C317" s="206"/>
      <c r="D317" s="206"/>
      <c r="E317" s="206"/>
      <c r="F317" s="206"/>
    </row>
    <row r="318" spans="3:6">
      <c r="C318" s="206"/>
      <c r="D318" s="206"/>
      <c r="E318" s="206"/>
      <c r="F318" s="206"/>
    </row>
    <row r="319" spans="3:6">
      <c r="C319" s="206"/>
      <c r="D319" s="206"/>
      <c r="E319" s="206"/>
      <c r="F319" s="206"/>
    </row>
    <row r="320" spans="3:6">
      <c r="C320" s="206"/>
      <c r="D320" s="206"/>
      <c r="E320" s="206"/>
      <c r="F320" s="206"/>
    </row>
    <row r="321" spans="3:6">
      <c r="C321" s="206"/>
      <c r="D321" s="206"/>
      <c r="E321" s="206"/>
      <c r="F321" s="206"/>
    </row>
    <row r="322" spans="3:6">
      <c r="C322" s="206"/>
      <c r="D322" s="206"/>
      <c r="E322" s="206"/>
      <c r="F322" s="206"/>
    </row>
    <row r="323" spans="3:6">
      <c r="C323" s="206"/>
      <c r="D323" s="206"/>
      <c r="E323" s="206"/>
      <c r="F323" s="206"/>
    </row>
    <row r="324" spans="3:6">
      <c r="C324" s="206"/>
      <c r="D324" s="206"/>
      <c r="E324" s="206"/>
      <c r="F324" s="206"/>
    </row>
    <row r="325" spans="3:6">
      <c r="C325" s="206"/>
      <c r="D325" s="206"/>
      <c r="E325" s="206"/>
      <c r="F325" s="206"/>
    </row>
    <row r="326" spans="3:6">
      <c r="C326" s="206"/>
      <c r="D326" s="206"/>
      <c r="E326" s="206"/>
      <c r="F326" s="206"/>
    </row>
    <row r="327" spans="3:6">
      <c r="C327" s="206"/>
      <c r="D327" s="206"/>
      <c r="E327" s="206"/>
      <c r="F327" s="206"/>
    </row>
    <row r="328" spans="3:6">
      <c r="C328" s="206"/>
      <c r="D328" s="206"/>
      <c r="E328" s="206"/>
      <c r="F328" s="206"/>
    </row>
    <row r="329" spans="3:6">
      <c r="C329" s="206"/>
      <c r="D329" s="206"/>
      <c r="E329" s="206"/>
      <c r="F329" s="206"/>
    </row>
    <row r="330" spans="3:6">
      <c r="C330" s="206"/>
      <c r="D330" s="206"/>
      <c r="E330" s="206"/>
      <c r="F330" s="206"/>
    </row>
    <row r="331" spans="3:6">
      <c r="C331" s="206"/>
      <c r="D331" s="206"/>
      <c r="E331" s="206"/>
      <c r="F331" s="206"/>
    </row>
    <row r="332" spans="3:6">
      <c r="C332" s="206"/>
      <c r="D332" s="206"/>
      <c r="E332" s="206"/>
      <c r="F332" s="206"/>
    </row>
    <row r="333" spans="3:6">
      <c r="C333" s="206"/>
      <c r="D333" s="206"/>
      <c r="E333" s="206"/>
      <c r="F333" s="206"/>
    </row>
    <row r="334" spans="3:6">
      <c r="C334" s="206"/>
      <c r="D334" s="206"/>
      <c r="E334" s="206"/>
      <c r="F334" s="206"/>
    </row>
    <row r="335" spans="3:6">
      <c r="C335" s="206"/>
      <c r="D335" s="206"/>
      <c r="E335" s="206"/>
      <c r="F335" s="206"/>
    </row>
    <row r="336" spans="3:6">
      <c r="C336" s="206"/>
      <c r="D336" s="206"/>
      <c r="E336" s="206"/>
      <c r="F336" s="206"/>
    </row>
    <row r="337" spans="3:6">
      <c r="C337" s="206"/>
      <c r="D337" s="206"/>
      <c r="E337" s="206"/>
      <c r="F337" s="206"/>
    </row>
    <row r="338" spans="3:6">
      <c r="C338" s="206"/>
      <c r="D338" s="206"/>
      <c r="E338" s="206"/>
      <c r="F338" s="206"/>
    </row>
    <row r="339" spans="3:6">
      <c r="C339" s="206"/>
      <c r="D339" s="206"/>
      <c r="E339" s="206"/>
      <c r="F339" s="206"/>
    </row>
    <row r="340" spans="3:6">
      <c r="C340" s="206"/>
      <c r="D340" s="206"/>
      <c r="E340" s="206"/>
      <c r="F340" s="206"/>
    </row>
    <row r="341" spans="3:6">
      <c r="C341" s="206"/>
      <c r="D341" s="206"/>
      <c r="E341" s="206"/>
      <c r="F341" s="206"/>
    </row>
    <row r="342" spans="3:6">
      <c r="C342" s="206"/>
      <c r="D342" s="206"/>
      <c r="E342" s="206"/>
      <c r="F342" s="206"/>
    </row>
    <row r="343" spans="3:6">
      <c r="C343" s="206"/>
      <c r="D343" s="206"/>
      <c r="E343" s="206"/>
      <c r="F343" s="206"/>
    </row>
    <row r="344" spans="3:6">
      <c r="C344" s="206"/>
      <c r="D344" s="206"/>
      <c r="E344" s="206"/>
      <c r="F344" s="206"/>
    </row>
    <row r="345" spans="3:6">
      <c r="C345" s="206"/>
      <c r="D345" s="206"/>
      <c r="E345" s="206"/>
      <c r="F345" s="206"/>
    </row>
    <row r="346" spans="3:6">
      <c r="C346" s="206"/>
      <c r="D346" s="206"/>
      <c r="E346" s="206"/>
      <c r="F346" s="206"/>
    </row>
    <row r="347" spans="3:6">
      <c r="C347" s="206"/>
      <c r="D347" s="206"/>
      <c r="E347" s="206"/>
      <c r="F347" s="206"/>
    </row>
    <row r="348" spans="3:6">
      <c r="C348" s="206"/>
      <c r="D348" s="206"/>
      <c r="E348" s="206"/>
      <c r="F348" s="206"/>
    </row>
    <row r="349" spans="3:6">
      <c r="C349" s="206"/>
      <c r="D349" s="206"/>
      <c r="E349" s="206"/>
      <c r="F349" s="206"/>
    </row>
    <row r="350" spans="3:6">
      <c r="C350" s="206"/>
      <c r="D350" s="206"/>
      <c r="E350" s="206"/>
      <c r="F350" s="206"/>
    </row>
    <row r="351" spans="3:6">
      <c r="C351" s="206"/>
      <c r="D351" s="206"/>
      <c r="E351" s="206"/>
      <c r="F351" s="206"/>
    </row>
    <row r="352" spans="3:6">
      <c r="C352" s="206"/>
      <c r="D352" s="206"/>
      <c r="E352" s="206"/>
      <c r="F352" s="206"/>
    </row>
    <row r="353" spans="3:6">
      <c r="C353" s="206"/>
      <c r="D353" s="206"/>
      <c r="E353" s="206"/>
      <c r="F353" s="206"/>
    </row>
    <row r="354" spans="3:6">
      <c r="C354" s="206"/>
      <c r="D354" s="206"/>
      <c r="E354" s="206"/>
      <c r="F354" s="206"/>
    </row>
    <row r="355" spans="3:6">
      <c r="C355" s="206"/>
      <c r="D355" s="206"/>
      <c r="E355" s="206"/>
      <c r="F355" s="206"/>
    </row>
    <row r="356" spans="3:6">
      <c r="C356" s="206"/>
      <c r="D356" s="206"/>
      <c r="E356" s="206"/>
      <c r="F356" s="206"/>
    </row>
    <row r="357" spans="3:6">
      <c r="C357" s="206"/>
      <c r="D357" s="206"/>
      <c r="E357" s="206"/>
      <c r="F357" s="206"/>
    </row>
    <row r="358" spans="3:6">
      <c r="C358" s="206"/>
      <c r="D358" s="206"/>
      <c r="E358" s="206"/>
      <c r="F358" s="206"/>
    </row>
    <row r="359" spans="3:6">
      <c r="C359" s="206"/>
      <c r="D359" s="206"/>
      <c r="E359" s="206"/>
      <c r="F359" s="206"/>
    </row>
    <row r="360" spans="3:6">
      <c r="C360" s="206"/>
      <c r="D360" s="206"/>
      <c r="E360" s="206"/>
      <c r="F360" s="206"/>
    </row>
    <row r="361" spans="3:6">
      <c r="C361" s="206"/>
      <c r="D361" s="206"/>
      <c r="E361" s="206"/>
      <c r="F361" s="206"/>
    </row>
    <row r="362" spans="3:6">
      <c r="C362" s="206"/>
      <c r="D362" s="206"/>
      <c r="E362" s="206"/>
      <c r="F362" s="206"/>
    </row>
    <row r="363" spans="3:6">
      <c r="C363" s="206"/>
      <c r="D363" s="206"/>
      <c r="E363" s="206"/>
      <c r="F363" s="206"/>
    </row>
    <row r="364" spans="3:6">
      <c r="C364" s="206"/>
      <c r="D364" s="206"/>
      <c r="E364" s="206"/>
      <c r="F364" s="206"/>
    </row>
    <row r="365" spans="3:6">
      <c r="C365" s="206"/>
      <c r="D365" s="206"/>
      <c r="E365" s="206"/>
      <c r="F365" s="206"/>
    </row>
    <row r="366" spans="3:6">
      <c r="C366" s="206"/>
      <c r="D366" s="206"/>
      <c r="E366" s="206"/>
      <c r="F366" s="206"/>
    </row>
    <row r="367" spans="3:6">
      <c r="C367" s="206"/>
      <c r="D367" s="206"/>
      <c r="E367" s="206"/>
      <c r="F367" s="206"/>
    </row>
    <row r="368" spans="3:6">
      <c r="C368" s="206"/>
      <c r="D368" s="206"/>
      <c r="E368" s="206"/>
      <c r="F368" s="206"/>
    </row>
    <row r="369" spans="3:6">
      <c r="C369" s="206"/>
      <c r="D369" s="206"/>
      <c r="E369" s="206"/>
      <c r="F369" s="206"/>
    </row>
    <row r="370" spans="3:6">
      <c r="C370" s="206"/>
      <c r="D370" s="206"/>
      <c r="E370" s="206"/>
      <c r="F370" s="206"/>
    </row>
    <row r="371" spans="3:6">
      <c r="C371" s="206"/>
      <c r="D371" s="206"/>
      <c r="E371" s="206"/>
      <c r="F371" s="206"/>
    </row>
    <row r="372" spans="3:6">
      <c r="C372" s="206"/>
      <c r="D372" s="206"/>
      <c r="E372" s="206"/>
      <c r="F372" s="206"/>
    </row>
    <row r="373" spans="3:6">
      <c r="C373" s="206"/>
      <c r="D373" s="206"/>
      <c r="E373" s="206"/>
      <c r="F373" s="206"/>
    </row>
    <row r="374" spans="3:6">
      <c r="C374" s="206"/>
      <c r="D374" s="206"/>
      <c r="E374" s="206"/>
      <c r="F374" s="206"/>
    </row>
    <row r="375" spans="3:6">
      <c r="C375" s="206"/>
      <c r="D375" s="206"/>
      <c r="E375" s="206"/>
      <c r="F375" s="206"/>
    </row>
    <row r="376" spans="3:6">
      <c r="C376" s="206"/>
      <c r="D376" s="206"/>
      <c r="E376" s="206"/>
      <c r="F376" s="206"/>
    </row>
    <row r="377" spans="3:6">
      <c r="C377" s="206"/>
      <c r="D377" s="206"/>
      <c r="E377" s="206"/>
      <c r="F377" s="206"/>
    </row>
    <row r="378" spans="3:6">
      <c r="C378" s="206"/>
      <c r="D378" s="206"/>
      <c r="E378" s="206"/>
      <c r="F378" s="206"/>
    </row>
    <row r="379" spans="3:6">
      <c r="C379" s="206"/>
      <c r="D379" s="206"/>
      <c r="E379" s="206"/>
      <c r="F379" s="206"/>
    </row>
    <row r="380" spans="3:6">
      <c r="C380" s="206"/>
      <c r="D380" s="206"/>
      <c r="E380" s="206"/>
      <c r="F380" s="206"/>
    </row>
    <row r="381" spans="3:6">
      <c r="C381" s="206"/>
      <c r="D381" s="206"/>
      <c r="E381" s="206"/>
      <c r="F381" s="206"/>
    </row>
    <row r="382" spans="3:6">
      <c r="C382" s="206"/>
      <c r="D382" s="206"/>
      <c r="E382" s="206"/>
      <c r="F382" s="206"/>
    </row>
    <row r="383" spans="3:6">
      <c r="C383" s="206"/>
      <c r="D383" s="206"/>
      <c r="E383" s="206"/>
      <c r="F383" s="206"/>
    </row>
    <row r="384" spans="3:6">
      <c r="C384" s="206"/>
      <c r="D384" s="206"/>
      <c r="E384" s="206"/>
      <c r="F384" s="206"/>
    </row>
    <row r="385" spans="3:6">
      <c r="C385" s="206"/>
      <c r="D385" s="206"/>
      <c r="E385" s="206"/>
      <c r="F385" s="206"/>
    </row>
    <row r="386" spans="3:6">
      <c r="C386" s="206"/>
      <c r="D386" s="206"/>
      <c r="E386" s="206"/>
      <c r="F386" s="206"/>
    </row>
    <row r="387" spans="3:6">
      <c r="C387" s="206"/>
      <c r="D387" s="206"/>
      <c r="E387" s="206"/>
      <c r="F387" s="206"/>
    </row>
    <row r="388" spans="3:6">
      <c r="C388" s="206"/>
      <c r="D388" s="206"/>
      <c r="E388" s="206"/>
      <c r="F388" s="206"/>
    </row>
    <row r="389" spans="3:6">
      <c r="C389" s="206"/>
      <c r="D389" s="206"/>
      <c r="E389" s="206"/>
      <c r="F389" s="206"/>
    </row>
    <row r="390" spans="3:6">
      <c r="C390" s="206"/>
      <c r="D390" s="206"/>
      <c r="E390" s="206"/>
      <c r="F390" s="206"/>
    </row>
    <row r="391" spans="3:6">
      <c r="C391" s="206"/>
      <c r="D391" s="206"/>
      <c r="E391" s="206"/>
      <c r="F391" s="206"/>
    </row>
    <row r="392" spans="3:6">
      <c r="C392" s="206"/>
      <c r="D392" s="206"/>
      <c r="E392" s="206"/>
      <c r="F392" s="206"/>
    </row>
    <row r="393" spans="3:6">
      <c r="C393" s="206"/>
      <c r="D393" s="206"/>
      <c r="E393" s="206"/>
      <c r="F393" s="206"/>
    </row>
    <row r="394" spans="3:6">
      <c r="C394" s="206"/>
      <c r="D394" s="206"/>
      <c r="E394" s="206"/>
      <c r="F394" s="206"/>
    </row>
    <row r="395" spans="3:6">
      <c r="C395" s="206"/>
      <c r="D395" s="206"/>
      <c r="E395" s="206"/>
      <c r="F395" s="206"/>
    </row>
    <row r="396" spans="3:6">
      <c r="C396" s="206"/>
      <c r="D396" s="206"/>
      <c r="E396" s="206"/>
      <c r="F396" s="206"/>
    </row>
    <row r="397" spans="3:6">
      <c r="C397" s="206"/>
      <c r="D397" s="206"/>
      <c r="E397" s="206"/>
      <c r="F397" s="206"/>
    </row>
    <row r="398" spans="3:6">
      <c r="C398" s="206"/>
      <c r="D398" s="206"/>
      <c r="E398" s="206"/>
      <c r="F398" s="206"/>
    </row>
    <row r="399" spans="3:6">
      <c r="C399" s="206"/>
      <c r="D399" s="206"/>
      <c r="E399" s="206"/>
      <c r="F399" s="206"/>
    </row>
    <row r="400" spans="3:6">
      <c r="C400" s="206"/>
      <c r="D400" s="206"/>
      <c r="E400" s="206"/>
      <c r="F400" s="206"/>
    </row>
    <row r="401" spans="3:6">
      <c r="C401" s="206"/>
      <c r="D401" s="206"/>
      <c r="E401" s="206"/>
      <c r="F401" s="206"/>
    </row>
    <row r="402" spans="3:6">
      <c r="C402" s="206"/>
      <c r="D402" s="206"/>
      <c r="E402" s="206"/>
      <c r="F402" s="206"/>
    </row>
    <row r="403" spans="3:6">
      <c r="C403" s="206"/>
      <c r="D403" s="206"/>
      <c r="E403" s="206"/>
      <c r="F403" s="206"/>
    </row>
    <row r="404" spans="3:6">
      <c r="C404" s="206"/>
      <c r="D404" s="206"/>
      <c r="E404" s="206"/>
      <c r="F404" s="206"/>
    </row>
    <row r="405" spans="3:6">
      <c r="C405" s="206"/>
      <c r="D405" s="206"/>
      <c r="E405" s="206"/>
      <c r="F405" s="206"/>
    </row>
    <row r="406" spans="3:6">
      <c r="C406" s="206"/>
      <c r="D406" s="206"/>
      <c r="E406" s="206"/>
      <c r="F406" s="206"/>
    </row>
    <row r="407" spans="3:6">
      <c r="C407" s="206"/>
      <c r="D407" s="206"/>
      <c r="E407" s="206"/>
      <c r="F407" s="206"/>
    </row>
    <row r="408" spans="3:6">
      <c r="C408" s="206"/>
      <c r="D408" s="206"/>
      <c r="E408" s="206"/>
      <c r="F408" s="206"/>
    </row>
    <row r="409" spans="3:6">
      <c r="C409" s="206"/>
      <c r="D409" s="206"/>
      <c r="E409" s="206"/>
      <c r="F409" s="206"/>
    </row>
    <row r="410" spans="3:6">
      <c r="C410" s="206"/>
      <c r="D410" s="206"/>
      <c r="E410" s="206"/>
      <c r="F410" s="206"/>
    </row>
    <row r="411" spans="3:6">
      <c r="C411" s="206"/>
      <c r="D411" s="206"/>
      <c r="E411" s="206"/>
      <c r="F411" s="206"/>
    </row>
    <row r="412" spans="3:6">
      <c r="C412" s="206"/>
      <c r="D412" s="206"/>
      <c r="E412" s="206"/>
      <c r="F412" s="206"/>
    </row>
    <row r="413" spans="3:6">
      <c r="C413" s="206"/>
      <c r="D413" s="206"/>
      <c r="E413" s="206"/>
      <c r="F413" s="206"/>
    </row>
    <row r="414" spans="3:6">
      <c r="C414" s="206"/>
      <c r="D414" s="206"/>
      <c r="E414" s="206"/>
      <c r="F414" s="206"/>
    </row>
    <row r="415" spans="3:6">
      <c r="C415" s="206"/>
      <c r="D415" s="206"/>
      <c r="E415" s="206"/>
      <c r="F415" s="206"/>
    </row>
    <row r="416" spans="3:6">
      <c r="C416" s="206"/>
      <c r="D416" s="206"/>
      <c r="E416" s="206"/>
      <c r="F416" s="206"/>
    </row>
    <row r="417" spans="3:6">
      <c r="C417" s="206"/>
      <c r="D417" s="206"/>
      <c r="E417" s="206"/>
      <c r="F417" s="206"/>
    </row>
    <row r="418" spans="3:6">
      <c r="C418" s="206"/>
      <c r="D418" s="206"/>
      <c r="E418" s="206"/>
      <c r="F418" s="206"/>
    </row>
    <row r="419" spans="3:6">
      <c r="C419" s="206"/>
      <c r="D419" s="206"/>
      <c r="E419" s="206"/>
      <c r="F419" s="206"/>
    </row>
    <row r="420" spans="3:6">
      <c r="C420" s="206"/>
      <c r="D420" s="206"/>
      <c r="E420" s="206"/>
      <c r="F420" s="206"/>
    </row>
    <row r="421" spans="3:6">
      <c r="C421" s="206"/>
      <c r="D421" s="206"/>
      <c r="E421" s="206"/>
      <c r="F421" s="206"/>
    </row>
    <row r="422" spans="3:6">
      <c r="C422" s="206"/>
      <c r="D422" s="206"/>
      <c r="E422" s="206"/>
      <c r="F422" s="206"/>
    </row>
    <row r="423" spans="3:6">
      <c r="C423" s="206"/>
      <c r="D423" s="206"/>
      <c r="E423" s="206"/>
      <c r="F423" s="206"/>
    </row>
    <row r="424" spans="3:6">
      <c r="C424" s="206"/>
      <c r="D424" s="206"/>
      <c r="E424" s="206"/>
      <c r="F424" s="206"/>
    </row>
    <row r="425" spans="3:6">
      <c r="C425" s="206"/>
      <c r="D425" s="206"/>
      <c r="E425" s="206"/>
      <c r="F425" s="206"/>
    </row>
    <row r="426" spans="3:6">
      <c r="C426" s="206"/>
      <c r="D426" s="206"/>
      <c r="E426" s="206"/>
      <c r="F426" s="206"/>
    </row>
    <row r="427" spans="3:6">
      <c r="C427" s="206"/>
      <c r="D427" s="206"/>
      <c r="E427" s="206"/>
      <c r="F427" s="206"/>
    </row>
    <row r="428" spans="3:6">
      <c r="C428" s="206"/>
      <c r="D428" s="206"/>
      <c r="E428" s="206"/>
      <c r="F428" s="206"/>
    </row>
    <row r="429" spans="3:6">
      <c r="C429" s="206"/>
      <c r="D429" s="206"/>
      <c r="E429" s="206"/>
      <c r="F429" s="206"/>
    </row>
    <row r="430" spans="3:6">
      <c r="C430" s="206"/>
      <c r="D430" s="206"/>
      <c r="E430" s="206"/>
      <c r="F430" s="206"/>
    </row>
    <row r="431" spans="3:6">
      <c r="C431" s="206"/>
      <c r="D431" s="206"/>
      <c r="E431" s="206"/>
      <c r="F431" s="206"/>
    </row>
    <row r="432" spans="3:6">
      <c r="C432" s="206"/>
      <c r="D432" s="206"/>
      <c r="E432" s="206"/>
      <c r="F432" s="206"/>
    </row>
    <row r="433" spans="3:6">
      <c r="C433" s="206"/>
      <c r="D433" s="206"/>
      <c r="E433" s="206"/>
      <c r="F433" s="206"/>
    </row>
    <row r="434" spans="3:6">
      <c r="C434" s="206"/>
      <c r="D434" s="206"/>
      <c r="E434" s="206"/>
      <c r="F434" s="206"/>
    </row>
    <row r="435" spans="3:6">
      <c r="C435" s="206"/>
      <c r="D435" s="206"/>
      <c r="E435" s="206"/>
      <c r="F435" s="206"/>
    </row>
    <row r="436" spans="3:6">
      <c r="C436" s="206"/>
      <c r="D436" s="206"/>
      <c r="E436" s="206"/>
      <c r="F436" s="206"/>
    </row>
    <row r="437" spans="3:6">
      <c r="C437" s="206"/>
      <c r="D437" s="206"/>
      <c r="E437" s="206"/>
      <c r="F437" s="206"/>
    </row>
    <row r="438" spans="3:6">
      <c r="C438" s="206"/>
      <c r="D438" s="206"/>
      <c r="E438" s="206"/>
      <c r="F438" s="206"/>
    </row>
    <row r="439" spans="3:6">
      <c r="C439" s="206"/>
      <c r="D439" s="206"/>
      <c r="E439" s="206"/>
      <c r="F439" s="206"/>
    </row>
    <row r="440" spans="3:6">
      <c r="C440" s="206"/>
      <c r="D440" s="206"/>
      <c r="E440" s="206"/>
      <c r="F440" s="206"/>
    </row>
    <row r="441" spans="3:6">
      <c r="C441" s="206"/>
      <c r="D441" s="206"/>
      <c r="E441" s="206"/>
      <c r="F441" s="206"/>
    </row>
    <row r="442" spans="3:6">
      <c r="C442" s="206"/>
      <c r="D442" s="206"/>
      <c r="E442" s="206"/>
      <c r="F442" s="206"/>
    </row>
    <row r="443" spans="3:6">
      <c r="C443" s="206"/>
      <c r="D443" s="206"/>
      <c r="E443" s="206"/>
      <c r="F443" s="206"/>
    </row>
    <row r="444" spans="3:6">
      <c r="C444" s="206"/>
      <c r="D444" s="206"/>
      <c r="E444" s="206"/>
      <c r="F444" s="206"/>
    </row>
    <row r="445" spans="3:6">
      <c r="C445" s="206"/>
      <c r="D445" s="206"/>
      <c r="E445" s="206"/>
      <c r="F445" s="206"/>
    </row>
    <row r="446" spans="3:6">
      <c r="C446" s="206"/>
      <c r="D446" s="206"/>
      <c r="E446" s="206"/>
      <c r="F446" s="206"/>
    </row>
    <row r="447" spans="3:6">
      <c r="C447" s="206"/>
      <c r="D447" s="206"/>
      <c r="E447" s="206"/>
      <c r="F447" s="206"/>
    </row>
    <row r="448" spans="3:6">
      <c r="C448" s="206"/>
      <c r="D448" s="206"/>
      <c r="E448" s="206"/>
      <c r="F448" s="206"/>
    </row>
    <row r="449" spans="3:6">
      <c r="C449" s="206"/>
      <c r="D449" s="206"/>
      <c r="E449" s="206"/>
      <c r="F449" s="206"/>
    </row>
    <row r="450" spans="3:6">
      <c r="C450" s="206"/>
      <c r="D450" s="206"/>
      <c r="E450" s="206"/>
      <c r="F450" s="206"/>
    </row>
    <row r="451" spans="3:6">
      <c r="C451" s="206"/>
      <c r="D451" s="206"/>
      <c r="E451" s="206"/>
      <c r="F451" s="206"/>
    </row>
    <row r="452" spans="3:6">
      <c r="C452" s="206"/>
      <c r="D452" s="206"/>
      <c r="E452" s="206"/>
      <c r="F452" s="206"/>
    </row>
    <row r="453" spans="3:6">
      <c r="C453" s="206"/>
      <c r="D453" s="206"/>
      <c r="E453" s="206"/>
      <c r="F453" s="206"/>
    </row>
    <row r="454" spans="3:6">
      <c r="C454" s="206"/>
      <c r="D454" s="206"/>
      <c r="E454" s="206"/>
      <c r="F454" s="206"/>
    </row>
    <row r="455" spans="3:6">
      <c r="C455" s="206"/>
      <c r="D455" s="206"/>
      <c r="E455" s="206"/>
      <c r="F455" s="206"/>
    </row>
    <row r="456" spans="3:6">
      <c r="C456" s="206"/>
      <c r="D456" s="206"/>
      <c r="E456" s="206"/>
      <c r="F456" s="206"/>
    </row>
    <row r="457" spans="3:6">
      <c r="C457" s="206"/>
      <c r="D457" s="206"/>
      <c r="E457" s="206"/>
      <c r="F457" s="206"/>
    </row>
    <row r="458" spans="3:6">
      <c r="C458" s="206"/>
      <c r="D458" s="206"/>
      <c r="E458" s="206"/>
      <c r="F458" s="206"/>
    </row>
    <row r="459" spans="3:6">
      <c r="C459" s="206"/>
      <c r="D459" s="206"/>
      <c r="E459" s="206"/>
      <c r="F459" s="206"/>
    </row>
    <row r="460" spans="3:6">
      <c r="C460" s="206"/>
      <c r="D460" s="206"/>
      <c r="E460" s="206"/>
      <c r="F460" s="206"/>
    </row>
    <row r="461" spans="3:6">
      <c r="C461" s="206"/>
      <c r="D461" s="206"/>
      <c r="E461" s="206"/>
      <c r="F461" s="206"/>
    </row>
    <row r="462" spans="3:6">
      <c r="C462" s="206"/>
      <c r="D462" s="206"/>
      <c r="E462" s="206"/>
      <c r="F462" s="206"/>
    </row>
    <row r="463" spans="3:6">
      <c r="C463" s="206"/>
      <c r="D463" s="206"/>
      <c r="E463" s="206"/>
      <c r="F463" s="206"/>
    </row>
    <row r="464" spans="3:6">
      <c r="C464" s="206"/>
      <c r="D464" s="206"/>
      <c r="E464" s="206"/>
      <c r="F464" s="206"/>
    </row>
    <row r="465" spans="3:6">
      <c r="C465" s="206"/>
      <c r="D465" s="206"/>
      <c r="E465" s="206"/>
      <c r="F465" s="206"/>
    </row>
    <row r="466" spans="3:6">
      <c r="C466" s="206"/>
      <c r="D466" s="206"/>
      <c r="E466" s="206"/>
      <c r="F466" s="206"/>
    </row>
    <row r="467" spans="3:6">
      <c r="C467" s="206"/>
      <c r="D467" s="206"/>
      <c r="E467" s="206"/>
      <c r="F467" s="206"/>
    </row>
    <row r="468" spans="3:6">
      <c r="C468" s="206"/>
      <c r="D468" s="206"/>
      <c r="E468" s="206"/>
      <c r="F468" s="206"/>
    </row>
    <row r="469" spans="3:6">
      <c r="C469" s="206"/>
      <c r="D469" s="206"/>
      <c r="E469" s="206"/>
      <c r="F469" s="206"/>
    </row>
    <row r="470" spans="3:6">
      <c r="C470" s="206"/>
      <c r="D470" s="206"/>
      <c r="E470" s="206"/>
      <c r="F470" s="206"/>
    </row>
    <row r="471" spans="3:6">
      <c r="C471" s="206"/>
      <c r="D471" s="206"/>
      <c r="E471" s="206"/>
      <c r="F471" s="206"/>
    </row>
    <row r="472" spans="3:6">
      <c r="C472" s="206"/>
      <c r="D472" s="206"/>
      <c r="E472" s="206"/>
      <c r="F472" s="206"/>
    </row>
    <row r="473" spans="3:6">
      <c r="C473" s="206"/>
      <c r="D473" s="206"/>
      <c r="E473" s="206"/>
      <c r="F473" s="206"/>
    </row>
    <row r="474" spans="3:6">
      <c r="C474" s="206"/>
      <c r="D474" s="206"/>
      <c r="E474" s="206"/>
      <c r="F474" s="206"/>
    </row>
    <row r="475" spans="3:6">
      <c r="C475" s="206"/>
      <c r="D475" s="206"/>
      <c r="E475" s="206"/>
      <c r="F475" s="206"/>
    </row>
    <row r="476" spans="3:6">
      <c r="C476" s="206"/>
      <c r="D476" s="206"/>
      <c r="E476" s="206"/>
      <c r="F476" s="206"/>
    </row>
    <row r="477" spans="3:6">
      <c r="C477" s="206"/>
      <c r="D477" s="206"/>
      <c r="E477" s="206"/>
      <c r="F477" s="206"/>
    </row>
    <row r="478" spans="3:6">
      <c r="C478" s="206"/>
      <c r="D478" s="206"/>
      <c r="E478" s="206"/>
      <c r="F478" s="206"/>
    </row>
    <row r="479" spans="3:6">
      <c r="C479" s="206"/>
      <c r="D479" s="206"/>
      <c r="E479" s="206"/>
      <c r="F479" s="206"/>
    </row>
    <row r="480" spans="3:6">
      <c r="C480" s="206"/>
      <c r="D480" s="206"/>
      <c r="E480" s="206"/>
      <c r="F480" s="206"/>
    </row>
    <row r="481" spans="3:6">
      <c r="C481" s="206"/>
      <c r="D481" s="206"/>
      <c r="E481" s="206"/>
      <c r="F481" s="206"/>
    </row>
    <row r="482" spans="3:6">
      <c r="C482" s="206"/>
      <c r="D482" s="206"/>
      <c r="E482" s="206"/>
      <c r="F482" s="206"/>
    </row>
    <row r="483" spans="3:6">
      <c r="C483" s="206"/>
      <c r="D483" s="206"/>
      <c r="E483" s="206"/>
      <c r="F483" s="206"/>
    </row>
    <row r="484" spans="3:6">
      <c r="C484" s="206"/>
      <c r="D484" s="206"/>
      <c r="E484" s="206"/>
      <c r="F484" s="206"/>
    </row>
    <row r="485" spans="3:6">
      <c r="C485" s="206"/>
      <c r="E485" s="206"/>
      <c r="F485" s="206"/>
    </row>
    <row r="486" spans="3:6">
      <c r="C486" s="206"/>
      <c r="E486" s="206"/>
      <c r="F486" s="206"/>
    </row>
    <row r="487" spans="3:6">
      <c r="C487" s="206"/>
      <c r="E487" s="206"/>
      <c r="F487" s="206"/>
    </row>
    <row r="488" spans="3:6">
      <c r="C488" s="206"/>
      <c r="E488" s="206"/>
      <c r="F488" s="206"/>
    </row>
    <row r="489" spans="3:6">
      <c r="C489" s="206"/>
      <c r="E489" s="206"/>
      <c r="F489" s="206"/>
    </row>
    <row r="490" spans="3:6">
      <c r="C490" s="206"/>
      <c r="E490" s="206"/>
      <c r="F490" s="206"/>
    </row>
    <row r="491" spans="3:6">
      <c r="C491" s="206"/>
      <c r="E491" s="206"/>
      <c r="F491" s="206"/>
    </row>
    <row r="492" spans="3:6">
      <c r="C492" s="206"/>
      <c r="E492" s="206"/>
      <c r="F492" s="206"/>
    </row>
    <row r="493" spans="3:6">
      <c r="C493" s="206"/>
      <c r="E493" s="206"/>
      <c r="F493" s="206"/>
    </row>
    <row r="494" spans="3:6">
      <c r="C494" s="206"/>
      <c r="E494" s="206"/>
      <c r="F494" s="206"/>
    </row>
    <row r="495" spans="3:6">
      <c r="C495" s="206"/>
      <c r="E495" s="206"/>
      <c r="F495" s="206"/>
    </row>
    <row r="496" spans="3:6">
      <c r="C496" s="206"/>
      <c r="E496" s="206"/>
      <c r="F496" s="206"/>
    </row>
    <row r="497" spans="3:6">
      <c r="C497" s="206"/>
      <c r="E497" s="206"/>
      <c r="F497" s="206"/>
    </row>
    <row r="498" spans="3:6">
      <c r="C498" s="206"/>
      <c r="E498" s="206"/>
      <c r="F498" s="206"/>
    </row>
    <row r="499" spans="3:6">
      <c r="C499" s="206"/>
      <c r="E499" s="206"/>
      <c r="F499" s="206"/>
    </row>
    <row r="500" spans="3:6">
      <c r="C500" s="206"/>
      <c r="E500" s="206"/>
      <c r="F500" s="206"/>
    </row>
    <row r="501" spans="3:6">
      <c r="C501" s="206"/>
      <c r="E501" s="206"/>
      <c r="F501" s="206"/>
    </row>
    <row r="502" spans="3:6">
      <c r="C502" s="206"/>
      <c r="E502" s="206"/>
      <c r="F502" s="206"/>
    </row>
    <row r="503" spans="3:6">
      <c r="C503" s="206"/>
      <c r="E503" s="206"/>
      <c r="F503" s="206"/>
    </row>
    <row r="504" spans="3:6">
      <c r="C504" s="206"/>
      <c r="E504" s="206"/>
      <c r="F504" s="206"/>
    </row>
    <row r="505" spans="3:6">
      <c r="C505" s="206"/>
      <c r="E505" s="206"/>
      <c r="F505" s="206"/>
    </row>
    <row r="506" spans="3:6">
      <c r="C506" s="206"/>
      <c r="E506" s="206"/>
      <c r="F506" s="206"/>
    </row>
    <row r="507" spans="3:6">
      <c r="C507" s="206"/>
      <c r="E507" s="206"/>
      <c r="F507" s="206"/>
    </row>
    <row r="508" spans="3:6">
      <c r="C508" s="206"/>
      <c r="E508" s="206"/>
      <c r="F508" s="206"/>
    </row>
    <row r="509" spans="3:6">
      <c r="C509" s="206"/>
      <c r="E509" s="206"/>
      <c r="F509" s="206"/>
    </row>
    <row r="510" spans="3:6">
      <c r="C510" s="206"/>
      <c r="E510" s="206"/>
      <c r="F510" s="206"/>
    </row>
    <row r="511" spans="3:6">
      <c r="C511" s="206"/>
      <c r="E511" s="206"/>
      <c r="F511" s="206"/>
    </row>
    <row r="512" spans="3:6">
      <c r="C512" s="206"/>
      <c r="E512" s="206"/>
      <c r="F512" s="206"/>
    </row>
    <row r="513" spans="3:6">
      <c r="C513" s="206"/>
      <c r="E513" s="206"/>
      <c r="F513" s="206"/>
    </row>
    <row r="514" spans="3:6">
      <c r="C514" s="206"/>
      <c r="E514" s="206"/>
      <c r="F514" s="206"/>
    </row>
    <row r="515" spans="3:6">
      <c r="C515" s="206"/>
      <c r="E515" s="206"/>
      <c r="F515" s="206"/>
    </row>
    <row r="516" spans="3:6">
      <c r="C516" s="206"/>
      <c r="E516" s="206"/>
      <c r="F516" s="206"/>
    </row>
    <row r="517" spans="3:6">
      <c r="C517" s="206"/>
      <c r="E517" s="206"/>
      <c r="F517" s="206"/>
    </row>
    <row r="518" spans="3:6">
      <c r="C518" s="206"/>
      <c r="E518" s="206"/>
      <c r="F518" s="206"/>
    </row>
    <row r="519" spans="3:6">
      <c r="C519" s="206"/>
      <c r="E519" s="206"/>
      <c r="F519" s="206"/>
    </row>
    <row r="520" spans="3:6">
      <c r="C520" s="206"/>
      <c r="E520" s="206"/>
      <c r="F520" s="206"/>
    </row>
    <row r="521" spans="3:6">
      <c r="C521" s="206"/>
      <c r="E521" s="206"/>
      <c r="F521" s="206"/>
    </row>
    <row r="522" spans="3:6">
      <c r="C522" s="206"/>
      <c r="E522" s="206"/>
      <c r="F522" s="206"/>
    </row>
    <row r="523" spans="3:6">
      <c r="C523" s="206"/>
      <c r="E523" s="206"/>
      <c r="F523" s="206"/>
    </row>
    <row r="524" spans="3:6">
      <c r="C524" s="206"/>
      <c r="E524" s="206"/>
      <c r="F524" s="206"/>
    </row>
    <row r="525" spans="3:6">
      <c r="C525" s="206"/>
      <c r="E525" s="206"/>
      <c r="F525" s="206"/>
    </row>
    <row r="526" spans="3:6">
      <c r="C526" s="206"/>
      <c r="E526" s="206"/>
      <c r="F526" s="206"/>
    </row>
    <row r="527" spans="3:6">
      <c r="C527" s="206"/>
      <c r="E527" s="206"/>
      <c r="F527" s="206"/>
    </row>
    <row r="528" spans="3:6">
      <c r="C528" s="206"/>
      <c r="E528" s="206"/>
      <c r="F528" s="206"/>
    </row>
    <row r="529" spans="3:6">
      <c r="C529" s="206"/>
      <c r="E529" s="206"/>
      <c r="F529" s="206"/>
    </row>
    <row r="530" spans="3:6">
      <c r="C530" s="206"/>
      <c r="E530" s="206"/>
      <c r="F530" s="206"/>
    </row>
    <row r="531" spans="3:6">
      <c r="C531" s="206"/>
      <c r="E531" s="206"/>
      <c r="F531" s="206"/>
    </row>
    <row r="532" spans="3:6">
      <c r="C532" s="206"/>
      <c r="E532" s="206"/>
      <c r="F532" s="206"/>
    </row>
    <row r="533" spans="3:6">
      <c r="C533" s="206"/>
      <c r="E533" s="206"/>
      <c r="F533" s="206"/>
    </row>
    <row r="534" spans="3:6">
      <c r="C534" s="206"/>
      <c r="E534" s="206"/>
      <c r="F534" s="206"/>
    </row>
    <row r="535" spans="3:6">
      <c r="C535" s="206"/>
      <c r="E535" s="206"/>
      <c r="F535" s="206"/>
    </row>
    <row r="536" spans="3:6">
      <c r="C536" s="206"/>
      <c r="E536" s="206"/>
      <c r="F536" s="206"/>
    </row>
    <row r="537" spans="3:6">
      <c r="C537" s="206"/>
      <c r="E537" s="206"/>
      <c r="F537" s="206"/>
    </row>
    <row r="538" spans="3:6">
      <c r="C538" s="206"/>
      <c r="E538" s="206"/>
      <c r="F538" s="206"/>
    </row>
    <row r="539" spans="3:6">
      <c r="C539" s="206"/>
      <c r="E539" s="206"/>
      <c r="F539" s="206"/>
    </row>
    <row r="540" spans="3:6">
      <c r="C540" s="206"/>
      <c r="E540" s="206"/>
      <c r="F540" s="206"/>
    </row>
    <row r="541" spans="3:6">
      <c r="C541" s="206"/>
      <c r="E541" s="206"/>
      <c r="F541" s="206"/>
    </row>
    <row r="542" spans="3:6">
      <c r="C542" s="206"/>
      <c r="E542" s="206"/>
      <c r="F542" s="206"/>
    </row>
    <row r="543" spans="3:6">
      <c r="C543" s="206"/>
      <c r="E543" s="206"/>
      <c r="F543" s="206"/>
    </row>
    <row r="544" spans="3:6">
      <c r="C544" s="206"/>
      <c r="E544" s="206"/>
      <c r="F544" s="206"/>
    </row>
    <row r="545" spans="3:6">
      <c r="C545" s="206"/>
      <c r="E545" s="206"/>
      <c r="F545" s="206"/>
    </row>
    <row r="546" spans="3:6">
      <c r="C546" s="206"/>
      <c r="E546" s="206"/>
      <c r="F546" s="206"/>
    </row>
    <row r="547" spans="3:6">
      <c r="C547" s="206"/>
      <c r="E547" s="206"/>
      <c r="F547" s="206"/>
    </row>
    <row r="548" spans="3:6">
      <c r="C548" s="206"/>
      <c r="E548" s="206"/>
      <c r="F548" s="206"/>
    </row>
    <row r="549" spans="3:6">
      <c r="C549" s="206"/>
      <c r="E549" s="206"/>
      <c r="F549" s="206"/>
    </row>
    <row r="550" spans="3:6">
      <c r="C550" s="206"/>
      <c r="E550" s="206"/>
      <c r="F550" s="206"/>
    </row>
    <row r="551" spans="3:6">
      <c r="C551" s="206"/>
      <c r="E551" s="206"/>
      <c r="F551" s="206"/>
    </row>
    <row r="552" spans="3:6">
      <c r="C552" s="206"/>
      <c r="E552" s="206"/>
      <c r="F552" s="206"/>
    </row>
    <row r="553" spans="3:6">
      <c r="C553" s="206"/>
      <c r="E553" s="206"/>
      <c r="F553" s="206"/>
    </row>
    <row r="554" spans="3:6">
      <c r="C554" s="206"/>
      <c r="E554" s="206"/>
      <c r="F554" s="206"/>
    </row>
    <row r="555" spans="3:6">
      <c r="C555" s="206"/>
      <c r="E555" s="206"/>
      <c r="F555" s="206"/>
    </row>
    <row r="556" spans="3:6">
      <c r="C556" s="206"/>
      <c r="E556" s="206"/>
      <c r="F556" s="206"/>
    </row>
    <row r="557" spans="3:6">
      <c r="C557" s="206"/>
      <c r="E557" s="206"/>
      <c r="F557" s="206"/>
    </row>
    <row r="558" spans="3:6">
      <c r="C558" s="206"/>
      <c r="E558" s="206"/>
      <c r="F558" s="206"/>
    </row>
    <row r="559" spans="3:6">
      <c r="C559" s="206"/>
      <c r="E559" s="206"/>
      <c r="F559" s="206"/>
    </row>
    <row r="560" spans="3:6">
      <c r="C560" s="206"/>
      <c r="E560" s="206"/>
      <c r="F560" s="206"/>
    </row>
    <row r="561" spans="3:6">
      <c r="C561" s="206"/>
      <c r="E561" s="206"/>
      <c r="F561" s="206"/>
    </row>
    <row r="562" spans="3:6">
      <c r="C562" s="206"/>
      <c r="E562" s="206"/>
      <c r="F562" s="206"/>
    </row>
    <row r="563" spans="3:6">
      <c r="C563" s="206"/>
      <c r="E563" s="206"/>
      <c r="F563" s="206"/>
    </row>
    <row r="564" spans="3:6">
      <c r="C564" s="206"/>
      <c r="E564" s="206"/>
      <c r="F564" s="206"/>
    </row>
    <row r="565" spans="3:6">
      <c r="C565" s="206"/>
      <c r="E565" s="206"/>
      <c r="F565" s="206"/>
    </row>
    <row r="566" spans="3:6">
      <c r="C566" s="206"/>
      <c r="E566" s="206"/>
      <c r="F566" s="206"/>
    </row>
    <row r="567" spans="3:6">
      <c r="C567" s="206"/>
      <c r="E567" s="206"/>
      <c r="F567" s="206"/>
    </row>
    <row r="568" spans="3:6">
      <c r="C568" s="206"/>
      <c r="E568" s="206"/>
      <c r="F568" s="206"/>
    </row>
    <row r="569" spans="3:6">
      <c r="C569" s="206"/>
      <c r="E569" s="206"/>
      <c r="F569" s="206"/>
    </row>
    <row r="570" spans="3:6">
      <c r="C570" s="206"/>
      <c r="E570" s="206"/>
      <c r="F570" s="206"/>
    </row>
    <row r="571" spans="3:6">
      <c r="C571" s="206"/>
      <c r="E571" s="206"/>
      <c r="F571" s="206"/>
    </row>
    <row r="572" spans="3:6">
      <c r="C572" s="206"/>
      <c r="E572" s="206"/>
      <c r="F572" s="206"/>
    </row>
    <row r="573" spans="3:6">
      <c r="C573" s="206"/>
      <c r="E573" s="206"/>
      <c r="F573" s="206"/>
    </row>
    <row r="574" spans="3:6">
      <c r="C574" s="206"/>
      <c r="E574" s="206"/>
      <c r="F574" s="206"/>
    </row>
    <row r="575" spans="3:6">
      <c r="C575" s="206"/>
      <c r="E575" s="206"/>
      <c r="F575" s="206"/>
    </row>
    <row r="576" spans="3:6">
      <c r="C576" s="206"/>
      <c r="E576" s="206"/>
      <c r="F576" s="206"/>
    </row>
    <row r="577" spans="3:6">
      <c r="C577" s="206"/>
      <c r="E577" s="206"/>
      <c r="F577" s="206"/>
    </row>
    <row r="578" spans="3:6">
      <c r="C578" s="206"/>
      <c r="E578" s="206"/>
      <c r="F578" s="206"/>
    </row>
    <row r="579" spans="3:6">
      <c r="C579" s="206"/>
      <c r="E579" s="206"/>
      <c r="F579" s="206"/>
    </row>
    <row r="580" spans="3:6">
      <c r="C580" s="206"/>
      <c r="E580" s="206"/>
      <c r="F580" s="206"/>
    </row>
    <row r="581" spans="3:6">
      <c r="C581" s="206"/>
      <c r="E581" s="206"/>
      <c r="F581" s="206"/>
    </row>
    <row r="582" spans="3:6">
      <c r="C582" s="206"/>
      <c r="E582" s="206"/>
      <c r="F582" s="206"/>
    </row>
    <row r="583" spans="3:6">
      <c r="C583" s="206"/>
      <c r="E583" s="206"/>
      <c r="F583" s="206"/>
    </row>
    <row r="584" spans="3:6">
      <c r="C584" s="206"/>
      <c r="E584" s="206"/>
      <c r="F584" s="206"/>
    </row>
    <row r="585" spans="3:6">
      <c r="C585" s="206"/>
      <c r="E585" s="206"/>
      <c r="F585" s="206"/>
    </row>
    <row r="586" spans="3:6">
      <c r="C586" s="206"/>
      <c r="E586" s="206"/>
      <c r="F586" s="206"/>
    </row>
    <row r="587" spans="3:6">
      <c r="C587" s="206"/>
      <c r="E587" s="206"/>
      <c r="F587" s="206"/>
    </row>
    <row r="588" spans="3:6">
      <c r="C588" s="206"/>
      <c r="E588" s="206"/>
      <c r="F588" s="206"/>
    </row>
    <row r="589" spans="3:6">
      <c r="C589" s="206"/>
      <c r="E589" s="206"/>
      <c r="F589" s="206"/>
    </row>
    <row r="590" spans="3:6">
      <c r="C590" s="206"/>
      <c r="E590" s="206"/>
      <c r="F590" s="206"/>
    </row>
    <row r="591" spans="3:6">
      <c r="C591" s="206"/>
      <c r="E591" s="206"/>
      <c r="F591" s="206"/>
    </row>
    <row r="592" spans="3:6">
      <c r="C592" s="206"/>
      <c r="E592" s="206"/>
      <c r="F592" s="206"/>
    </row>
    <row r="593" spans="3:6">
      <c r="C593" s="206"/>
      <c r="E593" s="206"/>
      <c r="F593" s="206"/>
    </row>
    <row r="594" spans="3:6">
      <c r="C594" s="206"/>
      <c r="E594" s="206"/>
      <c r="F594" s="206"/>
    </row>
    <row r="595" spans="3:6">
      <c r="C595" s="206"/>
      <c r="E595" s="206"/>
      <c r="F595" s="206"/>
    </row>
    <row r="596" spans="3:6">
      <c r="C596" s="206"/>
      <c r="E596" s="206"/>
      <c r="F596" s="206"/>
    </row>
    <row r="597" spans="3:6">
      <c r="C597" s="206"/>
      <c r="E597" s="206"/>
      <c r="F597" s="206"/>
    </row>
    <row r="598" spans="3:6">
      <c r="C598" s="206"/>
      <c r="E598" s="206"/>
      <c r="F598" s="206"/>
    </row>
    <row r="599" spans="3:6">
      <c r="C599" s="206"/>
      <c r="E599" s="206"/>
      <c r="F599" s="206"/>
    </row>
    <row r="600" spans="3:6">
      <c r="C600" s="206"/>
      <c r="E600" s="206"/>
      <c r="F600" s="206"/>
    </row>
    <row r="601" spans="3:6">
      <c r="C601" s="206"/>
      <c r="E601" s="206"/>
      <c r="F601" s="206"/>
    </row>
    <row r="602" spans="3:6">
      <c r="C602" s="206"/>
      <c r="E602" s="206"/>
      <c r="F602" s="206"/>
    </row>
    <row r="603" spans="3:6">
      <c r="C603" s="206"/>
      <c r="E603" s="206"/>
      <c r="F603" s="206"/>
    </row>
    <row r="604" spans="3:6">
      <c r="C604" s="206"/>
      <c r="E604" s="206"/>
      <c r="F604" s="206"/>
    </row>
    <row r="605" spans="3:6">
      <c r="C605" s="206"/>
      <c r="E605" s="206"/>
      <c r="F605" s="206"/>
    </row>
    <row r="606" spans="3:6">
      <c r="C606" s="206"/>
      <c r="E606" s="206"/>
      <c r="F606" s="206"/>
    </row>
    <row r="607" spans="3:6">
      <c r="C607" s="206"/>
      <c r="E607" s="206"/>
      <c r="F607" s="206"/>
    </row>
    <row r="608" spans="3:6">
      <c r="C608" s="206"/>
      <c r="E608" s="206"/>
      <c r="F608" s="206"/>
    </row>
    <row r="609" spans="3:6">
      <c r="C609" s="206"/>
      <c r="E609" s="206"/>
      <c r="F609" s="206"/>
    </row>
    <row r="610" spans="3:6">
      <c r="C610" s="206"/>
      <c r="E610" s="206"/>
      <c r="F610" s="206"/>
    </row>
    <row r="611" spans="3:6">
      <c r="C611" s="206"/>
      <c r="E611" s="206"/>
      <c r="F611" s="206"/>
    </row>
    <row r="612" spans="3:6">
      <c r="C612" s="206"/>
      <c r="E612" s="206"/>
      <c r="F612" s="206"/>
    </row>
    <row r="613" spans="3:6">
      <c r="C613" s="206"/>
      <c r="E613" s="206"/>
      <c r="F613" s="206"/>
    </row>
    <row r="614" spans="3:6">
      <c r="C614" s="206"/>
      <c r="E614" s="206"/>
      <c r="F614" s="206"/>
    </row>
    <row r="615" spans="3:6">
      <c r="C615" s="206"/>
      <c r="E615" s="206"/>
      <c r="F615" s="206"/>
    </row>
    <row r="616" spans="3:6">
      <c r="C616" s="206"/>
      <c r="E616" s="206"/>
      <c r="F616" s="206"/>
    </row>
    <row r="617" spans="3:6">
      <c r="C617" s="206"/>
      <c r="E617" s="206"/>
      <c r="F617" s="206"/>
    </row>
    <row r="618" spans="3:6">
      <c r="C618" s="206"/>
      <c r="E618" s="206"/>
      <c r="F618" s="206"/>
    </row>
    <row r="619" spans="3:6">
      <c r="C619" s="206"/>
      <c r="E619" s="206"/>
      <c r="F619" s="206"/>
    </row>
    <row r="620" spans="3:6">
      <c r="C620" s="206"/>
      <c r="E620" s="206"/>
      <c r="F620" s="206"/>
    </row>
    <row r="621" spans="3:6">
      <c r="C621" s="206"/>
      <c r="E621" s="206"/>
      <c r="F621" s="206"/>
    </row>
    <row r="622" spans="3:6">
      <c r="C622" s="206"/>
      <c r="E622" s="206"/>
      <c r="F622" s="206"/>
    </row>
    <row r="623" spans="3:6">
      <c r="C623" s="206"/>
      <c r="E623" s="206"/>
      <c r="F623" s="206"/>
    </row>
    <row r="624" spans="3:6">
      <c r="C624" s="206"/>
      <c r="E624" s="206"/>
      <c r="F624" s="206"/>
    </row>
    <row r="625" spans="3:6">
      <c r="C625" s="206"/>
      <c r="E625" s="206"/>
      <c r="F625" s="206"/>
    </row>
    <row r="626" spans="3:6">
      <c r="C626" s="206"/>
      <c r="E626" s="206"/>
      <c r="F626" s="206"/>
    </row>
    <row r="627" spans="3:6">
      <c r="C627" s="206"/>
      <c r="E627" s="206"/>
      <c r="F627" s="206"/>
    </row>
    <row r="628" spans="3:6">
      <c r="C628" s="206"/>
      <c r="E628" s="206"/>
      <c r="F628" s="206"/>
    </row>
    <row r="629" spans="3:6">
      <c r="C629" s="206"/>
      <c r="E629" s="206"/>
      <c r="F629" s="206"/>
    </row>
    <row r="630" spans="3:6">
      <c r="C630" s="206"/>
      <c r="E630" s="206"/>
      <c r="F630" s="206"/>
    </row>
    <row r="631" spans="3:6">
      <c r="C631" s="206"/>
      <c r="E631" s="206"/>
      <c r="F631" s="206"/>
    </row>
    <row r="632" spans="3:6">
      <c r="C632" s="206"/>
      <c r="E632" s="206"/>
      <c r="F632" s="206"/>
    </row>
    <row r="633" spans="3:6">
      <c r="C633" s="206"/>
      <c r="E633" s="206"/>
      <c r="F633" s="206"/>
    </row>
    <row r="634" spans="3:6">
      <c r="C634" s="206"/>
      <c r="E634" s="206"/>
      <c r="F634" s="206"/>
    </row>
    <row r="635" spans="3:6">
      <c r="C635" s="206"/>
      <c r="E635" s="206"/>
      <c r="F635" s="206"/>
    </row>
    <row r="636" spans="3:6">
      <c r="C636" s="206"/>
      <c r="E636" s="206"/>
      <c r="F636" s="206"/>
    </row>
    <row r="637" spans="3:6">
      <c r="C637" s="206"/>
      <c r="E637" s="206"/>
      <c r="F637" s="206"/>
    </row>
    <row r="638" spans="3:6">
      <c r="C638" s="206"/>
      <c r="E638" s="206"/>
      <c r="F638" s="206"/>
    </row>
    <row r="639" spans="3:6">
      <c r="C639" s="206"/>
      <c r="E639" s="206"/>
      <c r="F639" s="206"/>
    </row>
    <row r="640" spans="3:6">
      <c r="C640" s="206"/>
      <c r="E640" s="206"/>
      <c r="F640" s="206"/>
    </row>
    <row r="641" spans="3:6">
      <c r="C641" s="206"/>
      <c r="E641" s="206"/>
      <c r="F641" s="206"/>
    </row>
    <row r="642" spans="3:6">
      <c r="C642" s="206"/>
      <c r="E642" s="206"/>
      <c r="F642" s="206"/>
    </row>
    <row r="643" spans="3:6">
      <c r="C643" s="206"/>
      <c r="E643" s="206"/>
      <c r="F643" s="206"/>
    </row>
    <row r="644" spans="3:6">
      <c r="C644" s="206"/>
      <c r="E644" s="206"/>
      <c r="F644" s="206"/>
    </row>
    <row r="645" spans="3:6">
      <c r="C645" s="206"/>
      <c r="E645" s="206"/>
      <c r="F645" s="206"/>
    </row>
    <row r="646" spans="3:6">
      <c r="C646" s="206"/>
      <c r="E646" s="206"/>
      <c r="F646" s="206"/>
    </row>
    <row r="647" spans="3:6">
      <c r="C647" s="206"/>
      <c r="E647" s="206"/>
      <c r="F647" s="206"/>
    </row>
    <row r="648" spans="3:6">
      <c r="C648" s="206"/>
      <c r="E648" s="206"/>
      <c r="F648" s="206"/>
    </row>
    <row r="649" spans="3:6">
      <c r="C649" s="206"/>
      <c r="E649" s="206"/>
      <c r="F649" s="206"/>
    </row>
    <row r="650" spans="3:6">
      <c r="C650" s="206"/>
      <c r="E650" s="206"/>
      <c r="F650" s="206"/>
    </row>
    <row r="651" spans="3:6">
      <c r="C651" s="206"/>
      <c r="E651" s="206"/>
      <c r="F651" s="206"/>
    </row>
    <row r="652" spans="3:6">
      <c r="C652" s="206"/>
      <c r="E652" s="206"/>
      <c r="F652" s="206"/>
    </row>
    <row r="653" spans="3:6">
      <c r="C653" s="206"/>
      <c r="E653" s="206"/>
      <c r="F653" s="206"/>
    </row>
    <row r="654" spans="3:6">
      <c r="C654" s="206"/>
      <c r="E654" s="206"/>
      <c r="F654" s="206"/>
    </row>
    <row r="655" spans="3:6">
      <c r="C655" s="206"/>
      <c r="E655" s="206"/>
      <c r="F655" s="206"/>
    </row>
    <row r="656" spans="3:6">
      <c r="C656" s="206"/>
      <c r="E656" s="206"/>
      <c r="F656" s="206"/>
    </row>
    <row r="657" spans="3:6">
      <c r="C657" s="206"/>
      <c r="E657" s="206"/>
      <c r="F657" s="206"/>
    </row>
    <row r="658" spans="3:6">
      <c r="C658" s="206"/>
      <c r="E658" s="206"/>
      <c r="F658" s="206"/>
    </row>
    <row r="659" spans="3:6">
      <c r="C659" s="206"/>
      <c r="E659" s="206"/>
      <c r="F659" s="206"/>
    </row>
    <row r="660" spans="3:6">
      <c r="C660" s="206"/>
      <c r="E660" s="206"/>
      <c r="F660" s="206"/>
    </row>
    <row r="661" spans="3:6">
      <c r="C661" s="206"/>
      <c r="E661" s="206"/>
      <c r="F661" s="206"/>
    </row>
    <row r="662" spans="3:6">
      <c r="C662" s="206"/>
      <c r="E662" s="206"/>
      <c r="F662" s="206"/>
    </row>
    <row r="663" spans="3:6">
      <c r="C663" s="206"/>
      <c r="E663" s="206"/>
      <c r="F663" s="206"/>
    </row>
    <row r="664" spans="3:6">
      <c r="C664" s="206"/>
      <c r="E664" s="206"/>
      <c r="F664" s="206"/>
    </row>
    <row r="665" spans="3:6">
      <c r="C665" s="206"/>
      <c r="E665" s="206"/>
      <c r="F665" s="206"/>
    </row>
    <row r="666" spans="3:6">
      <c r="C666" s="206"/>
      <c r="E666" s="206"/>
      <c r="F666" s="206"/>
    </row>
    <row r="667" spans="3:6">
      <c r="C667" s="206"/>
      <c r="E667" s="206"/>
      <c r="F667" s="206"/>
    </row>
    <row r="668" spans="3:6">
      <c r="C668" s="206"/>
      <c r="E668" s="206"/>
      <c r="F668" s="206"/>
    </row>
    <row r="669" spans="3:6">
      <c r="C669" s="206"/>
      <c r="E669" s="206"/>
      <c r="F669" s="206"/>
    </row>
    <row r="670" spans="3:6">
      <c r="C670" s="206"/>
      <c r="E670" s="206"/>
      <c r="F670" s="206"/>
    </row>
    <row r="671" spans="3:6">
      <c r="C671" s="206"/>
      <c r="E671" s="206"/>
      <c r="F671" s="206"/>
    </row>
    <row r="672" spans="3:6">
      <c r="C672" s="206"/>
      <c r="E672" s="206"/>
      <c r="F672" s="206"/>
    </row>
    <row r="673" spans="3:6">
      <c r="C673" s="206"/>
      <c r="E673" s="206"/>
      <c r="F673" s="206"/>
    </row>
    <row r="674" spans="3:6">
      <c r="C674" s="206"/>
      <c r="E674" s="206"/>
      <c r="F674" s="206"/>
    </row>
    <row r="675" spans="3:6">
      <c r="C675" s="206"/>
      <c r="E675" s="206"/>
      <c r="F675" s="206"/>
    </row>
    <row r="676" spans="3:6">
      <c r="C676" s="206"/>
      <c r="E676" s="206"/>
      <c r="F676" s="206"/>
    </row>
    <row r="677" spans="3:6">
      <c r="C677" s="206"/>
      <c r="E677" s="206"/>
      <c r="F677" s="206"/>
    </row>
    <row r="678" spans="3:6">
      <c r="C678" s="206"/>
      <c r="E678" s="206"/>
      <c r="F678" s="206"/>
    </row>
    <row r="679" spans="3:6">
      <c r="C679" s="206"/>
      <c r="E679" s="206"/>
      <c r="F679" s="206"/>
    </row>
    <row r="680" spans="3:6">
      <c r="C680" s="206"/>
      <c r="E680" s="206"/>
      <c r="F680" s="206"/>
    </row>
    <row r="681" spans="3:6">
      <c r="C681" s="206"/>
      <c r="E681" s="206"/>
      <c r="F681" s="206"/>
    </row>
    <row r="682" spans="3:6">
      <c r="C682" s="206"/>
      <c r="E682" s="206"/>
      <c r="F682" s="206"/>
    </row>
    <row r="683" spans="3:6">
      <c r="C683" s="206"/>
      <c r="E683" s="206"/>
      <c r="F683" s="206"/>
    </row>
    <row r="684" spans="3:6">
      <c r="C684" s="206"/>
      <c r="E684" s="206"/>
      <c r="F684" s="206"/>
    </row>
    <row r="685" spans="3:6">
      <c r="C685" s="206"/>
      <c r="E685" s="206"/>
      <c r="F685" s="206"/>
    </row>
    <row r="686" spans="3:6">
      <c r="C686" s="206"/>
      <c r="E686" s="206"/>
      <c r="F686" s="206"/>
    </row>
    <row r="687" spans="3:6">
      <c r="C687" s="206"/>
      <c r="E687" s="206"/>
      <c r="F687" s="206"/>
    </row>
    <row r="688" spans="3:6">
      <c r="C688" s="206"/>
      <c r="E688" s="206"/>
      <c r="F688" s="206"/>
    </row>
    <row r="689" spans="3:6">
      <c r="C689" s="206"/>
      <c r="E689" s="206"/>
      <c r="F689" s="206"/>
    </row>
    <row r="690" spans="3:6">
      <c r="C690" s="206"/>
      <c r="E690" s="206"/>
      <c r="F690" s="206"/>
    </row>
    <row r="691" spans="3:6">
      <c r="C691" s="206"/>
      <c r="E691" s="206"/>
      <c r="F691" s="206"/>
    </row>
    <row r="692" spans="3:6">
      <c r="C692" s="206"/>
      <c r="E692" s="206"/>
      <c r="F692" s="206"/>
    </row>
    <row r="693" spans="3:6">
      <c r="C693" s="206"/>
      <c r="E693" s="206"/>
      <c r="F693" s="206"/>
    </row>
    <row r="694" spans="3:6">
      <c r="C694" s="206"/>
      <c r="E694" s="206"/>
      <c r="F694" s="206"/>
    </row>
    <row r="695" spans="3:6">
      <c r="C695" s="206"/>
      <c r="E695" s="206"/>
      <c r="F695" s="206"/>
    </row>
    <row r="696" spans="3:6">
      <c r="C696" s="206"/>
      <c r="E696" s="206"/>
      <c r="F696" s="206"/>
    </row>
    <row r="697" spans="3:6">
      <c r="C697" s="206"/>
      <c r="E697" s="206"/>
      <c r="F697" s="206"/>
    </row>
    <row r="698" spans="3:6">
      <c r="C698" s="206"/>
      <c r="E698" s="206"/>
      <c r="F698" s="206"/>
    </row>
    <row r="699" spans="3:6">
      <c r="C699" s="206"/>
      <c r="E699" s="206"/>
      <c r="F699" s="206"/>
    </row>
    <row r="700" spans="3:6">
      <c r="C700" s="206"/>
      <c r="E700" s="206"/>
      <c r="F700" s="206"/>
    </row>
    <row r="701" spans="3:6">
      <c r="C701" s="206"/>
      <c r="E701" s="206"/>
      <c r="F701" s="206"/>
    </row>
    <row r="702" spans="3:6">
      <c r="C702" s="206"/>
      <c r="E702" s="206"/>
      <c r="F702" s="206"/>
    </row>
    <row r="703" spans="3:6">
      <c r="C703" s="206"/>
      <c r="E703" s="206"/>
      <c r="F703" s="206"/>
    </row>
    <row r="704" spans="3:6">
      <c r="C704" s="206"/>
      <c r="E704" s="206"/>
      <c r="F704" s="206"/>
    </row>
    <row r="705" spans="3:6">
      <c r="C705" s="206"/>
      <c r="E705" s="206"/>
      <c r="F705" s="206"/>
    </row>
    <row r="706" spans="3:6">
      <c r="C706" s="206"/>
      <c r="E706" s="206"/>
      <c r="F706" s="206"/>
    </row>
    <row r="707" spans="3:6">
      <c r="C707" s="206"/>
      <c r="E707" s="206"/>
      <c r="F707" s="206"/>
    </row>
    <row r="708" spans="3:6">
      <c r="C708" s="206"/>
      <c r="E708" s="206"/>
      <c r="F708" s="206"/>
    </row>
    <row r="709" spans="3:6">
      <c r="C709" s="206"/>
      <c r="E709" s="206"/>
      <c r="F709" s="206"/>
    </row>
    <row r="710" spans="3:6">
      <c r="C710" s="206"/>
      <c r="E710" s="206"/>
      <c r="F710" s="206"/>
    </row>
    <row r="711" spans="3:6">
      <c r="C711" s="206"/>
      <c r="E711" s="206"/>
      <c r="F711" s="206"/>
    </row>
    <row r="712" spans="3:6">
      <c r="C712" s="206"/>
      <c r="E712" s="206"/>
      <c r="F712" s="206"/>
    </row>
    <row r="713" spans="3:6">
      <c r="C713" s="206"/>
      <c r="E713" s="206"/>
      <c r="F713" s="206"/>
    </row>
    <row r="714" spans="3:6">
      <c r="C714" s="206"/>
      <c r="E714" s="206"/>
      <c r="F714" s="206"/>
    </row>
    <row r="715" spans="3:6">
      <c r="C715" s="206"/>
      <c r="E715" s="206"/>
      <c r="F715" s="206"/>
    </row>
    <row r="716" spans="3:6">
      <c r="C716" s="206"/>
      <c r="E716" s="206"/>
      <c r="F716" s="206"/>
    </row>
    <row r="717" spans="3:6">
      <c r="C717" s="206"/>
      <c r="E717" s="206"/>
      <c r="F717" s="206"/>
    </row>
    <row r="718" spans="3:6">
      <c r="C718" s="206"/>
      <c r="E718" s="206"/>
      <c r="F718" s="206"/>
    </row>
    <row r="719" spans="3:6">
      <c r="C719" s="206"/>
      <c r="E719" s="206"/>
      <c r="F719" s="206"/>
    </row>
    <row r="720" spans="3:6">
      <c r="C720" s="206"/>
      <c r="E720" s="206"/>
      <c r="F720" s="206"/>
    </row>
    <row r="721" spans="3:6">
      <c r="C721" s="206"/>
      <c r="E721" s="206"/>
      <c r="F721" s="206"/>
    </row>
    <row r="722" spans="3:6">
      <c r="C722" s="206"/>
      <c r="E722" s="206"/>
      <c r="F722" s="206"/>
    </row>
    <row r="723" spans="3:6">
      <c r="C723" s="206"/>
      <c r="E723" s="206"/>
      <c r="F723" s="206"/>
    </row>
    <row r="724" spans="3:6">
      <c r="C724" s="206"/>
      <c r="E724" s="206"/>
      <c r="F724" s="206"/>
    </row>
    <row r="725" spans="3:6">
      <c r="C725" s="206"/>
      <c r="E725" s="206"/>
      <c r="F725" s="206"/>
    </row>
    <row r="726" spans="3:6">
      <c r="C726" s="206"/>
      <c r="E726" s="206"/>
      <c r="F726" s="206"/>
    </row>
    <row r="727" spans="3:6">
      <c r="C727" s="206"/>
      <c r="E727" s="206"/>
      <c r="F727" s="206"/>
    </row>
    <row r="728" spans="3:6">
      <c r="C728" s="206"/>
      <c r="E728" s="206"/>
      <c r="F728" s="206"/>
    </row>
    <row r="729" spans="3:6">
      <c r="C729" s="206"/>
      <c r="E729" s="206"/>
      <c r="F729" s="206"/>
    </row>
    <row r="730" spans="3:6">
      <c r="C730" s="206"/>
      <c r="E730" s="206"/>
      <c r="F730" s="206"/>
    </row>
    <row r="731" spans="3:6">
      <c r="C731" s="206"/>
      <c r="E731" s="206"/>
      <c r="F731" s="206"/>
    </row>
    <row r="732" spans="3:6">
      <c r="C732" s="206"/>
      <c r="E732" s="206"/>
      <c r="F732" s="206"/>
    </row>
    <row r="733" spans="3:6">
      <c r="C733" s="206"/>
      <c r="E733" s="206"/>
      <c r="F733" s="206"/>
    </row>
    <row r="734" spans="3:6">
      <c r="C734" s="206"/>
      <c r="E734" s="206"/>
      <c r="F734" s="206"/>
    </row>
    <row r="735" spans="3:6">
      <c r="C735" s="206"/>
      <c r="E735" s="206"/>
      <c r="F735" s="206"/>
    </row>
    <row r="736" spans="3:6">
      <c r="C736" s="206"/>
      <c r="E736" s="206"/>
      <c r="F736" s="206"/>
    </row>
    <row r="737" spans="3:6">
      <c r="C737" s="206"/>
      <c r="E737" s="206"/>
      <c r="F737" s="206"/>
    </row>
    <row r="738" spans="3:6">
      <c r="C738" s="206"/>
      <c r="E738" s="206"/>
      <c r="F738" s="206"/>
    </row>
    <row r="739" spans="3:6">
      <c r="C739" s="206"/>
      <c r="E739" s="206"/>
      <c r="F739" s="206"/>
    </row>
    <row r="740" spans="3:6">
      <c r="C740" s="206"/>
      <c r="E740" s="206"/>
      <c r="F740" s="206"/>
    </row>
    <row r="741" spans="3:6">
      <c r="C741" s="206"/>
      <c r="E741" s="206"/>
      <c r="F741" s="206"/>
    </row>
    <row r="742" spans="3:6">
      <c r="C742" s="206"/>
      <c r="E742" s="206"/>
      <c r="F742" s="206"/>
    </row>
    <row r="743" spans="3:6">
      <c r="C743" s="206"/>
      <c r="E743" s="206"/>
      <c r="F743" s="206"/>
    </row>
    <row r="744" spans="3:6">
      <c r="C744" s="206"/>
      <c r="E744" s="206"/>
      <c r="F744" s="206"/>
    </row>
    <row r="745" spans="3:6">
      <c r="C745" s="206"/>
      <c r="E745" s="206"/>
      <c r="F745" s="206"/>
    </row>
    <row r="746" spans="3:6">
      <c r="C746" s="206"/>
      <c r="E746" s="206"/>
      <c r="F746" s="206"/>
    </row>
    <row r="747" spans="3:6">
      <c r="C747" s="206"/>
      <c r="E747" s="206"/>
      <c r="F747" s="206"/>
    </row>
    <row r="748" spans="3:6">
      <c r="C748" s="206"/>
      <c r="E748" s="206"/>
      <c r="F748" s="206"/>
    </row>
    <row r="749" spans="3:6">
      <c r="C749" s="206"/>
      <c r="E749" s="206"/>
      <c r="F749" s="206"/>
    </row>
    <row r="750" spans="3:6">
      <c r="C750" s="206"/>
      <c r="E750" s="206"/>
      <c r="F750" s="206"/>
    </row>
    <row r="751" spans="3:6">
      <c r="C751" s="206"/>
      <c r="E751" s="206"/>
      <c r="F751" s="206"/>
    </row>
    <row r="752" spans="3:6">
      <c r="C752" s="206"/>
      <c r="E752" s="206"/>
      <c r="F752" s="206"/>
    </row>
    <row r="753" spans="3:6">
      <c r="C753" s="206"/>
      <c r="E753" s="206"/>
      <c r="F753" s="206"/>
    </row>
    <row r="754" spans="3:6">
      <c r="C754" s="206"/>
      <c r="E754" s="206"/>
      <c r="F754" s="206"/>
    </row>
    <row r="755" spans="3:6">
      <c r="C755" s="206"/>
      <c r="E755" s="206"/>
      <c r="F755" s="206"/>
    </row>
    <row r="756" spans="3:6">
      <c r="C756" s="206"/>
      <c r="E756" s="206"/>
      <c r="F756" s="206"/>
    </row>
    <row r="757" spans="3:6">
      <c r="C757" s="206"/>
      <c r="E757" s="206"/>
      <c r="F757" s="206"/>
    </row>
    <row r="758" spans="3:6">
      <c r="C758" s="206"/>
      <c r="E758" s="206"/>
      <c r="F758" s="206"/>
    </row>
    <row r="759" spans="3:6">
      <c r="C759" s="206"/>
      <c r="E759" s="206"/>
      <c r="F759" s="206"/>
    </row>
    <row r="760" spans="3:6">
      <c r="C760" s="206"/>
      <c r="E760" s="206"/>
      <c r="F760" s="206"/>
    </row>
    <row r="761" spans="3:6">
      <c r="C761" s="206"/>
      <c r="E761" s="206"/>
      <c r="F761" s="206"/>
    </row>
    <row r="762" spans="3:6">
      <c r="C762" s="206"/>
      <c r="E762" s="206"/>
      <c r="F762" s="206"/>
    </row>
    <row r="763" spans="3:6">
      <c r="C763" s="206"/>
      <c r="E763" s="206"/>
      <c r="F763" s="206"/>
    </row>
    <row r="764" spans="3:6">
      <c r="C764" s="206"/>
      <c r="E764" s="206"/>
      <c r="F764" s="206"/>
    </row>
    <row r="765" spans="3:6">
      <c r="C765" s="206"/>
      <c r="E765" s="206"/>
      <c r="F765" s="206"/>
    </row>
    <row r="766" spans="3:6">
      <c r="C766" s="206"/>
      <c r="E766" s="206"/>
      <c r="F766" s="206"/>
    </row>
    <row r="767" spans="3:6">
      <c r="C767" s="206"/>
      <c r="E767" s="206"/>
      <c r="F767" s="206"/>
    </row>
    <row r="768" spans="3:6">
      <c r="C768" s="206"/>
      <c r="E768" s="206"/>
      <c r="F768" s="206"/>
    </row>
    <row r="769" spans="3:6">
      <c r="C769" s="206"/>
      <c r="E769" s="206"/>
      <c r="F769" s="206"/>
    </row>
    <row r="770" spans="3:6">
      <c r="C770" s="206"/>
      <c r="E770" s="206"/>
      <c r="F770" s="206"/>
    </row>
    <row r="771" spans="3:6">
      <c r="C771" s="206"/>
      <c r="E771" s="206"/>
      <c r="F771" s="206"/>
    </row>
    <row r="772" spans="3:6">
      <c r="C772" s="206"/>
      <c r="E772" s="206"/>
      <c r="F772" s="206"/>
    </row>
    <row r="773" spans="3:6">
      <c r="C773" s="206"/>
      <c r="E773" s="206"/>
      <c r="F773" s="206"/>
    </row>
    <row r="774" spans="3:6">
      <c r="C774" s="206"/>
      <c r="E774" s="206"/>
      <c r="F774" s="206"/>
    </row>
    <row r="775" spans="3:6">
      <c r="C775" s="206"/>
      <c r="E775" s="206"/>
      <c r="F775" s="206"/>
    </row>
    <row r="776" spans="3:6">
      <c r="C776" s="206"/>
      <c r="E776" s="206"/>
      <c r="F776" s="206"/>
    </row>
    <row r="777" spans="3:6">
      <c r="C777" s="206"/>
      <c r="E777" s="206"/>
      <c r="F777" s="206"/>
    </row>
    <row r="778" spans="3:6">
      <c r="C778" s="206"/>
      <c r="E778" s="206"/>
      <c r="F778" s="206"/>
    </row>
    <row r="779" spans="3:6">
      <c r="C779" s="206"/>
      <c r="E779" s="206"/>
      <c r="F779" s="206"/>
    </row>
    <row r="780" spans="3:6">
      <c r="C780" s="206"/>
      <c r="E780" s="206"/>
      <c r="F780" s="206"/>
    </row>
    <row r="781" spans="3:6">
      <c r="C781" s="206"/>
      <c r="E781" s="206"/>
      <c r="F781" s="206"/>
    </row>
    <row r="782" spans="3:6">
      <c r="C782" s="206"/>
      <c r="E782" s="206"/>
      <c r="F782" s="206"/>
    </row>
    <row r="783" spans="3:6">
      <c r="C783" s="206"/>
      <c r="E783" s="206"/>
      <c r="F783" s="206"/>
    </row>
    <row r="784" spans="3:6">
      <c r="C784" s="206"/>
      <c r="E784" s="206"/>
      <c r="F784" s="206"/>
    </row>
    <row r="785" spans="3:6">
      <c r="C785" s="206"/>
      <c r="E785" s="206"/>
      <c r="F785" s="206"/>
    </row>
    <row r="786" spans="3:6">
      <c r="C786" s="206"/>
      <c r="E786" s="206"/>
      <c r="F786" s="206"/>
    </row>
    <row r="787" spans="3:6">
      <c r="C787" s="206"/>
      <c r="E787" s="206"/>
      <c r="F787" s="206"/>
    </row>
    <row r="788" spans="3:6">
      <c r="C788" s="206"/>
      <c r="E788" s="206"/>
      <c r="F788" s="206"/>
    </row>
    <row r="789" spans="3:6">
      <c r="C789" s="206"/>
      <c r="E789" s="206"/>
      <c r="F789" s="206"/>
    </row>
    <row r="790" spans="3:6">
      <c r="C790" s="206"/>
      <c r="E790" s="206"/>
      <c r="F790" s="206"/>
    </row>
    <row r="791" spans="3:6">
      <c r="C791" s="206"/>
      <c r="E791" s="206"/>
      <c r="F791" s="206"/>
    </row>
    <row r="792" spans="3:6">
      <c r="C792" s="206"/>
      <c r="E792" s="206"/>
      <c r="F792" s="206"/>
    </row>
    <row r="793" spans="3:6">
      <c r="C793" s="206"/>
      <c r="E793" s="206"/>
      <c r="F793" s="206"/>
    </row>
    <row r="794" spans="3:6">
      <c r="C794" s="206"/>
      <c r="E794" s="206"/>
      <c r="F794" s="206"/>
    </row>
    <row r="795" spans="3:6">
      <c r="C795" s="206"/>
      <c r="E795" s="206"/>
      <c r="F795" s="206"/>
    </row>
    <row r="796" spans="3:6">
      <c r="C796" s="206"/>
      <c r="E796" s="206"/>
      <c r="F796" s="206"/>
    </row>
    <row r="797" spans="3:6">
      <c r="C797" s="206"/>
      <c r="E797" s="206"/>
      <c r="F797" s="206"/>
    </row>
    <row r="798" spans="3:6">
      <c r="C798" s="206"/>
      <c r="E798" s="206"/>
      <c r="F798" s="206"/>
    </row>
    <row r="799" spans="3:6">
      <c r="C799" s="206"/>
      <c r="E799" s="206"/>
      <c r="F799" s="206"/>
    </row>
    <row r="800" spans="3:6">
      <c r="C800" s="206"/>
      <c r="E800" s="206"/>
      <c r="F800" s="206"/>
    </row>
    <row r="801" spans="3:6">
      <c r="C801" s="206"/>
      <c r="E801" s="206"/>
      <c r="F801" s="206"/>
    </row>
    <row r="802" spans="3:6">
      <c r="C802" s="206"/>
      <c r="E802" s="206"/>
      <c r="F802" s="206"/>
    </row>
    <row r="803" spans="3:6">
      <c r="C803" s="206"/>
      <c r="E803" s="206"/>
      <c r="F803" s="206"/>
    </row>
    <row r="804" spans="3:6">
      <c r="C804" s="206"/>
      <c r="E804" s="206"/>
      <c r="F804" s="206"/>
    </row>
    <row r="805" spans="3:6">
      <c r="C805" s="206"/>
      <c r="E805" s="206"/>
      <c r="F805" s="206"/>
    </row>
    <row r="806" spans="3:6">
      <c r="C806" s="206"/>
      <c r="E806" s="206"/>
      <c r="F806" s="206"/>
    </row>
    <row r="807" spans="3:6">
      <c r="C807" s="206"/>
      <c r="E807" s="206"/>
      <c r="F807" s="206"/>
    </row>
    <row r="808" spans="3:6">
      <c r="C808" s="206"/>
      <c r="E808" s="206"/>
      <c r="F808" s="206"/>
    </row>
    <row r="809" spans="3:6">
      <c r="C809" s="206"/>
      <c r="E809" s="206"/>
      <c r="F809" s="206"/>
    </row>
    <row r="810" spans="3:6">
      <c r="C810" s="206"/>
      <c r="E810" s="206"/>
      <c r="F810" s="206"/>
    </row>
    <row r="811" spans="3:6">
      <c r="C811" s="206"/>
      <c r="E811" s="206"/>
      <c r="F811" s="206"/>
    </row>
    <row r="812" spans="3:6">
      <c r="C812" s="206"/>
      <c r="E812" s="206"/>
      <c r="F812" s="206"/>
    </row>
    <row r="813" spans="3:6">
      <c r="C813" s="206"/>
      <c r="E813" s="206"/>
      <c r="F813" s="206"/>
    </row>
    <row r="814" spans="3:6">
      <c r="C814" s="206"/>
      <c r="E814" s="206"/>
      <c r="F814" s="206"/>
    </row>
    <row r="815" spans="3:6">
      <c r="C815" s="206"/>
      <c r="E815" s="206"/>
      <c r="F815" s="206"/>
    </row>
    <row r="816" spans="3:6">
      <c r="C816" s="206"/>
      <c r="E816" s="206"/>
      <c r="F816" s="206"/>
    </row>
    <row r="817" spans="3:6">
      <c r="C817" s="206"/>
      <c r="E817" s="206"/>
      <c r="F817" s="206"/>
    </row>
    <row r="818" spans="3:6">
      <c r="C818" s="206"/>
      <c r="E818" s="206"/>
      <c r="F818" s="206"/>
    </row>
    <row r="819" spans="3:6">
      <c r="C819" s="206"/>
      <c r="E819" s="206"/>
      <c r="F819" s="206"/>
    </row>
    <row r="820" spans="3:6">
      <c r="C820" s="206"/>
      <c r="E820" s="206"/>
      <c r="F820" s="206"/>
    </row>
    <row r="821" spans="3:6">
      <c r="C821" s="206"/>
      <c r="E821" s="206"/>
      <c r="F821" s="206"/>
    </row>
    <row r="822" spans="3:6">
      <c r="C822" s="206"/>
      <c r="E822" s="206"/>
      <c r="F822" s="206"/>
    </row>
    <row r="823" spans="3:6">
      <c r="C823" s="206"/>
      <c r="E823" s="206"/>
      <c r="F823" s="206"/>
    </row>
    <row r="824" spans="3:6">
      <c r="C824" s="206"/>
      <c r="E824" s="206"/>
      <c r="F824" s="206"/>
    </row>
    <row r="825" spans="3:6">
      <c r="C825" s="206"/>
      <c r="E825" s="206"/>
      <c r="F825" s="206"/>
    </row>
    <row r="826" spans="3:6">
      <c r="C826" s="206"/>
      <c r="E826" s="206"/>
      <c r="F826" s="206"/>
    </row>
    <row r="827" spans="3:6">
      <c r="C827" s="206"/>
      <c r="E827" s="206"/>
      <c r="F827" s="206"/>
    </row>
    <row r="828" spans="3:6">
      <c r="C828" s="206"/>
      <c r="E828" s="206"/>
      <c r="F828" s="206"/>
    </row>
    <row r="829" spans="3:6">
      <c r="C829" s="206"/>
      <c r="E829" s="206"/>
      <c r="F829" s="206"/>
    </row>
    <row r="830" spans="3:6">
      <c r="C830" s="206"/>
      <c r="E830" s="206"/>
      <c r="F830" s="206"/>
    </row>
    <row r="831" spans="3:6">
      <c r="C831" s="206"/>
      <c r="E831" s="206"/>
      <c r="F831" s="206"/>
    </row>
    <row r="832" spans="3:6">
      <c r="C832" s="206"/>
      <c r="E832" s="206"/>
      <c r="F832" s="206"/>
    </row>
    <row r="833" spans="3:6">
      <c r="C833" s="206"/>
      <c r="E833" s="206"/>
      <c r="F833" s="206"/>
    </row>
    <row r="834" spans="3:6">
      <c r="C834" s="206"/>
      <c r="E834" s="206"/>
      <c r="F834" s="206"/>
    </row>
    <row r="835" spans="3:6">
      <c r="C835" s="206"/>
      <c r="E835" s="206"/>
      <c r="F835" s="206"/>
    </row>
    <row r="836" spans="3:6">
      <c r="C836" s="206"/>
      <c r="E836" s="206"/>
      <c r="F836" s="206"/>
    </row>
    <row r="837" spans="3:6">
      <c r="C837" s="206"/>
      <c r="E837" s="206"/>
      <c r="F837" s="206"/>
    </row>
    <row r="838" spans="3:6">
      <c r="C838" s="206"/>
      <c r="E838" s="206"/>
      <c r="F838" s="206"/>
    </row>
    <row r="839" spans="3:6">
      <c r="C839" s="206"/>
      <c r="E839" s="206"/>
      <c r="F839" s="206"/>
    </row>
    <row r="840" spans="3:6">
      <c r="C840" s="206"/>
      <c r="E840" s="206"/>
      <c r="F840" s="206"/>
    </row>
    <row r="841" spans="3:6">
      <c r="C841" s="206"/>
      <c r="E841" s="206"/>
      <c r="F841" s="206"/>
    </row>
    <row r="842" spans="3:6">
      <c r="C842" s="206"/>
      <c r="E842" s="206"/>
      <c r="F842" s="206"/>
    </row>
    <row r="843" spans="3:6">
      <c r="C843" s="206"/>
      <c r="E843" s="206"/>
      <c r="F843" s="206"/>
    </row>
    <row r="844" spans="3:6">
      <c r="C844" s="206"/>
      <c r="E844" s="206"/>
      <c r="F844" s="206"/>
    </row>
    <row r="845" spans="3:6">
      <c r="C845" s="206"/>
      <c r="E845" s="206"/>
      <c r="F845" s="206"/>
    </row>
    <row r="846" spans="3:6">
      <c r="C846" s="206"/>
      <c r="E846" s="206"/>
      <c r="F846" s="206"/>
    </row>
    <row r="847" spans="3:6">
      <c r="C847" s="206"/>
      <c r="E847" s="206"/>
      <c r="F847" s="206"/>
    </row>
    <row r="848" spans="3:6">
      <c r="C848" s="206"/>
      <c r="E848" s="206"/>
      <c r="F848" s="206"/>
    </row>
    <row r="849" spans="3:6">
      <c r="C849" s="206"/>
      <c r="E849" s="206"/>
      <c r="F849" s="206"/>
    </row>
    <row r="850" spans="3:6">
      <c r="C850" s="206"/>
      <c r="E850" s="206"/>
      <c r="F850" s="206"/>
    </row>
    <row r="851" spans="3:6">
      <c r="C851" s="206"/>
      <c r="E851" s="206"/>
      <c r="F851" s="206"/>
    </row>
    <row r="852" spans="3:6">
      <c r="C852" s="206"/>
      <c r="E852" s="206"/>
      <c r="F852" s="206"/>
    </row>
    <row r="853" spans="3:6">
      <c r="C853" s="206"/>
      <c r="E853" s="206"/>
      <c r="F853" s="206"/>
    </row>
    <row r="854" spans="3:6">
      <c r="C854" s="206"/>
      <c r="E854" s="206"/>
      <c r="F854" s="206"/>
    </row>
    <row r="855" spans="3:6">
      <c r="C855" s="206"/>
      <c r="E855" s="206"/>
      <c r="F855" s="206"/>
    </row>
    <row r="856" spans="3:6">
      <c r="C856" s="206"/>
      <c r="E856" s="206"/>
      <c r="F856" s="206"/>
    </row>
    <row r="857" spans="3:6">
      <c r="C857" s="206"/>
      <c r="E857" s="206"/>
      <c r="F857" s="206"/>
    </row>
    <row r="858" spans="3:6">
      <c r="C858" s="206"/>
      <c r="E858" s="206"/>
      <c r="F858" s="206"/>
    </row>
    <row r="859" spans="3:6">
      <c r="C859" s="206"/>
      <c r="E859" s="206"/>
      <c r="F859" s="206"/>
    </row>
    <row r="860" spans="3:6">
      <c r="C860" s="206"/>
      <c r="E860" s="206"/>
      <c r="F860" s="206"/>
    </row>
    <row r="861" spans="3:6">
      <c r="C861" s="206"/>
      <c r="E861" s="206"/>
      <c r="F861" s="206"/>
    </row>
    <row r="862" spans="3:6">
      <c r="C862" s="206"/>
      <c r="E862" s="206"/>
      <c r="F862" s="206"/>
    </row>
    <row r="863" spans="3:6">
      <c r="C863" s="206"/>
      <c r="E863" s="206"/>
      <c r="F863" s="206"/>
    </row>
    <row r="864" spans="3:6">
      <c r="C864" s="206"/>
      <c r="E864" s="206"/>
      <c r="F864" s="206"/>
    </row>
    <row r="865" spans="3:6">
      <c r="C865" s="206"/>
      <c r="E865" s="206"/>
      <c r="F865" s="206"/>
    </row>
    <row r="866" spans="3:6">
      <c r="C866" s="206"/>
      <c r="E866" s="206"/>
      <c r="F866" s="206"/>
    </row>
    <row r="867" spans="3:6">
      <c r="C867" s="206"/>
      <c r="E867" s="206"/>
      <c r="F867" s="206"/>
    </row>
    <row r="868" spans="3:6">
      <c r="C868" s="206"/>
      <c r="E868" s="206"/>
      <c r="F868" s="206"/>
    </row>
    <row r="869" spans="3:6">
      <c r="C869" s="206"/>
      <c r="E869" s="206"/>
      <c r="F869" s="206"/>
    </row>
    <row r="870" spans="3:6">
      <c r="C870" s="206"/>
      <c r="E870" s="206"/>
      <c r="F870" s="206"/>
    </row>
    <row r="871" spans="3:6">
      <c r="C871" s="206"/>
      <c r="E871" s="206"/>
      <c r="F871" s="206"/>
    </row>
    <row r="872" spans="3:6">
      <c r="C872" s="206"/>
      <c r="E872" s="206"/>
      <c r="F872" s="206"/>
    </row>
    <row r="873" spans="3:6">
      <c r="C873" s="206"/>
      <c r="E873" s="206"/>
      <c r="F873" s="206"/>
    </row>
    <row r="874" spans="3:6">
      <c r="C874" s="206"/>
      <c r="E874" s="206"/>
      <c r="F874" s="206"/>
    </row>
    <row r="875" spans="3:6">
      <c r="C875" s="206"/>
      <c r="E875" s="206"/>
      <c r="F875" s="206"/>
    </row>
    <row r="876" spans="3:6">
      <c r="C876" s="206"/>
      <c r="E876" s="206"/>
      <c r="F876" s="206"/>
    </row>
    <row r="877" spans="3:6">
      <c r="C877" s="206"/>
      <c r="E877" s="206"/>
      <c r="F877" s="206"/>
    </row>
    <row r="878" spans="3:6">
      <c r="C878" s="206"/>
      <c r="E878" s="206"/>
      <c r="F878" s="206"/>
    </row>
    <row r="879" spans="3:6">
      <c r="C879" s="206"/>
      <c r="E879" s="206"/>
      <c r="F879" s="206"/>
    </row>
    <row r="880" spans="3:6">
      <c r="C880" s="206"/>
      <c r="E880" s="206"/>
      <c r="F880" s="206"/>
    </row>
    <row r="881" spans="3:6">
      <c r="C881" s="206"/>
      <c r="E881" s="206"/>
      <c r="F881" s="206"/>
    </row>
    <row r="882" spans="3:6">
      <c r="C882" s="206"/>
      <c r="E882" s="206"/>
      <c r="F882" s="206"/>
    </row>
    <row r="883" spans="3:6">
      <c r="C883" s="206"/>
      <c r="E883" s="206"/>
      <c r="F883" s="206"/>
    </row>
    <row r="884" spans="3:6">
      <c r="C884" s="206"/>
      <c r="E884" s="206"/>
      <c r="F884" s="206"/>
    </row>
    <row r="885" spans="3:6">
      <c r="C885" s="206"/>
      <c r="E885" s="206"/>
      <c r="F885" s="206"/>
    </row>
    <row r="886" spans="3:6">
      <c r="C886" s="206"/>
      <c r="E886" s="206"/>
      <c r="F886" s="206"/>
    </row>
    <row r="887" spans="3:6">
      <c r="C887" s="206"/>
      <c r="E887" s="206"/>
      <c r="F887" s="206"/>
    </row>
    <row r="888" spans="3:6">
      <c r="C888" s="206"/>
      <c r="E888" s="206"/>
      <c r="F888" s="206"/>
    </row>
    <row r="889" spans="3:6">
      <c r="C889" s="206"/>
      <c r="E889" s="206"/>
      <c r="F889" s="206"/>
    </row>
    <row r="890" spans="3:6">
      <c r="C890" s="206"/>
      <c r="E890" s="206"/>
      <c r="F890" s="206"/>
    </row>
    <row r="891" spans="3:6">
      <c r="C891" s="206"/>
      <c r="E891" s="206"/>
      <c r="F891" s="206"/>
    </row>
    <row r="892" spans="3:6">
      <c r="C892" s="206"/>
      <c r="E892" s="206"/>
      <c r="F892" s="206"/>
    </row>
    <row r="893" spans="3:6">
      <c r="C893" s="206"/>
      <c r="E893" s="206"/>
      <c r="F893" s="206"/>
    </row>
    <row r="894" spans="3:6">
      <c r="C894" s="206"/>
      <c r="E894" s="206"/>
      <c r="F894" s="206"/>
    </row>
    <row r="895" spans="3:6">
      <c r="C895" s="206"/>
      <c r="E895" s="206"/>
      <c r="F895" s="206"/>
    </row>
    <row r="896" spans="3:6">
      <c r="C896" s="206"/>
      <c r="E896" s="206"/>
      <c r="F896" s="206"/>
    </row>
    <row r="897" spans="3:6">
      <c r="C897" s="206"/>
      <c r="E897" s="206"/>
      <c r="F897" s="206"/>
    </row>
    <row r="898" spans="3:6">
      <c r="C898" s="206"/>
      <c r="E898" s="206"/>
      <c r="F898" s="206"/>
    </row>
    <row r="899" spans="3:6">
      <c r="C899" s="206"/>
      <c r="E899" s="206"/>
      <c r="F899" s="206"/>
    </row>
    <row r="900" spans="3:6">
      <c r="C900" s="206"/>
      <c r="E900" s="206"/>
      <c r="F900" s="206"/>
    </row>
    <row r="901" spans="3:6">
      <c r="C901" s="206"/>
      <c r="E901" s="206"/>
      <c r="F901" s="206"/>
    </row>
    <row r="902" spans="3:6">
      <c r="C902" s="206"/>
      <c r="E902" s="206"/>
      <c r="F902" s="206"/>
    </row>
    <row r="903" spans="3:6">
      <c r="C903" s="206"/>
      <c r="E903" s="206"/>
      <c r="F903" s="206"/>
    </row>
    <row r="904" spans="3:6">
      <c r="C904" s="206"/>
      <c r="E904" s="206"/>
      <c r="F904" s="206"/>
    </row>
    <row r="905" spans="3:6">
      <c r="C905" s="206"/>
      <c r="E905" s="206"/>
      <c r="F905" s="206"/>
    </row>
    <row r="906" spans="3:6">
      <c r="C906" s="206"/>
      <c r="E906" s="206"/>
      <c r="F906" s="206"/>
    </row>
    <row r="907" spans="3:6">
      <c r="C907" s="206"/>
      <c r="E907" s="206"/>
      <c r="F907" s="206"/>
    </row>
    <row r="908" spans="3:6">
      <c r="C908" s="206"/>
      <c r="E908" s="206"/>
      <c r="F908" s="206"/>
    </row>
    <row r="909" spans="3:6">
      <c r="C909" s="206"/>
      <c r="E909" s="206"/>
      <c r="F909" s="206"/>
    </row>
    <row r="910" spans="3:6">
      <c r="C910" s="206"/>
      <c r="E910" s="206"/>
      <c r="F910" s="206"/>
    </row>
    <row r="911" spans="3:6">
      <c r="C911" s="206"/>
      <c r="E911" s="206"/>
      <c r="F911" s="206"/>
    </row>
    <row r="912" spans="3:6">
      <c r="C912" s="206"/>
      <c r="E912" s="206"/>
      <c r="F912" s="206"/>
    </row>
    <row r="913" spans="3:6">
      <c r="C913" s="206"/>
      <c r="E913" s="206"/>
      <c r="F913" s="206"/>
    </row>
    <row r="914" spans="3:6">
      <c r="C914" s="206"/>
      <c r="E914" s="206"/>
      <c r="F914" s="206"/>
    </row>
    <row r="915" spans="3:6">
      <c r="C915" s="206"/>
      <c r="E915" s="206"/>
      <c r="F915" s="206"/>
    </row>
    <row r="916" spans="3:6">
      <c r="C916" s="206"/>
      <c r="E916" s="206"/>
      <c r="F916" s="206"/>
    </row>
    <row r="917" spans="3:6">
      <c r="C917" s="206"/>
      <c r="E917" s="206"/>
      <c r="F917" s="206"/>
    </row>
    <row r="918" spans="3:6">
      <c r="C918" s="206"/>
      <c r="E918" s="206"/>
      <c r="F918" s="206"/>
    </row>
    <row r="919" spans="3:6">
      <c r="C919" s="206"/>
      <c r="E919" s="206"/>
      <c r="F919" s="206"/>
    </row>
    <row r="920" spans="3:6">
      <c r="C920" s="206"/>
      <c r="E920" s="206"/>
      <c r="F920" s="206"/>
    </row>
    <row r="921" spans="3:6">
      <c r="C921" s="206"/>
      <c r="E921" s="206"/>
      <c r="F921" s="206"/>
    </row>
    <row r="922" spans="3:6">
      <c r="C922" s="206"/>
      <c r="E922" s="206"/>
      <c r="F922" s="206"/>
    </row>
    <row r="923" spans="3:6">
      <c r="C923" s="206"/>
      <c r="E923" s="206"/>
      <c r="F923" s="206"/>
    </row>
    <row r="924" spans="3:6">
      <c r="C924" s="206"/>
      <c r="E924" s="206"/>
      <c r="F924" s="206"/>
    </row>
    <row r="925" spans="3:6">
      <c r="C925" s="206"/>
      <c r="E925" s="206"/>
      <c r="F925" s="206"/>
    </row>
    <row r="926" spans="3:6">
      <c r="C926" s="206"/>
      <c r="E926" s="206"/>
      <c r="F926" s="206"/>
    </row>
    <row r="927" spans="3:6">
      <c r="C927" s="206"/>
      <c r="E927" s="206"/>
      <c r="F927" s="206"/>
    </row>
    <row r="928" spans="3:6">
      <c r="C928" s="206"/>
      <c r="E928" s="206"/>
      <c r="F928" s="206"/>
    </row>
    <row r="929" spans="3:6">
      <c r="C929" s="206"/>
      <c r="E929" s="206"/>
      <c r="F929" s="206"/>
    </row>
    <row r="930" spans="3:6">
      <c r="C930" s="206"/>
      <c r="E930" s="206"/>
      <c r="F930" s="206"/>
    </row>
    <row r="931" spans="3:6">
      <c r="C931" s="206"/>
      <c r="E931" s="206"/>
      <c r="F931" s="206"/>
    </row>
    <row r="932" spans="3:6">
      <c r="C932" s="206"/>
      <c r="E932" s="206"/>
      <c r="F932" s="206"/>
    </row>
    <row r="933" spans="3:6">
      <c r="C933" s="206"/>
      <c r="E933" s="206"/>
      <c r="F933" s="206"/>
    </row>
    <row r="934" spans="3:6">
      <c r="C934" s="206"/>
      <c r="E934" s="206"/>
      <c r="F934" s="206"/>
    </row>
    <row r="935" spans="3:6">
      <c r="C935" s="206"/>
      <c r="E935" s="206"/>
      <c r="F935" s="206"/>
    </row>
    <row r="936" spans="3:6">
      <c r="C936" s="206"/>
      <c r="E936" s="206"/>
      <c r="F936" s="206"/>
    </row>
    <row r="937" spans="3:6">
      <c r="C937" s="206"/>
      <c r="E937" s="206"/>
      <c r="F937" s="206"/>
    </row>
    <row r="938" spans="3:6">
      <c r="C938" s="206"/>
      <c r="E938" s="206"/>
      <c r="F938" s="206"/>
    </row>
    <row r="939" spans="3:6">
      <c r="C939" s="206"/>
      <c r="E939" s="206"/>
      <c r="F939" s="206"/>
    </row>
    <row r="940" spans="3:6">
      <c r="C940" s="206"/>
      <c r="E940" s="206"/>
      <c r="F940" s="206"/>
    </row>
    <row r="941" spans="3:6">
      <c r="C941" s="206"/>
      <c r="E941" s="206"/>
      <c r="F941" s="206"/>
    </row>
    <row r="942" spans="3:6">
      <c r="C942" s="206"/>
      <c r="E942" s="206"/>
      <c r="F942" s="206"/>
    </row>
    <row r="943" spans="3:6">
      <c r="C943" s="206"/>
      <c r="E943" s="206"/>
      <c r="F943" s="206"/>
    </row>
    <row r="944" spans="3:6">
      <c r="C944" s="206"/>
      <c r="E944" s="206"/>
      <c r="F944" s="206"/>
    </row>
    <row r="945" spans="3:6">
      <c r="C945" s="206"/>
      <c r="E945" s="206"/>
      <c r="F945" s="206"/>
    </row>
    <row r="946" spans="3:6">
      <c r="C946" s="206"/>
      <c r="E946" s="206"/>
      <c r="F946" s="206"/>
    </row>
    <row r="947" spans="3:6">
      <c r="C947" s="206"/>
      <c r="E947" s="206"/>
      <c r="F947" s="206"/>
    </row>
    <row r="948" spans="3:6">
      <c r="C948" s="206"/>
      <c r="E948" s="206"/>
      <c r="F948" s="206"/>
    </row>
    <row r="949" spans="3:6">
      <c r="C949" s="206"/>
      <c r="E949" s="206"/>
      <c r="F949" s="206"/>
    </row>
    <row r="950" spans="3:6">
      <c r="C950" s="206"/>
      <c r="E950" s="206"/>
      <c r="F950" s="206"/>
    </row>
    <row r="951" spans="3:6">
      <c r="C951" s="206"/>
      <c r="E951" s="206"/>
      <c r="F951" s="206"/>
    </row>
    <row r="952" spans="3:6">
      <c r="C952" s="206"/>
      <c r="E952" s="206"/>
      <c r="F952" s="206"/>
    </row>
    <row r="953" spans="3:6">
      <c r="C953" s="206"/>
      <c r="E953" s="206"/>
      <c r="F953" s="206"/>
    </row>
    <row r="954" spans="3:6">
      <c r="C954" s="206"/>
      <c r="E954" s="206"/>
      <c r="F954" s="206"/>
    </row>
    <row r="955" spans="3:6">
      <c r="C955" s="206"/>
      <c r="E955" s="206"/>
      <c r="F955" s="206"/>
    </row>
    <row r="956" spans="3:6">
      <c r="C956" s="206"/>
      <c r="E956" s="206"/>
      <c r="F956" s="206"/>
    </row>
    <row r="957" spans="3:6">
      <c r="C957" s="206"/>
      <c r="E957" s="206"/>
      <c r="F957" s="206"/>
    </row>
    <row r="958" spans="3:6">
      <c r="C958" s="206"/>
      <c r="E958" s="206"/>
      <c r="F958" s="206"/>
    </row>
    <row r="959" spans="3:6">
      <c r="C959" s="206"/>
      <c r="E959" s="206"/>
      <c r="F959" s="206"/>
    </row>
    <row r="960" spans="3:6">
      <c r="C960" s="206"/>
      <c r="E960" s="206"/>
      <c r="F960" s="206"/>
    </row>
    <row r="961" spans="3:6">
      <c r="C961" s="206"/>
      <c r="E961" s="206"/>
      <c r="F961" s="206"/>
    </row>
    <row r="962" spans="3:6">
      <c r="C962" s="206"/>
      <c r="E962" s="206"/>
      <c r="F962" s="206"/>
    </row>
    <row r="963" spans="3:6">
      <c r="C963" s="206"/>
      <c r="E963" s="206"/>
      <c r="F963" s="206"/>
    </row>
    <row r="964" spans="3:6">
      <c r="C964" s="206"/>
      <c r="E964" s="206"/>
      <c r="F964" s="206"/>
    </row>
    <row r="965" spans="3:6">
      <c r="C965" s="206"/>
      <c r="E965" s="206"/>
      <c r="F965" s="206"/>
    </row>
    <row r="966" spans="3:6">
      <c r="C966" s="206"/>
      <c r="E966" s="206"/>
      <c r="F966" s="206"/>
    </row>
    <row r="967" spans="3:6">
      <c r="C967" s="206"/>
      <c r="E967" s="206"/>
      <c r="F967" s="206"/>
    </row>
    <row r="968" spans="3:6">
      <c r="C968" s="206"/>
      <c r="E968" s="206"/>
      <c r="F968" s="206"/>
    </row>
    <row r="969" spans="3:6">
      <c r="C969" s="206"/>
      <c r="E969" s="206"/>
      <c r="F969" s="206"/>
    </row>
    <row r="970" spans="3:6">
      <c r="C970" s="206"/>
      <c r="E970" s="206"/>
      <c r="F970" s="206"/>
    </row>
    <row r="971" spans="3:6">
      <c r="C971" s="206"/>
      <c r="E971" s="206"/>
      <c r="F971" s="206"/>
    </row>
    <row r="972" spans="3:6">
      <c r="C972" s="206"/>
      <c r="E972" s="206"/>
      <c r="F972" s="206"/>
    </row>
    <row r="973" spans="3:6">
      <c r="C973" s="206"/>
      <c r="E973" s="206"/>
      <c r="F973" s="206"/>
    </row>
    <row r="974" spans="3:6">
      <c r="C974" s="206"/>
      <c r="E974" s="206"/>
      <c r="F974" s="206"/>
    </row>
    <row r="975" spans="3:6">
      <c r="C975" s="206"/>
      <c r="E975" s="206"/>
      <c r="F975" s="206"/>
    </row>
    <row r="976" spans="3:6">
      <c r="C976" s="206"/>
      <c r="E976" s="206"/>
      <c r="F976" s="206"/>
    </row>
    <row r="977" spans="3:6">
      <c r="C977" s="206"/>
      <c r="E977" s="206"/>
      <c r="F977" s="206"/>
    </row>
    <row r="978" spans="3:6">
      <c r="C978" s="206"/>
      <c r="E978" s="206"/>
      <c r="F978" s="206"/>
    </row>
    <row r="979" spans="3:6">
      <c r="C979" s="206"/>
      <c r="E979" s="206"/>
      <c r="F979" s="206"/>
    </row>
    <row r="980" spans="3:6">
      <c r="C980" s="206"/>
      <c r="E980" s="206"/>
      <c r="F980" s="206"/>
    </row>
    <row r="981" spans="3:6">
      <c r="C981" s="206"/>
      <c r="E981" s="206"/>
      <c r="F981" s="206"/>
    </row>
    <row r="982" spans="3:6">
      <c r="C982" s="206"/>
      <c r="E982" s="206"/>
      <c r="F982" s="206"/>
    </row>
    <row r="983" spans="3:6">
      <c r="C983" s="206"/>
      <c r="E983" s="206"/>
      <c r="F983" s="206"/>
    </row>
    <row r="984" spans="3:6">
      <c r="C984" s="206"/>
      <c r="E984" s="206"/>
      <c r="F984" s="206"/>
    </row>
    <row r="985" spans="3:6">
      <c r="C985" s="206"/>
      <c r="E985" s="206"/>
      <c r="F985" s="206"/>
    </row>
    <row r="986" spans="3:6">
      <c r="C986" s="206"/>
      <c r="E986" s="206"/>
      <c r="F986" s="206"/>
    </row>
    <row r="987" spans="3:6">
      <c r="C987" s="206"/>
      <c r="E987" s="206"/>
      <c r="F987" s="206"/>
    </row>
    <row r="988" spans="3:6">
      <c r="C988" s="206"/>
      <c r="E988" s="206"/>
      <c r="F988" s="206"/>
    </row>
    <row r="989" spans="3:6">
      <c r="C989" s="206"/>
      <c r="E989" s="206"/>
      <c r="F989" s="206"/>
    </row>
    <row r="990" spans="3:6">
      <c r="C990" s="206"/>
      <c r="E990" s="206"/>
      <c r="F990" s="206"/>
    </row>
    <row r="991" spans="3:6">
      <c r="C991" s="206"/>
      <c r="E991" s="206"/>
      <c r="F991" s="206"/>
    </row>
    <row r="992" spans="3:6">
      <c r="C992" s="206"/>
      <c r="E992" s="206"/>
      <c r="F992" s="206"/>
    </row>
    <row r="993" spans="3:6">
      <c r="C993" s="206"/>
      <c r="E993" s="206"/>
      <c r="F993" s="206"/>
    </row>
    <row r="994" spans="3:6">
      <c r="C994" s="206"/>
      <c r="E994" s="206"/>
      <c r="F994" s="206"/>
    </row>
    <row r="995" spans="3:6">
      <c r="C995" s="206"/>
      <c r="E995" s="206"/>
      <c r="F995" s="206"/>
    </row>
    <row r="996" spans="3:6">
      <c r="C996" s="206"/>
      <c r="E996" s="206"/>
      <c r="F996" s="206"/>
    </row>
    <row r="997" spans="3:6">
      <c r="C997" s="206"/>
      <c r="E997" s="206"/>
      <c r="F997" s="206"/>
    </row>
    <row r="998" spans="3:6">
      <c r="C998" s="206"/>
      <c r="E998" s="206"/>
      <c r="F998" s="206"/>
    </row>
    <row r="999" spans="3:6">
      <c r="C999" s="206"/>
      <c r="E999" s="206"/>
      <c r="F999" s="206"/>
    </row>
    <row r="1000" spans="3:6">
      <c r="C1000" s="206"/>
      <c r="E1000" s="206"/>
      <c r="F1000" s="206"/>
    </row>
    <row r="1001" spans="3:6">
      <c r="C1001" s="206"/>
      <c r="E1001" s="206"/>
      <c r="F1001" s="206"/>
    </row>
    <row r="1002" spans="3:6">
      <c r="C1002" s="206"/>
      <c r="E1002" s="206"/>
      <c r="F1002" s="206"/>
    </row>
    <row r="1003" spans="3:6">
      <c r="C1003" s="206"/>
      <c r="E1003" s="206"/>
      <c r="F1003" s="206"/>
    </row>
    <row r="1004" spans="3:6">
      <c r="C1004" s="206"/>
      <c r="E1004" s="206"/>
      <c r="F1004" s="206"/>
    </row>
    <row r="1005" spans="3:6">
      <c r="C1005" s="206"/>
      <c r="E1005" s="206"/>
      <c r="F1005" s="206"/>
    </row>
    <row r="1006" spans="3:6">
      <c r="C1006" s="206"/>
      <c r="E1006" s="206"/>
      <c r="F1006" s="206"/>
    </row>
    <row r="1007" spans="3:6">
      <c r="C1007" s="206"/>
      <c r="E1007" s="206"/>
      <c r="F1007" s="206"/>
    </row>
    <row r="1008" spans="3:6">
      <c r="C1008" s="206"/>
      <c r="E1008" s="206"/>
      <c r="F1008" s="206"/>
    </row>
    <row r="1009" spans="3:6">
      <c r="C1009" s="206"/>
      <c r="E1009" s="206"/>
      <c r="F1009" s="206"/>
    </row>
    <row r="1010" spans="3:6">
      <c r="C1010" s="206"/>
      <c r="E1010" s="206"/>
      <c r="F1010" s="206"/>
    </row>
    <row r="1011" spans="3:6">
      <c r="C1011" s="206"/>
      <c r="E1011" s="206"/>
      <c r="F1011" s="206"/>
    </row>
    <row r="1012" spans="3:6">
      <c r="C1012" s="206"/>
      <c r="E1012" s="206"/>
      <c r="F1012" s="206"/>
    </row>
    <row r="1013" spans="3:6">
      <c r="C1013" s="206"/>
      <c r="E1013" s="206"/>
      <c r="F1013" s="206"/>
    </row>
    <row r="1014" spans="3:6">
      <c r="C1014" s="206"/>
      <c r="E1014" s="206"/>
      <c r="F1014" s="206"/>
    </row>
    <row r="1015" spans="3:6">
      <c r="C1015" s="206"/>
      <c r="E1015" s="206"/>
      <c r="F1015" s="206"/>
    </row>
    <row r="1016" spans="3:6">
      <c r="C1016" s="206"/>
      <c r="E1016" s="206"/>
      <c r="F1016" s="206"/>
    </row>
    <row r="1017" spans="3:6">
      <c r="C1017" s="206"/>
      <c r="E1017" s="206"/>
      <c r="F1017" s="206"/>
    </row>
    <row r="1018" spans="3:6">
      <c r="C1018" s="206"/>
      <c r="E1018" s="206"/>
      <c r="F1018" s="206"/>
    </row>
    <row r="1019" spans="3:6">
      <c r="C1019" s="206"/>
      <c r="E1019" s="206"/>
      <c r="F1019" s="206"/>
    </row>
    <row r="1020" spans="3:6">
      <c r="E1020" s="206"/>
      <c r="F1020" s="206"/>
    </row>
    <row r="1021" spans="3:6">
      <c r="E1021" s="206"/>
      <c r="F1021" s="206"/>
    </row>
    <row r="1022" spans="3:6">
      <c r="E1022" s="206"/>
      <c r="F1022" s="206"/>
    </row>
    <row r="1023" spans="3:6">
      <c r="E1023" s="206"/>
      <c r="F1023" s="206"/>
    </row>
    <row r="1024" spans="3:6">
      <c r="E1024" s="206"/>
      <c r="F1024" s="206"/>
    </row>
    <row r="1025" spans="5:6">
      <c r="E1025" s="206"/>
      <c r="F1025" s="206"/>
    </row>
    <row r="1026" spans="5:6">
      <c r="E1026" s="206"/>
      <c r="F1026" s="206"/>
    </row>
    <row r="1027" spans="5:6">
      <c r="E1027" s="206"/>
      <c r="F1027" s="206"/>
    </row>
    <row r="1028" spans="5:6">
      <c r="E1028" s="206"/>
      <c r="F1028" s="206"/>
    </row>
    <row r="1029" spans="5:6">
      <c r="E1029" s="206"/>
      <c r="F1029" s="206"/>
    </row>
    <row r="1030" spans="5:6">
      <c r="E1030" s="206"/>
      <c r="F1030" s="206"/>
    </row>
    <row r="1031" spans="5:6">
      <c r="E1031" s="206"/>
      <c r="F1031" s="206"/>
    </row>
    <row r="1032" spans="5:6">
      <c r="E1032" s="206"/>
      <c r="F1032" s="206"/>
    </row>
    <row r="1033" spans="5:6">
      <c r="E1033" s="206"/>
      <c r="F1033" s="206"/>
    </row>
    <row r="1034" spans="5:6">
      <c r="E1034" s="206"/>
      <c r="F1034" s="206"/>
    </row>
    <row r="1035" spans="5:6">
      <c r="E1035" s="206"/>
      <c r="F1035" s="206"/>
    </row>
    <row r="1036" spans="5:6">
      <c r="E1036" s="206"/>
      <c r="F1036" s="206"/>
    </row>
    <row r="1037" spans="5:6">
      <c r="E1037" s="206"/>
      <c r="F1037" s="206"/>
    </row>
    <row r="1038" spans="5:6">
      <c r="E1038" s="206"/>
      <c r="F1038" s="206"/>
    </row>
    <row r="1039" spans="5:6">
      <c r="E1039" s="206"/>
      <c r="F1039" s="206"/>
    </row>
    <row r="1040" spans="5:6">
      <c r="E1040" s="206"/>
      <c r="F1040" s="206"/>
    </row>
    <row r="1041" spans="5:6">
      <c r="E1041" s="206"/>
      <c r="F1041" s="206"/>
    </row>
    <row r="1042" spans="5:6">
      <c r="E1042" s="206"/>
      <c r="F1042" s="206"/>
    </row>
    <row r="1043" spans="5:6">
      <c r="E1043" s="206"/>
      <c r="F1043" s="206"/>
    </row>
    <row r="1044" spans="5:6">
      <c r="E1044" s="206"/>
      <c r="F1044" s="206"/>
    </row>
    <row r="1045" spans="5:6">
      <c r="E1045" s="206"/>
      <c r="F1045" s="206"/>
    </row>
    <row r="1046" spans="5:6">
      <c r="E1046" s="206"/>
      <c r="F1046" s="206"/>
    </row>
    <row r="1047" spans="5:6">
      <c r="E1047" s="206"/>
      <c r="F1047" s="206"/>
    </row>
    <row r="1048" spans="5:6">
      <c r="E1048" s="206"/>
      <c r="F1048" s="206"/>
    </row>
    <row r="1049" spans="5:6">
      <c r="E1049" s="206"/>
      <c r="F1049" s="206"/>
    </row>
    <row r="1050" spans="5:6">
      <c r="E1050" s="206"/>
      <c r="F1050" s="206"/>
    </row>
    <row r="1051" spans="5:6">
      <c r="E1051" s="206"/>
      <c r="F1051" s="206"/>
    </row>
    <row r="1052" spans="5:6">
      <c r="E1052" s="206"/>
      <c r="F1052" s="206"/>
    </row>
    <row r="1053" spans="5:6">
      <c r="E1053" s="206"/>
      <c r="F1053" s="206"/>
    </row>
    <row r="1054" spans="5:6">
      <c r="E1054" s="206"/>
      <c r="F1054" s="206"/>
    </row>
    <row r="1055" spans="5:6">
      <c r="E1055" s="206"/>
      <c r="F1055" s="206"/>
    </row>
    <row r="1056" spans="5:6">
      <c r="E1056" s="206"/>
      <c r="F1056" s="206"/>
    </row>
    <row r="1057" spans="5:6">
      <c r="E1057" s="206"/>
      <c r="F1057" s="206"/>
    </row>
    <row r="1058" spans="5:6">
      <c r="E1058" s="206"/>
      <c r="F1058" s="206"/>
    </row>
    <row r="1059" spans="5:6">
      <c r="E1059" s="206"/>
      <c r="F1059" s="206"/>
    </row>
    <row r="1060" spans="5:6">
      <c r="E1060" s="206"/>
      <c r="F1060" s="206"/>
    </row>
    <row r="1061" spans="5:6">
      <c r="E1061" s="206"/>
      <c r="F1061" s="206"/>
    </row>
    <row r="1062" spans="5:6">
      <c r="E1062" s="206"/>
      <c r="F1062" s="206"/>
    </row>
    <row r="1063" spans="5:6">
      <c r="E1063" s="206"/>
      <c r="F1063" s="206"/>
    </row>
    <row r="1064" spans="5:6">
      <c r="E1064" s="206"/>
      <c r="F1064" s="206"/>
    </row>
    <row r="1065" spans="5:6">
      <c r="E1065" s="206"/>
      <c r="F1065" s="206"/>
    </row>
    <row r="1066" spans="5:6">
      <c r="E1066" s="206"/>
      <c r="F1066" s="206"/>
    </row>
    <row r="1067" spans="5:6">
      <c r="E1067" s="206"/>
      <c r="F1067" s="206"/>
    </row>
    <row r="1068" spans="5:6">
      <c r="E1068" s="206"/>
      <c r="F1068" s="206"/>
    </row>
    <row r="1069" spans="5:6">
      <c r="E1069" s="206"/>
      <c r="F1069" s="206"/>
    </row>
    <row r="1070" spans="5:6">
      <c r="E1070" s="206"/>
      <c r="F1070" s="206"/>
    </row>
    <row r="1071" spans="5:6">
      <c r="E1071" s="206"/>
      <c r="F1071" s="206"/>
    </row>
    <row r="1072" spans="5:6">
      <c r="E1072" s="206"/>
      <c r="F1072" s="206"/>
    </row>
    <row r="1073" spans="5:6">
      <c r="E1073" s="206"/>
      <c r="F1073" s="206"/>
    </row>
    <row r="1074" spans="5:6">
      <c r="E1074" s="206"/>
      <c r="F1074" s="206"/>
    </row>
    <row r="1075" spans="5:6">
      <c r="E1075" s="206"/>
      <c r="F1075" s="206"/>
    </row>
    <row r="1076" spans="5:6">
      <c r="E1076" s="206"/>
      <c r="F1076" s="206"/>
    </row>
    <row r="1077" spans="5:6">
      <c r="E1077" s="206"/>
      <c r="F1077" s="206"/>
    </row>
    <row r="1078" spans="5:6">
      <c r="E1078" s="206"/>
      <c r="F1078" s="206"/>
    </row>
    <row r="1079" spans="5:6">
      <c r="E1079" s="206"/>
      <c r="F1079" s="206"/>
    </row>
    <row r="1080" spans="5:6">
      <c r="E1080" s="206"/>
      <c r="F1080" s="206"/>
    </row>
    <row r="1081" spans="5:6">
      <c r="E1081" s="206"/>
      <c r="F1081" s="206"/>
    </row>
    <row r="1082" spans="5:6">
      <c r="E1082" s="206"/>
      <c r="F1082" s="206"/>
    </row>
    <row r="1083" spans="5:6">
      <c r="E1083" s="206"/>
      <c r="F1083" s="206"/>
    </row>
    <row r="1084" spans="5:6">
      <c r="E1084" s="206"/>
      <c r="F1084" s="206"/>
    </row>
    <row r="1085" spans="5:6">
      <c r="E1085" s="206"/>
      <c r="F1085" s="206"/>
    </row>
    <row r="1086" spans="5:6">
      <c r="E1086" s="206"/>
      <c r="F1086" s="206"/>
    </row>
    <row r="1087" spans="5:6">
      <c r="E1087" s="206"/>
      <c r="F1087" s="206"/>
    </row>
    <row r="1088" spans="5:6">
      <c r="E1088" s="206"/>
      <c r="F1088" s="206"/>
    </row>
    <row r="1089" spans="5:6">
      <c r="E1089" s="206"/>
      <c r="F1089" s="206"/>
    </row>
    <row r="1090" spans="5:6">
      <c r="E1090" s="206"/>
      <c r="F1090" s="206"/>
    </row>
    <row r="1091" spans="5:6">
      <c r="E1091" s="206"/>
      <c r="F1091" s="206"/>
    </row>
    <row r="1092" spans="5:6">
      <c r="E1092" s="206"/>
      <c r="F1092" s="206"/>
    </row>
    <row r="1093" spans="5:6">
      <c r="E1093" s="206"/>
      <c r="F1093" s="206"/>
    </row>
    <row r="1094" spans="5:6">
      <c r="E1094" s="206"/>
      <c r="F1094" s="206"/>
    </row>
    <row r="1095" spans="5:6">
      <c r="E1095" s="206"/>
      <c r="F1095" s="206"/>
    </row>
    <row r="1096" spans="5:6">
      <c r="E1096" s="206"/>
      <c r="F1096" s="206"/>
    </row>
    <row r="1097" spans="5:6">
      <c r="E1097" s="206"/>
      <c r="F1097" s="206"/>
    </row>
    <row r="1098" spans="5:6">
      <c r="E1098" s="206"/>
      <c r="F1098" s="206"/>
    </row>
    <row r="1099" spans="5:6">
      <c r="E1099" s="206"/>
      <c r="F1099" s="206"/>
    </row>
    <row r="1100" spans="5:6">
      <c r="E1100" s="206"/>
      <c r="F1100" s="206"/>
    </row>
    <row r="1101" spans="5:6">
      <c r="E1101" s="206"/>
      <c r="F1101" s="206"/>
    </row>
    <row r="1102" spans="5:6">
      <c r="E1102" s="206"/>
      <c r="F1102" s="206"/>
    </row>
    <row r="1103" spans="5:6">
      <c r="E1103" s="206"/>
      <c r="F1103" s="206"/>
    </row>
    <row r="1104" spans="5:6">
      <c r="E1104" s="206"/>
      <c r="F1104" s="206"/>
    </row>
    <row r="1105" spans="5:6">
      <c r="E1105" s="206"/>
      <c r="F1105" s="206"/>
    </row>
    <row r="1106" spans="5:6">
      <c r="E1106" s="206"/>
      <c r="F1106" s="206"/>
    </row>
    <row r="1107" spans="5:6">
      <c r="E1107" s="206"/>
      <c r="F1107" s="206"/>
    </row>
    <row r="1108" spans="5:6">
      <c r="E1108" s="206"/>
      <c r="F1108" s="206"/>
    </row>
    <row r="1109" spans="5:6">
      <c r="E1109" s="206"/>
      <c r="F1109" s="206"/>
    </row>
    <row r="1110" spans="5:6">
      <c r="E1110" s="206"/>
      <c r="F1110" s="206"/>
    </row>
    <row r="1111" spans="5:6">
      <c r="E1111" s="206"/>
      <c r="F1111" s="206"/>
    </row>
    <row r="1112" spans="5:6">
      <c r="E1112" s="206"/>
      <c r="F1112" s="206"/>
    </row>
    <row r="1113" spans="5:6">
      <c r="E1113" s="206"/>
      <c r="F1113" s="206"/>
    </row>
    <row r="1114" spans="5:6">
      <c r="E1114" s="206"/>
      <c r="F1114" s="206"/>
    </row>
    <row r="1115" spans="5:6">
      <c r="E1115" s="206"/>
      <c r="F1115" s="206"/>
    </row>
    <row r="1116" spans="5:6">
      <c r="E1116" s="206"/>
      <c r="F1116" s="206"/>
    </row>
    <row r="1117" spans="5:6">
      <c r="E1117" s="206"/>
      <c r="F1117" s="206"/>
    </row>
    <row r="1118" spans="5:6">
      <c r="E1118" s="206"/>
      <c r="F1118" s="206"/>
    </row>
    <row r="1119" spans="5:6">
      <c r="E1119" s="206"/>
      <c r="F1119" s="206"/>
    </row>
    <row r="1120" spans="5:6">
      <c r="E1120" s="206"/>
      <c r="F1120" s="206"/>
    </row>
    <row r="1121" spans="5:6">
      <c r="E1121" s="206"/>
      <c r="F1121" s="206"/>
    </row>
    <row r="1122" spans="5:6">
      <c r="E1122" s="206"/>
      <c r="F1122" s="206"/>
    </row>
    <row r="1123" spans="5:6">
      <c r="E1123" s="206"/>
      <c r="F1123" s="206"/>
    </row>
    <row r="1124" spans="5:6">
      <c r="E1124" s="206"/>
      <c r="F1124" s="206"/>
    </row>
    <row r="1125" spans="5:6">
      <c r="E1125" s="206"/>
      <c r="F1125" s="206"/>
    </row>
    <row r="1126" spans="5:6">
      <c r="E1126" s="206"/>
      <c r="F1126" s="206"/>
    </row>
    <row r="1127" spans="5:6">
      <c r="E1127" s="206"/>
      <c r="F1127" s="206"/>
    </row>
    <row r="1128" spans="5:6">
      <c r="E1128" s="206"/>
      <c r="F1128" s="206"/>
    </row>
    <row r="1129" spans="5:6">
      <c r="E1129" s="206"/>
      <c r="F1129" s="206"/>
    </row>
    <row r="1130" spans="5:6">
      <c r="E1130" s="206"/>
      <c r="F1130" s="206"/>
    </row>
    <row r="1131" spans="5:6">
      <c r="E1131" s="206"/>
      <c r="F1131" s="206"/>
    </row>
    <row r="1132" spans="5:6">
      <c r="E1132" s="206"/>
      <c r="F1132" s="206"/>
    </row>
    <row r="1133" spans="5:6">
      <c r="E1133" s="206"/>
      <c r="F1133" s="206"/>
    </row>
    <row r="1134" spans="5:6">
      <c r="E1134" s="206"/>
      <c r="F1134" s="206"/>
    </row>
    <row r="1135" spans="5:6">
      <c r="E1135" s="206"/>
      <c r="F1135" s="206"/>
    </row>
    <row r="1136" spans="5:6">
      <c r="E1136" s="206"/>
      <c r="F1136" s="206"/>
    </row>
    <row r="1137" spans="5:6">
      <c r="E1137" s="206"/>
      <c r="F1137" s="206"/>
    </row>
    <row r="1138" spans="5:6">
      <c r="E1138" s="206"/>
      <c r="F1138" s="206"/>
    </row>
    <row r="1139" spans="5:6">
      <c r="E1139" s="206"/>
      <c r="F1139" s="206"/>
    </row>
    <row r="1140" spans="5:6">
      <c r="E1140" s="206"/>
      <c r="F1140" s="206"/>
    </row>
    <row r="1141" spans="5:6">
      <c r="E1141" s="206"/>
      <c r="F1141" s="206"/>
    </row>
    <row r="1142" spans="5:6">
      <c r="E1142" s="206"/>
      <c r="F1142" s="206"/>
    </row>
    <row r="1143" spans="5:6">
      <c r="E1143" s="206"/>
      <c r="F1143" s="206"/>
    </row>
    <row r="1144" spans="5:6">
      <c r="E1144" s="206"/>
      <c r="F1144" s="206"/>
    </row>
    <row r="1145" spans="5:6">
      <c r="E1145" s="206"/>
      <c r="F1145" s="206"/>
    </row>
    <row r="1146" spans="5:6">
      <c r="E1146" s="206"/>
      <c r="F1146" s="206"/>
    </row>
    <row r="1147" spans="5:6">
      <c r="E1147" s="206"/>
      <c r="F1147" s="206"/>
    </row>
    <row r="1148" spans="5:6">
      <c r="E1148" s="206"/>
      <c r="F1148" s="206"/>
    </row>
    <row r="1149" spans="5:6">
      <c r="E1149" s="206"/>
      <c r="F1149" s="206"/>
    </row>
    <row r="1150" spans="5:6">
      <c r="E1150" s="206"/>
      <c r="F1150" s="206"/>
    </row>
    <row r="1151" spans="5:6">
      <c r="E1151" s="206"/>
      <c r="F1151" s="206"/>
    </row>
    <row r="1152" spans="5:6">
      <c r="E1152" s="206"/>
      <c r="F1152" s="206"/>
    </row>
    <row r="1153" spans="5:6">
      <c r="E1153" s="206"/>
      <c r="F1153" s="206"/>
    </row>
    <row r="1154" spans="5:6">
      <c r="E1154" s="206"/>
      <c r="F1154" s="206"/>
    </row>
    <row r="1155" spans="5:6">
      <c r="E1155" s="206"/>
      <c r="F1155" s="206"/>
    </row>
    <row r="1156" spans="5:6">
      <c r="E1156" s="206"/>
      <c r="F1156" s="206"/>
    </row>
    <row r="1157" spans="5:6">
      <c r="E1157" s="206"/>
      <c r="F1157" s="206"/>
    </row>
    <row r="1158" spans="5:6">
      <c r="E1158" s="206"/>
      <c r="F1158" s="206"/>
    </row>
    <row r="1159" spans="5:6">
      <c r="E1159" s="206"/>
      <c r="F1159" s="206"/>
    </row>
    <row r="1160" spans="5:6">
      <c r="E1160" s="206"/>
      <c r="F1160" s="206"/>
    </row>
    <row r="1161" spans="5:6">
      <c r="E1161" s="206"/>
      <c r="F1161" s="206"/>
    </row>
    <row r="1162" spans="5:6">
      <c r="E1162" s="206"/>
      <c r="F1162" s="206"/>
    </row>
    <row r="1163" spans="5:6">
      <c r="E1163" s="206"/>
      <c r="F1163" s="206"/>
    </row>
    <row r="1164" spans="5:6">
      <c r="E1164" s="206"/>
      <c r="F1164" s="206"/>
    </row>
    <row r="1165" spans="5:6">
      <c r="E1165" s="206"/>
      <c r="F1165" s="206"/>
    </row>
    <row r="1166" spans="5:6">
      <c r="E1166" s="206"/>
      <c r="F1166" s="206"/>
    </row>
    <row r="1167" spans="5:6">
      <c r="E1167" s="206"/>
      <c r="F1167" s="206"/>
    </row>
    <row r="1168" spans="5:6">
      <c r="E1168" s="206"/>
      <c r="F1168" s="206"/>
    </row>
    <row r="1169" spans="5:6">
      <c r="E1169" s="206"/>
      <c r="F1169" s="206"/>
    </row>
    <row r="1170" spans="5:6">
      <c r="E1170" s="206"/>
      <c r="F1170" s="206"/>
    </row>
    <row r="1171" spans="5:6">
      <c r="E1171" s="206"/>
      <c r="F1171" s="206"/>
    </row>
    <row r="1172" spans="5:6">
      <c r="E1172" s="206"/>
      <c r="F1172" s="206"/>
    </row>
    <row r="1173" spans="5:6">
      <c r="E1173" s="206"/>
      <c r="F1173" s="206"/>
    </row>
    <row r="1174" spans="5:6">
      <c r="E1174" s="206"/>
      <c r="F1174" s="206"/>
    </row>
    <row r="1175" spans="5:6">
      <c r="E1175" s="206"/>
      <c r="F1175" s="206"/>
    </row>
    <row r="1176" spans="5:6">
      <c r="E1176" s="206"/>
      <c r="F1176" s="206"/>
    </row>
    <row r="1177" spans="5:6">
      <c r="E1177" s="206"/>
      <c r="F1177" s="206"/>
    </row>
    <row r="1178" spans="5:6">
      <c r="E1178" s="206"/>
      <c r="F1178" s="206"/>
    </row>
    <row r="1179" spans="5:6">
      <c r="E1179" s="206"/>
      <c r="F1179" s="206"/>
    </row>
    <row r="1180" spans="5:6">
      <c r="E1180" s="206"/>
      <c r="F1180" s="206"/>
    </row>
    <row r="1181" spans="5:6">
      <c r="E1181" s="206"/>
      <c r="F1181" s="206"/>
    </row>
    <row r="1182" spans="5:6">
      <c r="E1182" s="206"/>
      <c r="F1182" s="206"/>
    </row>
    <row r="1183" spans="5:6">
      <c r="E1183" s="206"/>
      <c r="F1183" s="206"/>
    </row>
    <row r="1184" spans="5:6">
      <c r="E1184" s="206"/>
      <c r="F1184" s="206"/>
    </row>
    <row r="1185" spans="5:6">
      <c r="E1185" s="206"/>
      <c r="F1185" s="206"/>
    </row>
    <row r="1186" spans="5:6">
      <c r="E1186" s="206"/>
      <c r="F1186" s="206"/>
    </row>
    <row r="1187" spans="5:6">
      <c r="E1187" s="206"/>
      <c r="F1187" s="206"/>
    </row>
    <row r="1188" spans="5:6">
      <c r="E1188" s="206"/>
      <c r="F1188" s="206"/>
    </row>
    <row r="1189" spans="5:6">
      <c r="E1189" s="206"/>
      <c r="F1189" s="206"/>
    </row>
    <row r="1190" spans="5:6">
      <c r="E1190" s="206"/>
      <c r="F1190" s="206"/>
    </row>
    <row r="1191" spans="5:6">
      <c r="E1191" s="206"/>
      <c r="F1191" s="206"/>
    </row>
    <row r="1192" spans="5:6">
      <c r="E1192" s="206"/>
      <c r="F1192" s="206"/>
    </row>
    <row r="1193" spans="5:6">
      <c r="E1193" s="206"/>
      <c r="F1193" s="206"/>
    </row>
    <row r="1194" spans="5:6">
      <c r="E1194" s="206"/>
      <c r="F1194" s="206"/>
    </row>
    <row r="1195" spans="5:6">
      <c r="E1195" s="206"/>
      <c r="F1195" s="206"/>
    </row>
    <row r="1196" spans="5:6">
      <c r="E1196" s="206"/>
      <c r="F1196" s="206"/>
    </row>
    <row r="1197" spans="5:6">
      <c r="E1197" s="206"/>
      <c r="F1197" s="206"/>
    </row>
    <row r="1198" spans="5:6">
      <c r="E1198" s="206"/>
      <c r="F1198" s="206"/>
    </row>
    <row r="1199" spans="5:6">
      <c r="E1199" s="206"/>
      <c r="F1199" s="206"/>
    </row>
    <row r="1200" spans="5:6">
      <c r="E1200" s="206"/>
      <c r="F1200" s="206"/>
    </row>
    <row r="1201" spans="5:6">
      <c r="E1201" s="206"/>
      <c r="F1201" s="206"/>
    </row>
    <row r="1202" spans="5:6">
      <c r="E1202" s="206"/>
      <c r="F1202" s="206"/>
    </row>
    <row r="1203" spans="5:6">
      <c r="E1203" s="206"/>
      <c r="F1203" s="206"/>
    </row>
    <row r="1204" spans="5:6">
      <c r="E1204" s="206"/>
      <c r="F1204" s="206"/>
    </row>
    <row r="1205" spans="5:6">
      <c r="E1205" s="206"/>
      <c r="F1205" s="206"/>
    </row>
    <row r="1206" spans="5:6">
      <c r="E1206" s="206"/>
      <c r="F1206" s="206"/>
    </row>
    <row r="1207" spans="5:6">
      <c r="E1207" s="206"/>
      <c r="F1207" s="206"/>
    </row>
    <row r="1208" spans="5:6">
      <c r="E1208" s="206"/>
      <c r="F1208" s="206"/>
    </row>
    <row r="1209" spans="5:6">
      <c r="E1209" s="206"/>
      <c r="F1209" s="206"/>
    </row>
    <row r="1210" spans="5:6">
      <c r="E1210" s="206"/>
      <c r="F1210" s="206"/>
    </row>
    <row r="1211" spans="5:6">
      <c r="E1211" s="206"/>
      <c r="F1211" s="206"/>
    </row>
    <row r="1212" spans="5:6">
      <c r="E1212" s="206"/>
      <c r="F1212" s="206"/>
    </row>
    <row r="1213" spans="5:6">
      <c r="E1213" s="206"/>
      <c r="F1213" s="206"/>
    </row>
    <row r="1214" spans="5:6">
      <c r="E1214" s="206"/>
      <c r="F1214" s="206"/>
    </row>
    <row r="1215" spans="5:6">
      <c r="E1215" s="206"/>
      <c r="F1215" s="206"/>
    </row>
    <row r="1216" spans="5:6">
      <c r="E1216" s="206"/>
      <c r="F1216" s="206"/>
    </row>
    <row r="1217" spans="5:6">
      <c r="E1217" s="206"/>
      <c r="F1217" s="206"/>
    </row>
    <row r="1218" spans="5:6">
      <c r="E1218" s="206"/>
      <c r="F1218" s="206"/>
    </row>
    <row r="1219" spans="5:6">
      <c r="E1219" s="206"/>
      <c r="F1219" s="206"/>
    </row>
    <row r="1220" spans="5:6">
      <c r="E1220" s="206"/>
      <c r="F1220" s="206"/>
    </row>
    <row r="1221" spans="5:6">
      <c r="E1221" s="206"/>
      <c r="F1221" s="206"/>
    </row>
    <row r="1222" spans="5:6">
      <c r="E1222" s="206"/>
      <c r="F1222" s="206"/>
    </row>
    <row r="1223" spans="5:6">
      <c r="E1223" s="206"/>
      <c r="F1223" s="206"/>
    </row>
    <row r="1224" spans="5:6">
      <c r="E1224" s="206"/>
      <c r="F1224" s="206"/>
    </row>
    <row r="1225" spans="5:6">
      <c r="E1225" s="206"/>
      <c r="F1225" s="206"/>
    </row>
    <row r="1226" spans="5:6">
      <c r="E1226" s="206"/>
      <c r="F1226" s="206"/>
    </row>
    <row r="1227" spans="5:6">
      <c r="E1227" s="206"/>
      <c r="F1227" s="206"/>
    </row>
    <row r="1228" spans="5:6">
      <c r="E1228" s="206"/>
      <c r="F1228" s="206"/>
    </row>
    <row r="1229" spans="5:6">
      <c r="E1229" s="206"/>
      <c r="F1229" s="206"/>
    </row>
    <row r="1230" spans="5:6">
      <c r="E1230" s="206"/>
      <c r="F1230" s="206"/>
    </row>
    <row r="1231" spans="5:6">
      <c r="E1231" s="206"/>
      <c r="F1231" s="206"/>
    </row>
    <row r="1232" spans="5:6">
      <c r="E1232" s="206"/>
      <c r="F1232" s="206"/>
    </row>
    <row r="1233" spans="5:6">
      <c r="E1233" s="206"/>
      <c r="F1233" s="206"/>
    </row>
    <row r="1234" spans="5:6">
      <c r="E1234" s="206"/>
      <c r="F1234" s="206"/>
    </row>
    <row r="1235" spans="5:6">
      <c r="E1235" s="206"/>
      <c r="F1235" s="206"/>
    </row>
    <row r="1236" spans="5:6">
      <c r="E1236" s="206"/>
      <c r="F1236" s="206"/>
    </row>
    <row r="1237" spans="5:6">
      <c r="E1237" s="206"/>
      <c r="F1237" s="206"/>
    </row>
    <row r="1238" spans="5:6">
      <c r="E1238" s="206"/>
      <c r="F1238" s="206"/>
    </row>
    <row r="1239" spans="5:6">
      <c r="E1239" s="206"/>
      <c r="F1239" s="206"/>
    </row>
    <row r="1240" spans="5:6">
      <c r="E1240" s="206"/>
      <c r="F1240" s="206"/>
    </row>
    <row r="1241" spans="5:6">
      <c r="E1241" s="206"/>
      <c r="F1241" s="206"/>
    </row>
    <row r="1242" spans="5:6">
      <c r="E1242" s="206"/>
      <c r="F1242" s="206"/>
    </row>
    <row r="1243" spans="5:6">
      <c r="E1243" s="206"/>
      <c r="F1243" s="206"/>
    </row>
    <row r="1244" spans="5:6">
      <c r="E1244" s="206"/>
      <c r="F1244" s="206"/>
    </row>
    <row r="1245" spans="5:6">
      <c r="E1245" s="206"/>
      <c r="F1245" s="206"/>
    </row>
    <row r="1246" spans="5:6">
      <c r="E1246" s="206"/>
      <c r="F1246" s="206"/>
    </row>
    <row r="1247" spans="5:6">
      <c r="E1247" s="206"/>
      <c r="F1247" s="206"/>
    </row>
    <row r="1248" spans="5:6">
      <c r="E1248" s="206"/>
      <c r="F1248" s="206"/>
    </row>
    <row r="1249" spans="5:6">
      <c r="E1249" s="206"/>
      <c r="F1249" s="206"/>
    </row>
    <row r="1250" spans="5:6">
      <c r="E1250" s="206"/>
      <c r="F1250" s="206"/>
    </row>
    <row r="1251" spans="5:6">
      <c r="E1251" s="206"/>
      <c r="F1251" s="206"/>
    </row>
    <row r="1252" spans="5:6">
      <c r="E1252" s="206"/>
      <c r="F1252" s="206"/>
    </row>
    <row r="1253" spans="5:6">
      <c r="E1253" s="206"/>
      <c r="F1253" s="206"/>
    </row>
    <row r="1254" spans="5:6">
      <c r="E1254" s="206"/>
      <c r="F1254" s="206"/>
    </row>
    <row r="1255" spans="5:6">
      <c r="E1255" s="206"/>
      <c r="F1255" s="206"/>
    </row>
    <row r="1256" spans="5:6">
      <c r="E1256" s="206"/>
      <c r="F1256" s="206"/>
    </row>
    <row r="1257" spans="5:6">
      <c r="E1257" s="206"/>
      <c r="F1257" s="206"/>
    </row>
    <row r="1258" spans="5:6">
      <c r="E1258" s="206"/>
      <c r="F1258" s="206"/>
    </row>
    <row r="1259" spans="5:6">
      <c r="E1259" s="206"/>
      <c r="F1259" s="206"/>
    </row>
    <row r="1260" spans="5:6">
      <c r="E1260" s="206"/>
      <c r="F1260" s="206"/>
    </row>
    <row r="1261" spans="5:6">
      <c r="E1261" s="206"/>
      <c r="F1261" s="206"/>
    </row>
    <row r="1262" spans="5:6">
      <c r="E1262" s="206"/>
      <c r="F1262" s="206"/>
    </row>
    <row r="1263" spans="5:6">
      <c r="E1263" s="206"/>
      <c r="F1263" s="206"/>
    </row>
    <row r="1264" spans="5:6">
      <c r="E1264" s="206"/>
      <c r="F1264" s="206"/>
    </row>
    <row r="1265" spans="5:6">
      <c r="E1265" s="206"/>
      <c r="F1265" s="206"/>
    </row>
    <row r="1266" spans="5:6">
      <c r="E1266" s="206"/>
      <c r="F1266" s="206"/>
    </row>
    <row r="1267" spans="5:6">
      <c r="E1267" s="206"/>
      <c r="F1267" s="206"/>
    </row>
    <row r="1268" spans="5:6">
      <c r="E1268" s="206"/>
      <c r="F1268" s="206"/>
    </row>
    <row r="1269" spans="5:6">
      <c r="E1269" s="206"/>
      <c r="F1269" s="206"/>
    </row>
    <row r="1270" spans="5:6">
      <c r="E1270" s="206"/>
      <c r="F1270" s="206"/>
    </row>
    <row r="1271" spans="5:6">
      <c r="E1271" s="206"/>
      <c r="F1271" s="206"/>
    </row>
    <row r="1272" spans="5:6">
      <c r="E1272" s="206"/>
      <c r="F1272" s="206"/>
    </row>
    <row r="1273" spans="5:6">
      <c r="E1273" s="206"/>
      <c r="F1273" s="206"/>
    </row>
    <row r="1274" spans="5:6">
      <c r="E1274" s="206"/>
      <c r="F1274" s="206"/>
    </row>
    <row r="1275" spans="5:6">
      <c r="E1275" s="206"/>
      <c r="F1275" s="206"/>
    </row>
    <row r="1276" spans="5:6">
      <c r="E1276" s="206"/>
      <c r="F1276" s="206"/>
    </row>
    <row r="1277" spans="5:6">
      <c r="E1277" s="206"/>
      <c r="F1277" s="206"/>
    </row>
    <row r="1278" spans="5:6">
      <c r="E1278" s="206"/>
      <c r="F1278" s="206"/>
    </row>
    <row r="1279" spans="5:6">
      <c r="E1279" s="206"/>
      <c r="F1279" s="206"/>
    </row>
    <row r="1280" spans="5:6">
      <c r="E1280" s="206"/>
      <c r="F1280" s="206"/>
    </row>
    <row r="1281" spans="5:6">
      <c r="E1281" s="206"/>
      <c r="F1281" s="206"/>
    </row>
    <row r="1282" spans="5:6">
      <c r="E1282" s="206"/>
      <c r="F1282" s="206"/>
    </row>
    <row r="1283" spans="5:6">
      <c r="E1283" s="206"/>
      <c r="F1283" s="206"/>
    </row>
    <row r="1284" spans="5:6">
      <c r="E1284" s="206"/>
      <c r="F1284" s="206"/>
    </row>
    <row r="1285" spans="5:6">
      <c r="E1285" s="206"/>
      <c r="F1285" s="206"/>
    </row>
    <row r="1286" spans="5:6">
      <c r="E1286" s="206"/>
      <c r="F1286" s="206"/>
    </row>
    <row r="1287" spans="5:6">
      <c r="E1287" s="206"/>
      <c r="F1287" s="206"/>
    </row>
    <row r="1288" spans="5:6">
      <c r="E1288" s="206"/>
      <c r="F1288" s="206"/>
    </row>
    <row r="1289" spans="5:6">
      <c r="E1289" s="206"/>
      <c r="F1289" s="206"/>
    </row>
    <row r="1290" spans="5:6">
      <c r="E1290" s="206"/>
      <c r="F1290" s="206"/>
    </row>
    <row r="1291" spans="5:6">
      <c r="E1291" s="206"/>
      <c r="F1291" s="206"/>
    </row>
    <row r="1292" spans="5:6">
      <c r="E1292" s="206"/>
      <c r="F1292" s="206"/>
    </row>
    <row r="1293" spans="5:6">
      <c r="E1293" s="206"/>
      <c r="F1293" s="206"/>
    </row>
    <row r="1294" spans="5:6">
      <c r="E1294" s="206"/>
      <c r="F1294" s="206"/>
    </row>
    <row r="1295" spans="5:6">
      <c r="E1295" s="206"/>
      <c r="F1295" s="206"/>
    </row>
    <row r="1296" spans="5:6">
      <c r="E1296" s="206"/>
      <c r="F1296" s="206"/>
    </row>
    <row r="1297" spans="5:6">
      <c r="E1297" s="206"/>
      <c r="F1297" s="206"/>
    </row>
    <row r="1298" spans="5:6">
      <c r="E1298" s="206"/>
      <c r="F1298" s="206"/>
    </row>
    <row r="1299" spans="5:6">
      <c r="E1299" s="206"/>
      <c r="F1299" s="206"/>
    </row>
    <row r="1300" spans="5:6">
      <c r="E1300" s="206"/>
      <c r="F1300" s="206"/>
    </row>
    <row r="1301" spans="5:6">
      <c r="E1301" s="206"/>
      <c r="F1301" s="206"/>
    </row>
    <row r="1302" spans="5:6">
      <c r="E1302" s="206"/>
      <c r="F1302" s="206"/>
    </row>
    <row r="1303" spans="5:6">
      <c r="E1303" s="206"/>
      <c r="F1303" s="206"/>
    </row>
    <row r="1304" spans="5:6">
      <c r="E1304" s="206"/>
      <c r="F1304" s="206"/>
    </row>
    <row r="1305" spans="5:6">
      <c r="E1305" s="206"/>
      <c r="F1305" s="206"/>
    </row>
    <row r="1306" spans="5:6">
      <c r="E1306" s="206"/>
      <c r="F1306" s="206"/>
    </row>
    <row r="1307" spans="5:6">
      <c r="E1307" s="206"/>
      <c r="F1307" s="206"/>
    </row>
    <row r="1308" spans="5:6">
      <c r="E1308" s="206"/>
      <c r="F1308" s="206"/>
    </row>
    <row r="1309" spans="5:6">
      <c r="E1309" s="206"/>
      <c r="F1309" s="206"/>
    </row>
    <row r="1310" spans="5:6">
      <c r="E1310" s="206"/>
      <c r="F1310" s="206"/>
    </row>
    <row r="1311" spans="5:6">
      <c r="E1311" s="206"/>
      <c r="F1311" s="206"/>
    </row>
    <row r="1312" spans="5:6">
      <c r="E1312" s="206"/>
      <c r="F1312" s="206"/>
    </row>
    <row r="1313" spans="5:6">
      <c r="E1313" s="206"/>
      <c r="F1313" s="206"/>
    </row>
    <row r="1314" spans="5:6">
      <c r="E1314" s="206"/>
      <c r="F1314" s="206"/>
    </row>
    <row r="1315" spans="5:6">
      <c r="E1315" s="206"/>
      <c r="F1315" s="206"/>
    </row>
    <row r="1316" spans="5:6">
      <c r="E1316" s="206"/>
      <c r="F1316" s="206"/>
    </row>
    <row r="1317" spans="5:6">
      <c r="E1317" s="206"/>
      <c r="F1317" s="206"/>
    </row>
    <row r="1318" spans="5:6">
      <c r="E1318" s="206"/>
      <c r="F1318" s="206"/>
    </row>
    <row r="1319" spans="5:6">
      <c r="E1319" s="206"/>
      <c r="F1319" s="206"/>
    </row>
    <row r="1320" spans="5:6">
      <c r="E1320" s="206"/>
      <c r="F1320" s="206"/>
    </row>
    <row r="1321" spans="5:6">
      <c r="E1321" s="206"/>
      <c r="F1321" s="206"/>
    </row>
    <row r="1322" spans="5:6">
      <c r="E1322" s="206"/>
      <c r="F1322" s="206"/>
    </row>
    <row r="1323" spans="5:6">
      <c r="E1323" s="206"/>
      <c r="F1323" s="206"/>
    </row>
    <row r="1324" spans="5:6">
      <c r="E1324" s="206"/>
      <c r="F1324" s="206"/>
    </row>
    <row r="1325" spans="5:6">
      <c r="E1325" s="206"/>
      <c r="F1325" s="206"/>
    </row>
    <row r="1326" spans="5:6">
      <c r="E1326" s="206"/>
      <c r="F1326" s="206"/>
    </row>
    <row r="1327" spans="5:6">
      <c r="E1327" s="206"/>
      <c r="F1327" s="206"/>
    </row>
    <row r="1328" spans="5:6">
      <c r="E1328" s="206"/>
      <c r="F1328" s="206"/>
    </row>
    <row r="1329" spans="5:6">
      <c r="E1329" s="206"/>
      <c r="F1329" s="206"/>
    </row>
    <row r="1330" spans="5:6">
      <c r="E1330" s="206"/>
      <c r="F1330" s="206"/>
    </row>
    <row r="1331" spans="5:6">
      <c r="E1331" s="206"/>
      <c r="F1331" s="206"/>
    </row>
    <row r="1332" spans="5:6">
      <c r="E1332" s="206"/>
      <c r="F1332" s="206"/>
    </row>
    <row r="1333" spans="5:6">
      <c r="E1333" s="206"/>
      <c r="F1333" s="206"/>
    </row>
    <row r="1334" spans="5:6">
      <c r="E1334" s="206"/>
      <c r="F1334" s="206"/>
    </row>
    <row r="1335" spans="5:6">
      <c r="E1335" s="206"/>
      <c r="F1335" s="206"/>
    </row>
    <row r="1336" spans="5:6">
      <c r="E1336" s="206"/>
      <c r="F1336" s="206"/>
    </row>
    <row r="1337" spans="5:6">
      <c r="E1337" s="206"/>
      <c r="F1337" s="206"/>
    </row>
    <row r="1338" spans="5:6">
      <c r="E1338" s="206"/>
      <c r="F1338" s="206"/>
    </row>
    <row r="1339" spans="5:6">
      <c r="E1339" s="206"/>
      <c r="F1339" s="206"/>
    </row>
    <row r="1340" spans="5:6">
      <c r="E1340" s="206"/>
      <c r="F1340" s="206"/>
    </row>
    <row r="1341" spans="5:6">
      <c r="E1341" s="206"/>
      <c r="F1341" s="206"/>
    </row>
    <row r="1342" spans="5:6">
      <c r="E1342" s="206"/>
      <c r="F1342" s="206"/>
    </row>
    <row r="1343" spans="5:6">
      <c r="E1343" s="206"/>
      <c r="F1343" s="206"/>
    </row>
    <row r="1344" spans="5:6">
      <c r="E1344" s="206"/>
      <c r="F1344" s="206"/>
    </row>
    <row r="1345" spans="5:6">
      <c r="E1345" s="206"/>
      <c r="F1345" s="206"/>
    </row>
    <row r="1346" spans="5:6">
      <c r="E1346" s="206"/>
      <c r="F1346" s="206"/>
    </row>
    <row r="1347" spans="5:6">
      <c r="E1347" s="206"/>
      <c r="F1347" s="206"/>
    </row>
    <row r="1348" spans="5:6">
      <c r="E1348" s="206"/>
      <c r="F1348" s="206"/>
    </row>
    <row r="1349" spans="5:6">
      <c r="E1349" s="206"/>
      <c r="F1349" s="206"/>
    </row>
    <row r="1350" spans="5:6">
      <c r="E1350" s="206"/>
      <c r="F1350" s="206"/>
    </row>
    <row r="1351" spans="5:6">
      <c r="E1351" s="206"/>
      <c r="F1351" s="206"/>
    </row>
    <row r="1352" spans="5:6">
      <c r="E1352" s="206"/>
      <c r="F1352" s="206"/>
    </row>
    <row r="1353" spans="5:6">
      <c r="E1353" s="206"/>
      <c r="F1353" s="206"/>
    </row>
    <row r="1354" spans="5:6">
      <c r="E1354" s="206"/>
      <c r="F1354" s="206"/>
    </row>
    <row r="1355" spans="5:6">
      <c r="E1355" s="206"/>
      <c r="F1355" s="206"/>
    </row>
    <row r="1356" spans="5:6">
      <c r="E1356" s="206"/>
      <c r="F1356" s="206"/>
    </row>
    <row r="1357" spans="5:6">
      <c r="E1357" s="206"/>
      <c r="F1357" s="206"/>
    </row>
    <row r="1358" spans="5:6">
      <c r="E1358" s="206"/>
      <c r="F1358" s="206"/>
    </row>
    <row r="1359" spans="5:6">
      <c r="E1359" s="206"/>
      <c r="F1359" s="206"/>
    </row>
    <row r="1360" spans="5:6">
      <c r="E1360" s="206"/>
      <c r="F1360" s="206"/>
    </row>
    <row r="1361" spans="5:6">
      <c r="E1361" s="206"/>
      <c r="F1361" s="206"/>
    </row>
    <row r="1362" spans="5:6">
      <c r="E1362" s="206"/>
      <c r="F1362" s="206"/>
    </row>
    <row r="1363" spans="5:6">
      <c r="E1363" s="206"/>
      <c r="F1363" s="206"/>
    </row>
    <row r="1364" spans="5:6">
      <c r="E1364" s="206"/>
      <c r="F1364" s="206"/>
    </row>
    <row r="1365" spans="5:6">
      <c r="E1365" s="206"/>
      <c r="F1365" s="206"/>
    </row>
    <row r="1366" spans="5:6">
      <c r="E1366" s="206"/>
      <c r="F1366" s="206"/>
    </row>
    <row r="1367" spans="5:6">
      <c r="E1367" s="206"/>
      <c r="F1367" s="206"/>
    </row>
    <row r="1368" spans="5:6">
      <c r="E1368" s="206"/>
      <c r="F1368" s="206"/>
    </row>
    <row r="1369" spans="5:6">
      <c r="E1369" s="206"/>
      <c r="F1369" s="206"/>
    </row>
    <row r="1370" spans="5:6">
      <c r="E1370" s="206"/>
      <c r="F1370" s="206"/>
    </row>
    <row r="1371" spans="5:6">
      <c r="E1371" s="206"/>
      <c r="F1371" s="206"/>
    </row>
    <row r="1372" spans="5:6">
      <c r="E1372" s="206"/>
      <c r="F1372" s="206"/>
    </row>
    <row r="1373" spans="5:6">
      <c r="E1373" s="206"/>
      <c r="F1373" s="206"/>
    </row>
    <row r="1374" spans="5:6">
      <c r="E1374" s="206"/>
      <c r="F1374" s="206"/>
    </row>
    <row r="1375" spans="5:6">
      <c r="E1375" s="206"/>
      <c r="F1375" s="206"/>
    </row>
    <row r="1376" spans="5:6">
      <c r="E1376" s="206"/>
      <c r="F1376" s="206"/>
    </row>
    <row r="1377" spans="5:6">
      <c r="E1377" s="206"/>
      <c r="F1377" s="206"/>
    </row>
    <row r="1378" spans="5:6">
      <c r="E1378" s="206"/>
      <c r="F1378" s="206"/>
    </row>
    <row r="1379" spans="5:6">
      <c r="E1379" s="206"/>
      <c r="F1379" s="206"/>
    </row>
    <row r="1380" spans="5:6">
      <c r="E1380" s="206"/>
      <c r="F1380" s="206"/>
    </row>
    <row r="1381" spans="5:6">
      <c r="E1381" s="206"/>
      <c r="F1381" s="206"/>
    </row>
    <row r="1382" spans="5:6">
      <c r="E1382" s="206"/>
      <c r="F1382" s="206"/>
    </row>
    <row r="1383" spans="5:6">
      <c r="E1383" s="206"/>
      <c r="F1383" s="206"/>
    </row>
    <row r="1384" spans="5:6">
      <c r="E1384" s="206"/>
      <c r="F1384" s="206"/>
    </row>
    <row r="1385" spans="5:6">
      <c r="E1385" s="206"/>
      <c r="F1385" s="206"/>
    </row>
    <row r="1386" spans="5:6">
      <c r="E1386" s="206"/>
      <c r="F1386" s="206"/>
    </row>
    <row r="1387" spans="5:6">
      <c r="E1387" s="206"/>
      <c r="F1387" s="206"/>
    </row>
    <row r="1388" spans="5:6">
      <c r="E1388" s="206"/>
      <c r="F1388" s="206"/>
    </row>
    <row r="1389" spans="5:6">
      <c r="E1389" s="206"/>
      <c r="F1389" s="206"/>
    </row>
    <row r="1390" spans="5:6">
      <c r="E1390" s="206"/>
      <c r="F1390" s="206"/>
    </row>
    <row r="1391" spans="5:6">
      <c r="E1391" s="206"/>
      <c r="F1391" s="206"/>
    </row>
    <row r="1392" spans="5:6">
      <c r="E1392" s="206"/>
      <c r="F1392" s="206"/>
    </row>
    <row r="1393" spans="5:6">
      <c r="E1393" s="206"/>
      <c r="F1393" s="206"/>
    </row>
    <row r="1394" spans="5:6">
      <c r="E1394" s="206"/>
      <c r="F1394" s="206"/>
    </row>
    <row r="1395" spans="5:6">
      <c r="E1395" s="206"/>
      <c r="F1395" s="206"/>
    </row>
    <row r="1396" spans="5:6">
      <c r="E1396" s="206"/>
      <c r="F1396" s="206"/>
    </row>
    <row r="1397" spans="5:6">
      <c r="E1397" s="206"/>
      <c r="F1397" s="206"/>
    </row>
    <row r="1398" spans="5:6">
      <c r="E1398" s="206"/>
      <c r="F1398" s="206"/>
    </row>
    <row r="1399" spans="5:6">
      <c r="E1399" s="206"/>
      <c r="F1399" s="206"/>
    </row>
    <row r="1400" spans="5:6">
      <c r="E1400" s="206"/>
      <c r="F1400" s="206"/>
    </row>
    <row r="1401" spans="5:6">
      <c r="E1401" s="206"/>
      <c r="F1401" s="206"/>
    </row>
    <row r="1402" spans="5:6">
      <c r="E1402" s="206"/>
      <c r="F1402" s="206"/>
    </row>
    <row r="1403" spans="5:6">
      <c r="E1403" s="206"/>
      <c r="F1403" s="206"/>
    </row>
    <row r="1404" spans="5:6">
      <c r="E1404" s="206"/>
      <c r="F1404" s="206"/>
    </row>
    <row r="1405" spans="5:6">
      <c r="E1405" s="206"/>
      <c r="F1405" s="206"/>
    </row>
    <row r="1406" spans="5:6">
      <c r="E1406" s="206"/>
      <c r="F1406" s="206"/>
    </row>
    <row r="1407" spans="5:6">
      <c r="E1407" s="206"/>
      <c r="F1407" s="206"/>
    </row>
    <row r="1408" spans="5:6">
      <c r="E1408" s="206"/>
      <c r="F1408" s="206"/>
    </row>
    <row r="1409" spans="5:6">
      <c r="E1409" s="206"/>
      <c r="F1409" s="206"/>
    </row>
    <row r="1410" spans="5:6">
      <c r="E1410" s="206"/>
      <c r="F1410" s="206"/>
    </row>
    <row r="1411" spans="5:6">
      <c r="E1411" s="206"/>
      <c r="F1411" s="206"/>
    </row>
    <row r="1412" spans="5:6">
      <c r="E1412" s="206"/>
      <c r="F1412" s="206"/>
    </row>
    <row r="1413" spans="5:6">
      <c r="E1413" s="206"/>
      <c r="F1413" s="206"/>
    </row>
    <row r="1414" spans="5:6">
      <c r="E1414" s="206"/>
      <c r="F1414" s="206"/>
    </row>
    <row r="1415" spans="5:6">
      <c r="E1415" s="206"/>
      <c r="F1415" s="206"/>
    </row>
    <row r="1416" spans="5:6">
      <c r="E1416" s="206"/>
      <c r="F1416" s="206"/>
    </row>
    <row r="1417" spans="5:6">
      <c r="E1417" s="206"/>
      <c r="F1417" s="206"/>
    </row>
    <row r="1418" spans="5:6">
      <c r="E1418" s="206"/>
      <c r="F1418" s="206"/>
    </row>
    <row r="1419" spans="5:6">
      <c r="E1419" s="206"/>
      <c r="F1419" s="206"/>
    </row>
    <row r="1420" spans="5:6">
      <c r="E1420" s="206"/>
      <c r="F1420" s="206"/>
    </row>
    <row r="1421" spans="5:6">
      <c r="E1421" s="206"/>
      <c r="F1421" s="206"/>
    </row>
    <row r="1422" spans="5:6">
      <c r="E1422" s="206"/>
      <c r="F1422" s="206"/>
    </row>
    <row r="1423" spans="5:6">
      <c r="E1423" s="206"/>
      <c r="F1423" s="206"/>
    </row>
    <row r="1424" spans="5:6">
      <c r="E1424" s="206"/>
      <c r="F1424" s="206"/>
    </row>
    <row r="1425" spans="5:6">
      <c r="E1425" s="206"/>
      <c r="F1425" s="206"/>
    </row>
    <row r="1426" spans="5:6">
      <c r="E1426" s="206"/>
      <c r="F1426" s="206"/>
    </row>
    <row r="1427" spans="5:6">
      <c r="E1427" s="206"/>
      <c r="F1427" s="206"/>
    </row>
    <row r="1428" spans="5:6">
      <c r="E1428" s="206"/>
      <c r="F1428" s="206"/>
    </row>
    <row r="1429" spans="5:6">
      <c r="E1429" s="206"/>
      <c r="F1429" s="206"/>
    </row>
    <row r="1430" spans="5:6">
      <c r="E1430" s="206"/>
      <c r="F1430" s="206"/>
    </row>
    <row r="1431" spans="5:6">
      <c r="E1431" s="206"/>
      <c r="F1431" s="206"/>
    </row>
    <row r="1432" spans="5:6">
      <c r="E1432" s="206"/>
      <c r="F1432" s="206"/>
    </row>
    <row r="1433" spans="5:6">
      <c r="E1433" s="206"/>
      <c r="F1433" s="206"/>
    </row>
    <row r="1434" spans="5:6">
      <c r="E1434" s="206"/>
      <c r="F1434" s="206"/>
    </row>
    <row r="1435" spans="5:6">
      <c r="E1435" s="206"/>
      <c r="F1435" s="206"/>
    </row>
    <row r="1436" spans="5:6">
      <c r="E1436" s="206"/>
      <c r="F1436" s="206"/>
    </row>
    <row r="1437" spans="5:6">
      <c r="E1437" s="206"/>
      <c r="F1437" s="206"/>
    </row>
    <row r="1438" spans="5:6">
      <c r="E1438" s="206"/>
      <c r="F1438" s="206"/>
    </row>
    <row r="1439" spans="5:6">
      <c r="E1439" s="206"/>
      <c r="F1439" s="206"/>
    </row>
    <row r="1440" spans="5:6">
      <c r="E1440" s="206"/>
      <c r="F1440" s="206"/>
    </row>
    <row r="1441" spans="5:6">
      <c r="E1441" s="206"/>
      <c r="F1441" s="206"/>
    </row>
    <row r="1442" spans="5:6">
      <c r="E1442" s="206"/>
      <c r="F1442" s="206"/>
    </row>
    <row r="1443" spans="5:6">
      <c r="E1443" s="206"/>
      <c r="F1443" s="206"/>
    </row>
    <row r="1444" spans="5:6">
      <c r="E1444" s="206"/>
      <c r="F1444" s="206"/>
    </row>
    <row r="1445" spans="5:6">
      <c r="E1445" s="206"/>
      <c r="F1445" s="206"/>
    </row>
    <row r="1446" spans="5:6">
      <c r="E1446" s="206"/>
      <c r="F1446" s="206"/>
    </row>
    <row r="1447" spans="5:6">
      <c r="E1447" s="206"/>
      <c r="F1447" s="206"/>
    </row>
    <row r="1448" spans="5:6">
      <c r="E1448" s="206"/>
      <c r="F1448" s="206"/>
    </row>
    <row r="1449" spans="5:6">
      <c r="E1449" s="206"/>
      <c r="F1449" s="206"/>
    </row>
    <row r="1450" spans="5:6">
      <c r="E1450" s="206"/>
      <c r="F1450" s="206"/>
    </row>
    <row r="1451" spans="5:6">
      <c r="E1451" s="206"/>
      <c r="F1451" s="206"/>
    </row>
    <row r="1452" spans="5:6">
      <c r="E1452" s="206"/>
      <c r="F1452" s="206"/>
    </row>
    <row r="1453" spans="5:6">
      <c r="E1453" s="206"/>
      <c r="F1453" s="206"/>
    </row>
    <row r="1454" spans="5:6">
      <c r="E1454" s="206"/>
      <c r="F1454" s="206"/>
    </row>
    <row r="1455" spans="5:6">
      <c r="E1455" s="206"/>
      <c r="F1455" s="206"/>
    </row>
    <row r="1456" spans="5:6">
      <c r="E1456" s="206"/>
      <c r="F1456" s="206"/>
    </row>
    <row r="1457" spans="5:6">
      <c r="E1457" s="206"/>
      <c r="F1457" s="206"/>
    </row>
    <row r="1458" spans="5:6">
      <c r="E1458" s="206"/>
      <c r="F1458" s="206"/>
    </row>
    <row r="1459" spans="5:6">
      <c r="E1459" s="206"/>
      <c r="F1459" s="206"/>
    </row>
    <row r="1460" spans="5:6">
      <c r="E1460" s="206"/>
      <c r="F1460" s="206"/>
    </row>
    <row r="1461" spans="5:6">
      <c r="E1461" s="206"/>
      <c r="F1461" s="206"/>
    </row>
    <row r="1462" spans="5:6">
      <c r="E1462" s="206"/>
      <c r="F1462" s="206"/>
    </row>
    <row r="1463" spans="5:6">
      <c r="E1463" s="206"/>
      <c r="F1463" s="206"/>
    </row>
    <row r="1464" spans="5:6">
      <c r="E1464" s="206"/>
      <c r="F1464" s="206"/>
    </row>
    <row r="1465" spans="5:6">
      <c r="E1465" s="206"/>
      <c r="F1465" s="206"/>
    </row>
    <row r="1466" spans="5:6">
      <c r="E1466" s="206"/>
      <c r="F1466" s="206"/>
    </row>
    <row r="1467" spans="5:6">
      <c r="E1467" s="206"/>
      <c r="F1467" s="206"/>
    </row>
    <row r="1468" spans="5:6">
      <c r="E1468" s="206"/>
      <c r="F1468" s="206"/>
    </row>
    <row r="1469" spans="5:6">
      <c r="E1469" s="206"/>
      <c r="F1469" s="206"/>
    </row>
    <row r="1470" spans="5:6">
      <c r="E1470" s="206"/>
      <c r="F1470" s="206"/>
    </row>
    <row r="1471" spans="5:6">
      <c r="E1471" s="206"/>
      <c r="F1471" s="206"/>
    </row>
    <row r="1472" spans="5:6">
      <c r="E1472" s="206"/>
      <c r="F1472" s="206"/>
    </row>
    <row r="1473" spans="5:6">
      <c r="E1473" s="206"/>
      <c r="F1473" s="206"/>
    </row>
    <row r="1474" spans="5:6">
      <c r="E1474" s="206"/>
      <c r="F1474" s="206"/>
    </row>
    <row r="1475" spans="5:6">
      <c r="E1475" s="206"/>
      <c r="F1475" s="206"/>
    </row>
    <row r="1476" spans="5:6">
      <c r="E1476" s="206"/>
      <c r="F1476" s="206"/>
    </row>
    <row r="1477" spans="5:6">
      <c r="E1477" s="206"/>
      <c r="F1477" s="206"/>
    </row>
    <row r="1478" spans="5:6">
      <c r="E1478" s="206"/>
      <c r="F1478" s="206"/>
    </row>
    <row r="1479" spans="5:6">
      <c r="E1479" s="206"/>
      <c r="F1479" s="206"/>
    </row>
    <row r="1480" spans="5:6">
      <c r="E1480" s="206"/>
      <c r="F1480" s="206"/>
    </row>
    <row r="1481" spans="5:6">
      <c r="E1481" s="206"/>
      <c r="F1481" s="206"/>
    </row>
    <row r="1482" spans="5:6">
      <c r="E1482" s="206"/>
      <c r="F1482" s="206"/>
    </row>
    <row r="1483" spans="5:6">
      <c r="E1483" s="206"/>
      <c r="F1483" s="206"/>
    </row>
    <row r="1484" spans="5:6">
      <c r="E1484" s="206"/>
      <c r="F1484" s="206"/>
    </row>
    <row r="1485" spans="5:6">
      <c r="E1485" s="206"/>
      <c r="F1485" s="206"/>
    </row>
    <row r="1486" spans="5:6">
      <c r="E1486" s="206"/>
      <c r="F1486" s="206"/>
    </row>
    <row r="1487" spans="5:6">
      <c r="E1487" s="206"/>
      <c r="F1487" s="206"/>
    </row>
    <row r="1488" spans="5:6">
      <c r="E1488" s="206"/>
      <c r="F1488" s="206"/>
    </row>
    <row r="1489" spans="5:6">
      <c r="E1489" s="206"/>
      <c r="F1489" s="206"/>
    </row>
    <row r="1490" spans="5:6">
      <c r="E1490" s="206"/>
      <c r="F1490" s="206"/>
    </row>
    <row r="1491" spans="5:6">
      <c r="E1491" s="206"/>
      <c r="F1491" s="206"/>
    </row>
    <row r="1492" spans="5:6">
      <c r="E1492" s="206"/>
      <c r="F1492" s="206"/>
    </row>
    <row r="1493" spans="5:6">
      <c r="E1493" s="206"/>
      <c r="F1493" s="206"/>
    </row>
    <row r="1494" spans="5:6">
      <c r="E1494" s="206"/>
      <c r="F1494" s="206"/>
    </row>
    <row r="1495" spans="5:6">
      <c r="E1495" s="206"/>
      <c r="F1495" s="206"/>
    </row>
    <row r="1496" spans="5:6">
      <c r="E1496" s="206"/>
      <c r="F1496" s="206"/>
    </row>
    <row r="1497" spans="5:6">
      <c r="E1497" s="206"/>
      <c r="F1497" s="206"/>
    </row>
    <row r="1498" spans="5:6">
      <c r="E1498" s="206"/>
      <c r="F1498" s="206"/>
    </row>
    <row r="1499" spans="5:6">
      <c r="E1499" s="206"/>
      <c r="F1499" s="206"/>
    </row>
    <row r="1500" spans="5:6">
      <c r="E1500" s="206"/>
      <c r="F1500" s="206"/>
    </row>
    <row r="1501" spans="5:6">
      <c r="E1501" s="206"/>
      <c r="F1501" s="206"/>
    </row>
    <row r="1502" spans="5:6">
      <c r="E1502" s="206"/>
      <c r="F1502" s="206"/>
    </row>
    <row r="1503" spans="5:6">
      <c r="E1503" s="206"/>
      <c r="F1503" s="206"/>
    </row>
    <row r="1504" spans="5:6">
      <c r="E1504" s="206"/>
      <c r="F1504" s="206"/>
    </row>
    <row r="1505" spans="5:6">
      <c r="E1505" s="206"/>
      <c r="F1505" s="206"/>
    </row>
    <row r="1506" spans="5:6">
      <c r="E1506" s="206"/>
      <c r="F1506" s="206"/>
    </row>
    <row r="1507" spans="5:6">
      <c r="E1507" s="206"/>
      <c r="F1507" s="206"/>
    </row>
    <row r="1508" spans="5:6">
      <c r="E1508" s="206"/>
      <c r="F1508" s="206"/>
    </row>
    <row r="1509" spans="5:6">
      <c r="E1509" s="206"/>
      <c r="F1509" s="206"/>
    </row>
    <row r="1510" spans="5:6">
      <c r="E1510" s="206"/>
      <c r="F1510" s="206"/>
    </row>
    <row r="1511" spans="5:6">
      <c r="E1511" s="206"/>
      <c r="F1511" s="206"/>
    </row>
    <row r="1512" spans="5:6">
      <c r="E1512" s="206"/>
      <c r="F1512" s="206"/>
    </row>
    <row r="1513" spans="5:6">
      <c r="E1513" s="206"/>
      <c r="F1513" s="206"/>
    </row>
    <row r="1514" spans="5:6">
      <c r="E1514" s="206"/>
      <c r="F1514" s="206"/>
    </row>
    <row r="1515" spans="5:6">
      <c r="E1515" s="206"/>
      <c r="F1515" s="206"/>
    </row>
    <row r="1516" spans="5:6">
      <c r="E1516" s="206"/>
      <c r="F1516" s="206"/>
    </row>
    <row r="1517" spans="5:6">
      <c r="E1517" s="206"/>
      <c r="F1517" s="206"/>
    </row>
    <row r="1518" spans="5:6">
      <c r="E1518" s="206"/>
      <c r="F1518" s="206"/>
    </row>
    <row r="1519" spans="5:6">
      <c r="E1519" s="206"/>
      <c r="F1519" s="206"/>
    </row>
    <row r="1520" spans="5:6">
      <c r="E1520" s="206"/>
      <c r="F1520" s="206"/>
    </row>
    <row r="1521" spans="5:6">
      <c r="E1521" s="206"/>
      <c r="F1521" s="206"/>
    </row>
    <row r="1522" spans="5:6">
      <c r="E1522" s="206"/>
      <c r="F1522" s="206"/>
    </row>
    <row r="1523" spans="5:6">
      <c r="E1523" s="206"/>
      <c r="F1523" s="206"/>
    </row>
    <row r="1524" spans="5:6">
      <c r="E1524" s="206"/>
      <c r="F1524" s="206"/>
    </row>
    <row r="1525" spans="5:6">
      <c r="E1525" s="206"/>
      <c r="F1525" s="206"/>
    </row>
    <row r="1526" spans="5:6">
      <c r="E1526" s="206"/>
      <c r="F1526" s="206"/>
    </row>
    <row r="1527" spans="5:6">
      <c r="E1527" s="206"/>
      <c r="F1527" s="206"/>
    </row>
    <row r="1528" spans="5:6">
      <c r="E1528" s="206"/>
      <c r="F1528" s="206"/>
    </row>
    <row r="1529" spans="5:6">
      <c r="E1529" s="206"/>
      <c r="F1529" s="206"/>
    </row>
    <row r="1530" spans="5:6">
      <c r="E1530" s="206"/>
      <c r="F1530" s="206"/>
    </row>
    <row r="1531" spans="5:6">
      <c r="E1531" s="206"/>
      <c r="F1531" s="206"/>
    </row>
    <row r="1532" spans="5:6">
      <c r="E1532" s="206"/>
      <c r="F1532" s="206"/>
    </row>
    <row r="1533" spans="5:6">
      <c r="E1533" s="206"/>
      <c r="F1533" s="206"/>
    </row>
    <row r="1534" spans="5:6">
      <c r="E1534" s="206"/>
      <c r="F1534" s="206"/>
    </row>
    <row r="1535" spans="5:6">
      <c r="E1535" s="206"/>
      <c r="F1535" s="206"/>
    </row>
    <row r="1536" spans="5:6">
      <c r="E1536" s="206"/>
      <c r="F1536" s="206"/>
    </row>
    <row r="1537" spans="5:6">
      <c r="E1537" s="206"/>
      <c r="F1537" s="206"/>
    </row>
    <row r="1538" spans="5:6">
      <c r="E1538" s="206"/>
      <c r="F1538" s="206"/>
    </row>
    <row r="1539" spans="5:6">
      <c r="E1539" s="206"/>
      <c r="F1539" s="206"/>
    </row>
    <row r="1540" spans="5:6">
      <c r="E1540" s="206"/>
      <c r="F1540" s="206"/>
    </row>
    <row r="1541" spans="5:6">
      <c r="E1541" s="206"/>
      <c r="F1541" s="206"/>
    </row>
    <row r="1542" spans="5:6">
      <c r="E1542" s="206"/>
      <c r="F1542" s="206"/>
    </row>
    <row r="1543" spans="5:6">
      <c r="E1543" s="206"/>
      <c r="F1543" s="206"/>
    </row>
    <row r="1544" spans="5:6">
      <c r="E1544" s="206"/>
      <c r="F1544" s="206"/>
    </row>
    <row r="1545" spans="5:6">
      <c r="E1545" s="206"/>
      <c r="F1545" s="206"/>
    </row>
    <row r="1546" spans="5:6">
      <c r="E1546" s="206"/>
      <c r="F1546" s="206"/>
    </row>
    <row r="1547" spans="5:6">
      <c r="E1547" s="206"/>
      <c r="F1547" s="206"/>
    </row>
    <row r="1548" spans="5:6">
      <c r="E1548" s="206"/>
      <c r="F1548" s="206"/>
    </row>
    <row r="1549" spans="5:6">
      <c r="E1549" s="206"/>
      <c r="F1549" s="206"/>
    </row>
    <row r="1550" spans="5:6">
      <c r="E1550" s="206"/>
      <c r="F1550" s="206"/>
    </row>
    <row r="1551" spans="5:6">
      <c r="E1551" s="206"/>
      <c r="F1551" s="206"/>
    </row>
    <row r="1552" spans="5:6">
      <c r="E1552" s="206"/>
      <c r="F1552" s="206"/>
    </row>
    <row r="1553" spans="5:6">
      <c r="E1553" s="206"/>
      <c r="F1553" s="206"/>
    </row>
    <row r="1554" spans="5:6">
      <c r="E1554" s="206"/>
      <c r="F1554" s="206"/>
    </row>
    <row r="1555" spans="5:6">
      <c r="E1555" s="206"/>
      <c r="F1555" s="206"/>
    </row>
    <row r="1556" spans="5:6">
      <c r="E1556" s="206"/>
      <c r="F1556" s="206"/>
    </row>
    <row r="1557" spans="5:6">
      <c r="E1557" s="206"/>
      <c r="F1557" s="206"/>
    </row>
    <row r="1558" spans="5:6">
      <c r="E1558" s="206"/>
      <c r="F1558" s="206"/>
    </row>
    <row r="1559" spans="5:6">
      <c r="E1559" s="206"/>
      <c r="F1559" s="206"/>
    </row>
    <row r="1560" spans="5:6">
      <c r="E1560" s="206"/>
      <c r="F1560" s="206"/>
    </row>
    <row r="1561" spans="5:6">
      <c r="E1561" s="206"/>
      <c r="F1561" s="206"/>
    </row>
    <row r="1562" spans="5:6">
      <c r="E1562" s="206"/>
      <c r="F1562" s="206"/>
    </row>
    <row r="1563" spans="5:6">
      <c r="E1563" s="206"/>
      <c r="F1563" s="206"/>
    </row>
    <row r="1564" spans="5:6">
      <c r="E1564" s="206"/>
      <c r="F1564" s="206"/>
    </row>
    <row r="1565" spans="5:6">
      <c r="E1565" s="206"/>
      <c r="F1565" s="206"/>
    </row>
    <row r="1566" spans="5:6">
      <c r="E1566" s="206"/>
      <c r="F1566" s="206"/>
    </row>
    <row r="1567" spans="5:6">
      <c r="E1567" s="206"/>
      <c r="F1567" s="206"/>
    </row>
    <row r="1568" spans="5:6">
      <c r="E1568" s="206"/>
      <c r="F1568" s="206"/>
    </row>
    <row r="1569" spans="5:6">
      <c r="E1569" s="206"/>
      <c r="F1569" s="206"/>
    </row>
    <row r="1570" spans="5:6">
      <c r="E1570" s="206"/>
      <c r="F1570" s="206"/>
    </row>
    <row r="1571" spans="5:6">
      <c r="E1571" s="206"/>
      <c r="F1571" s="206"/>
    </row>
    <row r="1572" spans="5:6">
      <c r="E1572" s="206"/>
      <c r="F1572" s="206"/>
    </row>
    <row r="1573" spans="5:6">
      <c r="E1573" s="206"/>
      <c r="F1573" s="206"/>
    </row>
    <row r="1574" spans="5:6">
      <c r="E1574" s="206"/>
      <c r="F1574" s="206"/>
    </row>
    <row r="1575" spans="5:6">
      <c r="E1575" s="206"/>
      <c r="F1575" s="206"/>
    </row>
    <row r="1576" spans="5:6">
      <c r="E1576" s="206"/>
      <c r="F1576" s="206"/>
    </row>
    <row r="1577" spans="5:6">
      <c r="E1577" s="206"/>
      <c r="F1577" s="206"/>
    </row>
    <row r="1578" spans="5:6">
      <c r="E1578" s="206"/>
      <c r="F1578" s="206"/>
    </row>
    <row r="1579" spans="5:6">
      <c r="E1579" s="206"/>
      <c r="F1579" s="206"/>
    </row>
    <row r="1580" spans="5:6">
      <c r="E1580" s="206"/>
      <c r="F1580" s="206"/>
    </row>
    <row r="1581" spans="5:6">
      <c r="E1581" s="206"/>
      <c r="F1581" s="206"/>
    </row>
    <row r="1582" spans="5:6">
      <c r="E1582" s="206"/>
      <c r="F1582" s="206"/>
    </row>
    <row r="1583" spans="5:6">
      <c r="E1583" s="206"/>
      <c r="F1583" s="206"/>
    </row>
    <row r="1584" spans="5:6">
      <c r="E1584" s="206"/>
      <c r="F1584" s="206"/>
    </row>
    <row r="1585" spans="5:6">
      <c r="E1585" s="206"/>
      <c r="F1585" s="206"/>
    </row>
    <row r="1586" spans="5:6">
      <c r="E1586" s="206"/>
      <c r="F1586" s="206"/>
    </row>
    <row r="1587" spans="5:6">
      <c r="E1587" s="206"/>
      <c r="F1587" s="206"/>
    </row>
    <row r="1588" spans="5:6">
      <c r="E1588" s="206"/>
      <c r="F1588" s="206"/>
    </row>
    <row r="1589" spans="5:6">
      <c r="E1589" s="206"/>
      <c r="F1589" s="206"/>
    </row>
    <row r="1590" spans="5:6">
      <c r="E1590" s="206"/>
      <c r="F1590" s="206"/>
    </row>
    <row r="1591" spans="5:6">
      <c r="E1591" s="206"/>
      <c r="F1591" s="206"/>
    </row>
    <row r="1592" spans="5:6">
      <c r="E1592" s="206"/>
      <c r="F1592" s="206"/>
    </row>
    <row r="1593" spans="5:6">
      <c r="E1593" s="206"/>
      <c r="F1593" s="206"/>
    </row>
    <row r="1594" spans="5:6">
      <c r="E1594" s="206"/>
      <c r="F1594" s="206"/>
    </row>
    <row r="1595" spans="5:6">
      <c r="E1595" s="206"/>
      <c r="F1595" s="206"/>
    </row>
    <row r="1596" spans="5:6">
      <c r="E1596" s="206"/>
      <c r="F1596" s="206"/>
    </row>
    <row r="1597" spans="5:6">
      <c r="E1597" s="206"/>
      <c r="F1597" s="206"/>
    </row>
    <row r="1598" spans="5:6">
      <c r="E1598" s="206"/>
      <c r="F1598" s="206"/>
    </row>
    <row r="1599" spans="5:6">
      <c r="E1599" s="206"/>
      <c r="F1599" s="206"/>
    </row>
    <row r="1600" spans="5:6">
      <c r="E1600" s="206"/>
      <c r="F1600" s="206"/>
    </row>
    <row r="1601" spans="5:6">
      <c r="E1601" s="206"/>
      <c r="F1601" s="206"/>
    </row>
    <row r="1602" spans="5:6">
      <c r="E1602" s="206"/>
      <c r="F1602" s="206"/>
    </row>
    <row r="1603" spans="5:6">
      <c r="E1603" s="206"/>
      <c r="F1603" s="206"/>
    </row>
    <row r="1604" spans="5:6">
      <c r="E1604" s="206"/>
      <c r="F1604" s="206"/>
    </row>
    <row r="1605" spans="5:6">
      <c r="E1605" s="206"/>
      <c r="F1605" s="206"/>
    </row>
    <row r="1606" spans="5:6">
      <c r="E1606" s="206"/>
      <c r="F1606" s="206"/>
    </row>
    <row r="1607" spans="5:6">
      <c r="E1607" s="206"/>
      <c r="F1607" s="206"/>
    </row>
    <row r="1608" spans="5:6">
      <c r="E1608" s="206"/>
      <c r="F1608" s="206"/>
    </row>
    <row r="1609" spans="5:6">
      <c r="E1609" s="206"/>
      <c r="F1609" s="206"/>
    </row>
    <row r="1610" spans="5:6">
      <c r="E1610" s="206"/>
      <c r="F1610" s="206"/>
    </row>
    <row r="1611" spans="5:6">
      <c r="E1611" s="206"/>
      <c r="F1611" s="206"/>
    </row>
    <row r="1612" spans="5:6">
      <c r="E1612" s="206"/>
      <c r="F1612" s="206"/>
    </row>
    <row r="1613" spans="5:6">
      <c r="E1613" s="206"/>
      <c r="F1613" s="206"/>
    </row>
    <row r="1614" spans="5:6">
      <c r="E1614" s="206"/>
      <c r="F1614" s="206"/>
    </row>
    <row r="1615" spans="5:6">
      <c r="E1615" s="206"/>
      <c r="F1615" s="206"/>
    </row>
    <row r="1616" spans="5:6">
      <c r="E1616" s="206"/>
      <c r="F1616" s="206"/>
    </row>
    <row r="1617" spans="5:6">
      <c r="E1617" s="206"/>
      <c r="F1617" s="206"/>
    </row>
    <row r="1618" spans="5:6">
      <c r="E1618" s="206"/>
      <c r="F1618" s="206"/>
    </row>
    <row r="1619" spans="5:6">
      <c r="E1619" s="206"/>
      <c r="F1619" s="206"/>
    </row>
    <row r="1620" spans="5:6">
      <c r="E1620" s="206"/>
      <c r="F1620" s="206"/>
    </row>
    <row r="1621" spans="5:6">
      <c r="E1621" s="206"/>
      <c r="F1621" s="206"/>
    </row>
    <row r="1622" spans="5:6">
      <c r="E1622" s="206"/>
      <c r="F1622" s="206"/>
    </row>
    <row r="1623" spans="5:6">
      <c r="E1623" s="206"/>
      <c r="F1623" s="206"/>
    </row>
    <row r="1624" spans="5:6">
      <c r="E1624" s="206"/>
      <c r="F1624" s="206"/>
    </row>
    <row r="1625" spans="5:6">
      <c r="E1625" s="206"/>
      <c r="F1625" s="206"/>
    </row>
    <row r="1626" spans="5:6">
      <c r="E1626" s="206"/>
      <c r="F1626" s="206"/>
    </row>
    <row r="1627" spans="5:6">
      <c r="E1627" s="206"/>
      <c r="F1627" s="206"/>
    </row>
    <row r="1628" spans="5:6">
      <c r="E1628" s="206"/>
      <c r="F1628" s="206"/>
    </row>
    <row r="1629" spans="5:6">
      <c r="E1629" s="206"/>
      <c r="F1629" s="206"/>
    </row>
    <row r="1630" spans="5:6">
      <c r="E1630" s="206"/>
      <c r="F1630" s="206"/>
    </row>
    <row r="1631" spans="5:6">
      <c r="E1631" s="206"/>
      <c r="F1631" s="206"/>
    </row>
    <row r="1632" spans="5:6">
      <c r="E1632" s="206"/>
      <c r="F1632" s="206"/>
    </row>
    <row r="1633" spans="5:6">
      <c r="E1633" s="206"/>
      <c r="F1633" s="206"/>
    </row>
    <row r="1634" spans="5:6">
      <c r="E1634" s="206"/>
      <c r="F1634" s="206"/>
    </row>
    <row r="1635" spans="5:6">
      <c r="E1635" s="206"/>
      <c r="F1635" s="206"/>
    </row>
    <row r="1636" spans="5:6">
      <c r="E1636" s="206"/>
      <c r="F1636" s="206"/>
    </row>
    <row r="1637" spans="5:6">
      <c r="E1637" s="206"/>
      <c r="F1637" s="206"/>
    </row>
    <row r="1638" spans="5:6">
      <c r="E1638" s="206"/>
      <c r="F1638" s="206"/>
    </row>
    <row r="1639" spans="5:6">
      <c r="E1639" s="206"/>
      <c r="F1639" s="206"/>
    </row>
    <row r="1640" spans="5:6">
      <c r="E1640" s="206"/>
      <c r="F1640" s="206"/>
    </row>
    <row r="1641" spans="5:6">
      <c r="E1641" s="206"/>
      <c r="F1641" s="206"/>
    </row>
    <row r="1642" spans="5:6">
      <c r="E1642" s="206"/>
      <c r="F1642" s="206"/>
    </row>
    <row r="1643" spans="5:6">
      <c r="E1643" s="206"/>
      <c r="F1643" s="206"/>
    </row>
    <row r="1644" spans="5:6">
      <c r="E1644" s="206"/>
      <c r="F1644" s="206"/>
    </row>
    <row r="1645" spans="5:6">
      <c r="E1645" s="206"/>
      <c r="F1645" s="206"/>
    </row>
    <row r="1646" spans="5:6">
      <c r="E1646" s="206"/>
      <c r="F1646" s="206"/>
    </row>
    <row r="1647" spans="5:6">
      <c r="E1647" s="206"/>
      <c r="F1647" s="206"/>
    </row>
    <row r="1648" spans="5:6">
      <c r="E1648" s="206"/>
      <c r="F1648" s="206"/>
    </row>
    <row r="1649" spans="5:6">
      <c r="E1649" s="206"/>
      <c r="F1649" s="206"/>
    </row>
    <row r="1650" spans="5:6">
      <c r="E1650" s="206"/>
      <c r="F1650" s="206"/>
    </row>
    <row r="1651" spans="5:6">
      <c r="E1651" s="206"/>
      <c r="F1651" s="206"/>
    </row>
    <row r="1652" spans="5:6">
      <c r="E1652" s="206"/>
      <c r="F1652" s="206"/>
    </row>
    <row r="1653" spans="5:6">
      <c r="E1653" s="206"/>
      <c r="F1653" s="206"/>
    </row>
    <row r="1654" spans="5:6">
      <c r="E1654" s="206"/>
      <c r="F1654" s="206"/>
    </row>
    <row r="1655" spans="5:6">
      <c r="E1655" s="206"/>
      <c r="F1655" s="206"/>
    </row>
    <row r="1656" spans="5:6">
      <c r="E1656" s="206"/>
      <c r="F1656" s="206"/>
    </row>
    <row r="1657" spans="5:6">
      <c r="E1657" s="206"/>
      <c r="F1657" s="206"/>
    </row>
    <row r="1658" spans="5:6">
      <c r="E1658" s="206"/>
      <c r="F1658" s="206"/>
    </row>
    <row r="1659" spans="5:6">
      <c r="E1659" s="206"/>
      <c r="F1659" s="206"/>
    </row>
    <row r="1660" spans="5:6">
      <c r="E1660" s="206"/>
      <c r="F1660" s="206"/>
    </row>
    <row r="1661" spans="5:6">
      <c r="E1661" s="206"/>
      <c r="F1661" s="206"/>
    </row>
    <row r="1662" spans="5:6">
      <c r="E1662" s="206"/>
      <c r="F1662" s="206"/>
    </row>
    <row r="1663" spans="5:6">
      <c r="E1663" s="206"/>
      <c r="F1663" s="206"/>
    </row>
    <row r="1664" spans="5:6">
      <c r="E1664" s="206"/>
      <c r="F1664" s="206"/>
    </row>
    <row r="1665" spans="5:6">
      <c r="E1665" s="206"/>
      <c r="F1665" s="206"/>
    </row>
    <row r="1666" spans="5:6">
      <c r="E1666" s="206"/>
      <c r="F1666" s="206"/>
    </row>
    <row r="1667" spans="5:6">
      <c r="E1667" s="206"/>
      <c r="F1667" s="206"/>
    </row>
    <row r="1668" spans="5:6">
      <c r="E1668" s="206"/>
      <c r="F1668" s="206"/>
    </row>
    <row r="1669" spans="5:6">
      <c r="E1669" s="206"/>
      <c r="F1669" s="206"/>
    </row>
    <row r="1670" spans="5:6">
      <c r="E1670" s="206"/>
      <c r="F1670" s="206"/>
    </row>
    <row r="1671" spans="5:6">
      <c r="E1671" s="206"/>
      <c r="F1671" s="206"/>
    </row>
    <row r="1672" spans="5:6">
      <c r="E1672" s="206"/>
      <c r="F1672" s="206"/>
    </row>
    <row r="1673" spans="5:6">
      <c r="E1673" s="206"/>
      <c r="F1673" s="206"/>
    </row>
    <row r="1674" spans="5:6">
      <c r="E1674" s="206"/>
      <c r="F1674" s="206"/>
    </row>
    <row r="1675" spans="5:6">
      <c r="E1675" s="206"/>
      <c r="F1675" s="206"/>
    </row>
    <row r="1676" spans="5:6">
      <c r="E1676" s="206"/>
      <c r="F1676" s="206"/>
    </row>
    <row r="1677" spans="5:6">
      <c r="E1677" s="206"/>
      <c r="F1677" s="206"/>
    </row>
    <row r="1678" spans="5:6">
      <c r="E1678" s="206"/>
      <c r="F1678" s="206"/>
    </row>
    <row r="1679" spans="5:6">
      <c r="E1679" s="206"/>
      <c r="F1679" s="206"/>
    </row>
    <row r="1680" spans="5:6">
      <c r="E1680" s="206"/>
      <c r="F1680" s="206"/>
    </row>
    <row r="1681" spans="5:6">
      <c r="E1681" s="206"/>
      <c r="F1681" s="206"/>
    </row>
    <row r="1682" spans="5:6">
      <c r="E1682" s="206"/>
      <c r="F1682" s="206"/>
    </row>
    <row r="1683" spans="5:6">
      <c r="E1683" s="206"/>
      <c r="F1683" s="206"/>
    </row>
    <row r="1684" spans="5:6">
      <c r="E1684" s="206"/>
      <c r="F1684" s="206"/>
    </row>
    <row r="1685" spans="5:6">
      <c r="E1685" s="206"/>
      <c r="F1685" s="206"/>
    </row>
    <row r="1686" spans="5:6">
      <c r="E1686" s="206"/>
      <c r="F1686" s="206"/>
    </row>
    <row r="1687" spans="5:6">
      <c r="E1687" s="206"/>
      <c r="F1687" s="206"/>
    </row>
    <row r="1688" spans="5:6">
      <c r="E1688" s="206"/>
      <c r="F1688" s="206"/>
    </row>
    <row r="1689" spans="5:6">
      <c r="E1689" s="206"/>
      <c r="F1689" s="206"/>
    </row>
    <row r="1690" spans="5:6">
      <c r="E1690" s="206"/>
      <c r="F1690" s="206"/>
    </row>
    <row r="1691" spans="5:6">
      <c r="E1691" s="206"/>
      <c r="F1691" s="206"/>
    </row>
    <row r="1692" spans="5:6">
      <c r="E1692" s="206"/>
      <c r="F1692" s="206"/>
    </row>
    <row r="1693" spans="5:6">
      <c r="E1693" s="206"/>
      <c r="F1693" s="206"/>
    </row>
    <row r="1694" spans="5:6">
      <c r="E1694" s="206"/>
      <c r="F1694" s="206"/>
    </row>
    <row r="1695" spans="5:6">
      <c r="E1695" s="206"/>
      <c r="F1695" s="206"/>
    </row>
    <row r="1696" spans="5:6">
      <c r="E1696" s="206"/>
      <c r="F1696" s="206"/>
    </row>
    <row r="1697" spans="5:6">
      <c r="E1697" s="206"/>
      <c r="F1697" s="206"/>
    </row>
    <row r="1698" spans="5:6">
      <c r="E1698" s="206"/>
      <c r="F1698" s="206"/>
    </row>
    <row r="1699" spans="5:6">
      <c r="E1699" s="206"/>
      <c r="F1699" s="206"/>
    </row>
    <row r="1700" spans="5:6">
      <c r="E1700" s="206"/>
      <c r="F1700" s="206"/>
    </row>
    <row r="1701" spans="5:6">
      <c r="E1701" s="206"/>
      <c r="F1701" s="206"/>
    </row>
    <row r="1702" spans="5:6">
      <c r="E1702" s="206"/>
      <c r="F1702" s="206"/>
    </row>
    <row r="1703" spans="5:6">
      <c r="E1703" s="206"/>
      <c r="F1703" s="206"/>
    </row>
    <row r="1704" spans="5:6">
      <c r="E1704" s="206"/>
      <c r="F1704" s="206"/>
    </row>
    <row r="1705" spans="5:6">
      <c r="E1705" s="206"/>
      <c r="F1705" s="206"/>
    </row>
    <row r="1706" spans="5:6">
      <c r="E1706" s="206"/>
      <c r="F1706" s="206"/>
    </row>
    <row r="1707" spans="5:6">
      <c r="E1707" s="206"/>
      <c r="F1707" s="206"/>
    </row>
    <row r="1708" spans="5:6">
      <c r="E1708" s="206"/>
      <c r="F1708" s="206"/>
    </row>
    <row r="1709" spans="5:6">
      <c r="E1709" s="206"/>
      <c r="F1709" s="206"/>
    </row>
    <row r="1710" spans="5:6">
      <c r="E1710" s="206"/>
      <c r="F1710" s="206"/>
    </row>
    <row r="1711" spans="5:6">
      <c r="E1711" s="206"/>
      <c r="F1711" s="206"/>
    </row>
    <row r="1712" spans="5:6">
      <c r="E1712" s="206"/>
      <c r="F1712" s="206"/>
    </row>
    <row r="1713" spans="5:6">
      <c r="E1713" s="206"/>
      <c r="F1713" s="206"/>
    </row>
    <row r="1714" spans="5:6">
      <c r="E1714" s="206"/>
      <c r="F1714" s="206"/>
    </row>
    <row r="1715" spans="5:6">
      <c r="E1715" s="206"/>
      <c r="F1715" s="206"/>
    </row>
    <row r="1716" spans="5:6">
      <c r="E1716" s="206"/>
      <c r="F1716" s="206"/>
    </row>
    <row r="1717" spans="5:6">
      <c r="E1717" s="206"/>
      <c r="F1717" s="206"/>
    </row>
    <row r="1718" spans="5:6">
      <c r="E1718" s="206"/>
      <c r="F1718" s="206"/>
    </row>
    <row r="1719" spans="5:6">
      <c r="E1719" s="206"/>
      <c r="F1719" s="206"/>
    </row>
    <row r="1720" spans="5:6">
      <c r="E1720" s="206"/>
      <c r="F1720" s="206"/>
    </row>
    <row r="1721" spans="5:6">
      <c r="E1721" s="206"/>
      <c r="F1721" s="206"/>
    </row>
    <row r="1722" spans="5:6">
      <c r="E1722" s="206"/>
      <c r="F1722" s="206"/>
    </row>
    <row r="1723" spans="5:6">
      <c r="E1723" s="206"/>
      <c r="F1723" s="206"/>
    </row>
    <row r="1724" spans="5:6">
      <c r="E1724" s="206"/>
      <c r="F1724" s="206"/>
    </row>
    <row r="1725" spans="5:6">
      <c r="E1725" s="206"/>
      <c r="F1725" s="206"/>
    </row>
    <row r="1726" spans="5:6">
      <c r="E1726" s="206"/>
      <c r="F1726" s="206"/>
    </row>
    <row r="1727" spans="5:6">
      <c r="E1727" s="206"/>
      <c r="F1727" s="206"/>
    </row>
    <row r="1728" spans="5:6">
      <c r="E1728" s="206"/>
      <c r="F1728" s="206"/>
    </row>
    <row r="1729" spans="5:6">
      <c r="E1729" s="206"/>
      <c r="F1729" s="206"/>
    </row>
    <row r="1730" spans="5:6">
      <c r="E1730" s="206"/>
      <c r="F1730" s="206"/>
    </row>
    <row r="1731" spans="5:6">
      <c r="E1731" s="206"/>
      <c r="F1731" s="206"/>
    </row>
    <row r="1732" spans="5:6">
      <c r="E1732" s="206"/>
      <c r="F1732" s="206"/>
    </row>
    <row r="1733" spans="5:6">
      <c r="E1733" s="206"/>
      <c r="F1733" s="206"/>
    </row>
    <row r="1734" spans="5:6">
      <c r="E1734" s="206"/>
      <c r="F1734" s="206"/>
    </row>
    <row r="1735" spans="5:6">
      <c r="E1735" s="206"/>
      <c r="F1735" s="206"/>
    </row>
    <row r="1736" spans="5:6">
      <c r="E1736" s="206"/>
      <c r="F1736" s="206"/>
    </row>
    <row r="1737" spans="5:6">
      <c r="E1737" s="206"/>
      <c r="F1737" s="206"/>
    </row>
    <row r="1738" spans="5:6">
      <c r="E1738" s="206"/>
      <c r="F1738" s="206"/>
    </row>
    <row r="1739" spans="5:6">
      <c r="E1739" s="206"/>
      <c r="F1739" s="206"/>
    </row>
    <row r="1740" spans="5:6">
      <c r="E1740" s="206"/>
      <c r="F1740" s="206"/>
    </row>
    <row r="1741" spans="5:6">
      <c r="E1741" s="206"/>
      <c r="F1741" s="206"/>
    </row>
    <row r="1742" spans="5:6">
      <c r="E1742" s="206"/>
      <c r="F1742" s="206"/>
    </row>
    <row r="1743" spans="5:6">
      <c r="E1743" s="206"/>
      <c r="F1743" s="206"/>
    </row>
    <row r="1744" spans="5:6">
      <c r="E1744" s="206"/>
      <c r="F1744" s="206"/>
    </row>
    <row r="1745" spans="5:6">
      <c r="E1745" s="206"/>
      <c r="F1745" s="206"/>
    </row>
    <row r="1746" spans="5:6">
      <c r="E1746" s="206"/>
      <c r="F1746" s="206"/>
    </row>
    <row r="1747" spans="5:6">
      <c r="E1747" s="206"/>
      <c r="F1747" s="206"/>
    </row>
    <row r="1748" spans="5:6">
      <c r="E1748" s="206"/>
      <c r="F1748" s="206"/>
    </row>
    <row r="1749" spans="5:6">
      <c r="E1749" s="206"/>
      <c r="F1749" s="206"/>
    </row>
    <row r="1750" spans="5:6">
      <c r="E1750" s="206"/>
      <c r="F1750" s="206"/>
    </row>
    <row r="1751" spans="5:6">
      <c r="E1751" s="206"/>
      <c r="F1751" s="206"/>
    </row>
    <row r="1752" spans="5:6">
      <c r="E1752" s="206"/>
      <c r="F1752" s="206"/>
    </row>
    <row r="1753" spans="5:6">
      <c r="E1753" s="206"/>
      <c r="F1753" s="206"/>
    </row>
    <row r="1754" spans="5:6">
      <c r="E1754" s="206"/>
      <c r="F1754" s="206"/>
    </row>
    <row r="1755" spans="5:6">
      <c r="E1755" s="206"/>
      <c r="F1755" s="206"/>
    </row>
    <row r="1756" spans="5:6">
      <c r="E1756" s="206"/>
      <c r="F1756" s="206"/>
    </row>
    <row r="1757" spans="5:6">
      <c r="E1757" s="206"/>
      <c r="F1757" s="206"/>
    </row>
    <row r="1758" spans="5:6">
      <c r="E1758" s="206"/>
      <c r="F1758" s="206"/>
    </row>
    <row r="1759" spans="5:6">
      <c r="E1759" s="206"/>
      <c r="F1759" s="206"/>
    </row>
    <row r="1760" spans="5:6">
      <c r="E1760" s="206"/>
      <c r="F1760" s="206"/>
    </row>
    <row r="1761" spans="5:6">
      <c r="E1761" s="206"/>
      <c r="F1761" s="206"/>
    </row>
    <row r="1762" spans="5:6">
      <c r="E1762" s="206"/>
      <c r="F1762" s="206"/>
    </row>
    <row r="1763" spans="5:6">
      <c r="E1763" s="206"/>
      <c r="F1763" s="206"/>
    </row>
    <row r="1764" spans="5:6">
      <c r="E1764" s="206"/>
      <c r="F1764" s="206"/>
    </row>
    <row r="1765" spans="5:6">
      <c r="E1765" s="206"/>
      <c r="F1765" s="206"/>
    </row>
    <row r="1766" spans="5:6">
      <c r="E1766" s="206"/>
      <c r="F1766" s="206"/>
    </row>
    <row r="1767" spans="5:6">
      <c r="E1767" s="206"/>
      <c r="F1767" s="206"/>
    </row>
    <row r="1768" spans="5:6">
      <c r="E1768" s="206"/>
      <c r="F1768" s="206"/>
    </row>
    <row r="1769" spans="5:6">
      <c r="E1769" s="206"/>
      <c r="F1769" s="206"/>
    </row>
    <row r="1770" spans="5:6">
      <c r="E1770" s="206"/>
      <c r="F1770" s="206"/>
    </row>
    <row r="1771" spans="5:6">
      <c r="E1771" s="206"/>
      <c r="F1771" s="206"/>
    </row>
    <row r="1772" spans="5:6">
      <c r="E1772" s="206"/>
      <c r="F1772" s="206"/>
    </row>
    <row r="1773" spans="5:6">
      <c r="E1773" s="206"/>
      <c r="F1773" s="206"/>
    </row>
    <row r="1774" spans="5:6">
      <c r="E1774" s="206"/>
      <c r="F1774" s="206"/>
    </row>
    <row r="1775" spans="5:6">
      <c r="E1775" s="206"/>
      <c r="F1775" s="206"/>
    </row>
    <row r="1776" spans="5:6">
      <c r="E1776" s="206"/>
      <c r="F1776" s="206"/>
    </row>
    <row r="1777" spans="5:6">
      <c r="E1777" s="206"/>
      <c r="F1777" s="206"/>
    </row>
    <row r="1778" spans="5:6">
      <c r="E1778" s="206"/>
      <c r="F1778" s="206"/>
    </row>
    <row r="1779" spans="5:6">
      <c r="E1779" s="206"/>
      <c r="F1779" s="206"/>
    </row>
    <row r="1780" spans="5:6">
      <c r="E1780" s="206"/>
      <c r="F1780" s="206"/>
    </row>
    <row r="1781" spans="5:6">
      <c r="E1781" s="206"/>
      <c r="F1781" s="206"/>
    </row>
    <row r="1782" spans="5:6">
      <c r="E1782" s="206"/>
      <c r="F1782" s="206"/>
    </row>
    <row r="1783" spans="5:6">
      <c r="E1783" s="206"/>
      <c r="F1783" s="206"/>
    </row>
    <row r="1784" spans="5:6">
      <c r="E1784" s="206"/>
      <c r="F1784" s="206"/>
    </row>
    <row r="1785" spans="5:6">
      <c r="E1785" s="206"/>
      <c r="F1785" s="206"/>
    </row>
    <row r="1786" spans="5:6">
      <c r="E1786" s="206"/>
      <c r="F1786" s="206"/>
    </row>
    <row r="1787" spans="5:6">
      <c r="E1787" s="206"/>
      <c r="F1787" s="206"/>
    </row>
    <row r="1788" spans="5:6">
      <c r="E1788" s="206"/>
      <c r="F1788" s="206"/>
    </row>
    <row r="1789" spans="5:6">
      <c r="E1789" s="206"/>
      <c r="F1789" s="206"/>
    </row>
    <row r="1790" spans="5:6">
      <c r="E1790" s="206"/>
      <c r="F1790" s="206"/>
    </row>
    <row r="1791" spans="5:6">
      <c r="E1791" s="206"/>
      <c r="F1791" s="206"/>
    </row>
    <row r="1792" spans="5:6">
      <c r="E1792" s="206"/>
      <c r="F1792" s="206"/>
    </row>
    <row r="1793" spans="5:6">
      <c r="E1793" s="206"/>
      <c r="F1793" s="206"/>
    </row>
    <row r="1794" spans="5:6">
      <c r="E1794" s="206"/>
      <c r="F1794" s="206"/>
    </row>
    <row r="1795" spans="5:6">
      <c r="E1795" s="206"/>
      <c r="F1795" s="206"/>
    </row>
    <row r="1796" spans="5:6">
      <c r="E1796" s="206"/>
      <c r="F1796" s="206"/>
    </row>
    <row r="1797" spans="5:6">
      <c r="E1797" s="206"/>
      <c r="F1797" s="206"/>
    </row>
    <row r="1798" spans="5:6">
      <c r="E1798" s="206"/>
      <c r="F1798" s="206"/>
    </row>
    <row r="1799" spans="5:6">
      <c r="E1799" s="206"/>
      <c r="F1799" s="206"/>
    </row>
    <row r="1800" spans="5:6">
      <c r="E1800" s="206"/>
      <c r="F1800" s="206"/>
    </row>
    <row r="1801" spans="5:6">
      <c r="E1801" s="206"/>
      <c r="F1801" s="206"/>
    </row>
    <row r="1802" spans="5:6">
      <c r="E1802" s="206"/>
      <c r="F1802" s="206"/>
    </row>
    <row r="1803" spans="5:6">
      <c r="E1803" s="206"/>
      <c r="F1803" s="206"/>
    </row>
    <row r="1804" spans="5:6">
      <c r="E1804" s="206"/>
      <c r="F1804" s="206"/>
    </row>
    <row r="1805" spans="5:6">
      <c r="E1805" s="206"/>
      <c r="F1805" s="206"/>
    </row>
    <row r="1806" spans="5:6">
      <c r="E1806" s="206"/>
      <c r="F1806" s="206"/>
    </row>
    <row r="1807" spans="5:6">
      <c r="E1807" s="206"/>
      <c r="F1807" s="206"/>
    </row>
    <row r="1808" spans="5:6">
      <c r="E1808" s="206"/>
      <c r="F1808" s="206"/>
    </row>
    <row r="1809" spans="5:6">
      <c r="E1809" s="206"/>
      <c r="F1809" s="206"/>
    </row>
    <row r="1810" spans="5:6">
      <c r="E1810" s="206"/>
      <c r="F1810" s="206"/>
    </row>
    <row r="1811" spans="5:6">
      <c r="E1811" s="206"/>
      <c r="F1811" s="206"/>
    </row>
    <row r="1812" spans="5:6">
      <c r="E1812" s="206"/>
      <c r="F1812" s="206"/>
    </row>
    <row r="1813" spans="5:6">
      <c r="E1813" s="206"/>
      <c r="F1813" s="206"/>
    </row>
    <row r="1814" spans="5:6">
      <c r="E1814" s="206"/>
      <c r="F1814" s="206"/>
    </row>
    <row r="1815" spans="5:6">
      <c r="E1815" s="206"/>
      <c r="F1815" s="206"/>
    </row>
    <row r="1816" spans="5:6">
      <c r="E1816" s="206"/>
      <c r="F1816" s="206"/>
    </row>
    <row r="1817" spans="5:6">
      <c r="E1817" s="206"/>
      <c r="F1817" s="206"/>
    </row>
    <row r="1818" spans="5:6">
      <c r="E1818" s="206"/>
      <c r="F1818" s="206"/>
    </row>
    <row r="1819" spans="5:6">
      <c r="E1819" s="206"/>
      <c r="F1819" s="206"/>
    </row>
    <row r="1820" spans="5:6">
      <c r="E1820" s="206"/>
      <c r="F1820" s="206"/>
    </row>
    <row r="1821" spans="5:6">
      <c r="E1821" s="206"/>
      <c r="F1821" s="206"/>
    </row>
    <row r="1822" spans="5:6">
      <c r="E1822" s="206"/>
      <c r="F1822" s="206"/>
    </row>
    <row r="1823" spans="5:6">
      <c r="E1823" s="206"/>
      <c r="F1823" s="206"/>
    </row>
    <row r="1824" spans="5:6">
      <c r="E1824" s="206"/>
      <c r="F1824" s="206"/>
    </row>
    <row r="1825" spans="5:6">
      <c r="E1825" s="206"/>
      <c r="F1825" s="206"/>
    </row>
    <row r="1826" spans="5:6">
      <c r="E1826" s="206"/>
      <c r="F1826" s="206"/>
    </row>
    <row r="1827" spans="5:6">
      <c r="E1827" s="206"/>
      <c r="F1827" s="206"/>
    </row>
    <row r="1828" spans="5:6">
      <c r="E1828" s="206"/>
      <c r="F1828" s="206"/>
    </row>
    <row r="1829" spans="5:6">
      <c r="E1829" s="206"/>
      <c r="F1829" s="206"/>
    </row>
    <row r="1830" spans="5:6">
      <c r="E1830" s="206"/>
      <c r="F1830" s="206"/>
    </row>
    <row r="1831" spans="5:6">
      <c r="E1831" s="206"/>
      <c r="F1831" s="206"/>
    </row>
    <row r="1832" spans="5:6">
      <c r="E1832" s="206"/>
      <c r="F1832" s="206"/>
    </row>
    <row r="1833" spans="5:6">
      <c r="E1833" s="206"/>
      <c r="F1833" s="206"/>
    </row>
    <row r="1834" spans="5:6">
      <c r="E1834" s="206"/>
      <c r="F1834" s="206"/>
    </row>
    <row r="1835" spans="5:6">
      <c r="E1835" s="206"/>
      <c r="F1835" s="206"/>
    </row>
    <row r="1836" spans="5:6">
      <c r="E1836" s="206"/>
      <c r="F1836" s="206"/>
    </row>
    <row r="1837" spans="5:6">
      <c r="E1837" s="206"/>
      <c r="F1837" s="206"/>
    </row>
    <row r="1838" spans="5:6">
      <c r="E1838" s="206"/>
      <c r="F1838" s="206"/>
    </row>
    <row r="1839" spans="5:6">
      <c r="E1839" s="206"/>
      <c r="F1839" s="206"/>
    </row>
    <row r="1840" spans="5:6">
      <c r="E1840" s="206"/>
      <c r="F1840" s="206"/>
    </row>
    <row r="1841" spans="5:6">
      <c r="E1841" s="206"/>
      <c r="F1841" s="206"/>
    </row>
    <row r="1842" spans="5:6">
      <c r="E1842" s="206"/>
      <c r="F1842" s="206"/>
    </row>
    <row r="1843" spans="5:6">
      <c r="E1843" s="206"/>
      <c r="F1843" s="206"/>
    </row>
    <row r="1844" spans="5:6">
      <c r="E1844" s="206"/>
      <c r="F1844" s="206"/>
    </row>
    <row r="1845" spans="5:6">
      <c r="E1845" s="206"/>
      <c r="F1845" s="206"/>
    </row>
    <row r="1846" spans="5:6">
      <c r="E1846" s="206"/>
      <c r="F1846" s="206"/>
    </row>
    <row r="1847" spans="5:6">
      <c r="E1847" s="206"/>
      <c r="F1847" s="206"/>
    </row>
    <row r="1848" spans="5:6">
      <c r="E1848" s="206"/>
      <c r="F1848" s="206"/>
    </row>
    <row r="1849" spans="5:6">
      <c r="E1849" s="206"/>
      <c r="F1849" s="206"/>
    </row>
    <row r="1850" spans="5:6">
      <c r="E1850" s="206"/>
      <c r="F1850" s="206"/>
    </row>
    <row r="1851" spans="5:6">
      <c r="E1851" s="206"/>
      <c r="F1851" s="206"/>
    </row>
    <row r="1852" spans="5:6">
      <c r="E1852" s="206"/>
      <c r="F1852" s="206"/>
    </row>
    <row r="1853" spans="5:6">
      <c r="E1853" s="206"/>
      <c r="F1853" s="206"/>
    </row>
    <row r="1854" spans="5:6">
      <c r="E1854" s="206"/>
      <c r="F1854" s="206"/>
    </row>
    <row r="1855" spans="5:6">
      <c r="E1855" s="206"/>
      <c r="F1855" s="206"/>
    </row>
    <row r="1856" spans="5:6">
      <c r="E1856" s="206"/>
      <c r="F1856" s="206"/>
    </row>
    <row r="1857" spans="5:6">
      <c r="E1857" s="206"/>
      <c r="F1857" s="206"/>
    </row>
    <row r="1858" spans="5:6">
      <c r="E1858" s="206"/>
      <c r="F1858" s="206"/>
    </row>
    <row r="1859" spans="5:6">
      <c r="E1859" s="206"/>
      <c r="F1859" s="206"/>
    </row>
    <row r="1860" spans="5:6">
      <c r="E1860" s="206"/>
      <c r="F1860" s="206"/>
    </row>
    <row r="1861" spans="5:6">
      <c r="E1861" s="206"/>
      <c r="F1861" s="206"/>
    </row>
    <row r="1862" spans="5:6">
      <c r="E1862" s="206"/>
      <c r="F1862" s="206"/>
    </row>
    <row r="1863" spans="5:6">
      <c r="E1863" s="206"/>
      <c r="F1863" s="206"/>
    </row>
    <row r="1864" spans="5:6">
      <c r="E1864" s="206"/>
      <c r="F1864" s="206"/>
    </row>
    <row r="1865" spans="5:6">
      <c r="E1865" s="206"/>
      <c r="F1865" s="206"/>
    </row>
    <row r="1866" spans="5:6">
      <c r="E1866" s="206"/>
      <c r="F1866" s="206"/>
    </row>
    <row r="1867" spans="5:6">
      <c r="E1867" s="206"/>
      <c r="F1867" s="206"/>
    </row>
    <row r="1868" spans="5:6">
      <c r="E1868" s="206"/>
      <c r="F1868" s="206"/>
    </row>
    <row r="1869" spans="5:6">
      <c r="E1869" s="206"/>
      <c r="F1869" s="206"/>
    </row>
    <row r="1870" spans="5:6">
      <c r="E1870" s="206"/>
      <c r="F1870" s="206"/>
    </row>
    <row r="1871" spans="5:6">
      <c r="E1871" s="206"/>
      <c r="F1871" s="206"/>
    </row>
    <row r="1872" spans="5:6">
      <c r="E1872" s="206"/>
      <c r="F1872" s="206"/>
    </row>
    <row r="1873" spans="5:6">
      <c r="E1873" s="206"/>
      <c r="F1873" s="206"/>
    </row>
    <row r="1874" spans="5:6">
      <c r="E1874" s="206"/>
      <c r="F1874" s="206"/>
    </row>
    <row r="1875" spans="5:6">
      <c r="E1875" s="206"/>
      <c r="F1875" s="206"/>
    </row>
    <row r="1876" spans="5:6">
      <c r="E1876" s="206"/>
      <c r="F1876" s="206"/>
    </row>
    <row r="1877" spans="5:6">
      <c r="E1877" s="206"/>
      <c r="F1877" s="206"/>
    </row>
    <row r="1878" spans="5:6">
      <c r="E1878" s="206"/>
      <c r="F1878" s="206"/>
    </row>
    <row r="1879" spans="5:6">
      <c r="E1879" s="206"/>
      <c r="F1879" s="206"/>
    </row>
    <row r="1880" spans="5:6">
      <c r="E1880" s="206"/>
      <c r="F1880" s="206"/>
    </row>
    <row r="1881" spans="5:6">
      <c r="E1881" s="206"/>
      <c r="F1881" s="206"/>
    </row>
    <row r="1882" spans="5:6">
      <c r="E1882" s="206"/>
      <c r="F1882" s="206"/>
    </row>
    <row r="1883" spans="5:6">
      <c r="E1883" s="206"/>
      <c r="F1883" s="206"/>
    </row>
    <row r="1884" spans="5:6">
      <c r="E1884" s="206"/>
      <c r="F1884" s="206"/>
    </row>
    <row r="1885" spans="5:6">
      <c r="E1885" s="206"/>
      <c r="F1885" s="206"/>
    </row>
    <row r="1886" spans="5:6">
      <c r="E1886" s="206"/>
      <c r="F1886" s="206"/>
    </row>
    <row r="1887" spans="5:6">
      <c r="E1887" s="206"/>
      <c r="F1887" s="206"/>
    </row>
    <row r="1888" spans="5:6">
      <c r="E1888" s="206"/>
      <c r="F1888" s="206"/>
    </row>
    <row r="1889" spans="5:6">
      <c r="E1889" s="206"/>
      <c r="F1889" s="206"/>
    </row>
    <row r="1890" spans="5:6">
      <c r="E1890" s="206"/>
      <c r="F1890" s="206"/>
    </row>
    <row r="1891" spans="5:6">
      <c r="E1891" s="206"/>
      <c r="F1891" s="206"/>
    </row>
    <row r="1892" spans="5:6">
      <c r="E1892" s="206"/>
      <c r="F1892" s="206"/>
    </row>
    <row r="1893" spans="5:6">
      <c r="E1893" s="206"/>
      <c r="F1893" s="206"/>
    </row>
    <row r="1894" spans="5:6">
      <c r="E1894" s="206"/>
      <c r="F1894" s="206"/>
    </row>
    <row r="1895" spans="5:6">
      <c r="E1895" s="206"/>
      <c r="F1895" s="206"/>
    </row>
    <row r="1896" spans="5:6">
      <c r="E1896" s="206"/>
      <c r="F1896" s="206"/>
    </row>
    <row r="1897" spans="5:6">
      <c r="E1897" s="206"/>
      <c r="F1897" s="206"/>
    </row>
    <row r="1898" spans="5:6">
      <c r="E1898" s="206"/>
      <c r="F1898" s="206"/>
    </row>
    <row r="1899" spans="5:6">
      <c r="E1899" s="206"/>
      <c r="F1899" s="206"/>
    </row>
    <row r="1900" spans="5:6">
      <c r="E1900" s="206"/>
      <c r="F1900" s="206"/>
    </row>
    <row r="1901" spans="5:6">
      <c r="E1901" s="206"/>
      <c r="F1901" s="206"/>
    </row>
    <row r="1902" spans="5:6">
      <c r="E1902" s="206"/>
      <c r="F1902" s="206"/>
    </row>
    <row r="1903" spans="5:6">
      <c r="E1903" s="206"/>
      <c r="F1903" s="206"/>
    </row>
    <row r="1904" spans="5:6">
      <c r="E1904" s="206"/>
      <c r="F1904" s="206"/>
    </row>
    <row r="1905" spans="5:6">
      <c r="E1905" s="206"/>
      <c r="F1905" s="206"/>
    </row>
    <row r="1906" spans="5:6">
      <c r="E1906" s="206"/>
      <c r="F1906" s="206"/>
    </row>
    <row r="1907" spans="5:6">
      <c r="E1907" s="206"/>
      <c r="F1907" s="206"/>
    </row>
    <row r="1908" spans="5:6">
      <c r="E1908" s="206"/>
      <c r="F1908" s="206"/>
    </row>
    <row r="1909" spans="5:6">
      <c r="E1909" s="206"/>
      <c r="F1909" s="206"/>
    </row>
    <row r="1910" spans="5:6">
      <c r="E1910" s="206"/>
      <c r="F1910" s="206"/>
    </row>
    <row r="1911" spans="5:6">
      <c r="E1911" s="206"/>
      <c r="F1911" s="206"/>
    </row>
    <row r="1912" spans="5:6">
      <c r="E1912" s="206"/>
      <c r="F1912" s="206"/>
    </row>
    <row r="1913" spans="5:6">
      <c r="E1913" s="206"/>
      <c r="F1913" s="206"/>
    </row>
    <row r="1914" spans="5:6">
      <c r="E1914" s="206"/>
      <c r="F1914" s="206"/>
    </row>
    <row r="1915" spans="5:6">
      <c r="E1915" s="206"/>
      <c r="F1915" s="206"/>
    </row>
    <row r="1916" spans="5:6">
      <c r="E1916" s="206"/>
      <c r="F1916" s="206"/>
    </row>
    <row r="1917" spans="5:6">
      <c r="E1917" s="206"/>
      <c r="F1917" s="206"/>
    </row>
    <row r="1918" spans="5:6">
      <c r="E1918" s="206"/>
      <c r="F1918" s="206"/>
    </row>
    <row r="1919" spans="5:6">
      <c r="E1919" s="206"/>
      <c r="F1919" s="206"/>
    </row>
    <row r="1920" spans="5:6">
      <c r="E1920" s="206"/>
      <c r="F1920" s="206"/>
    </row>
    <row r="1921" spans="5:6">
      <c r="E1921" s="206"/>
      <c r="F1921" s="206"/>
    </row>
    <row r="1922" spans="5:6">
      <c r="E1922" s="206"/>
      <c r="F1922" s="206"/>
    </row>
    <row r="1923" spans="5:6">
      <c r="E1923" s="206"/>
      <c r="F1923" s="206"/>
    </row>
    <row r="1924" spans="5:6">
      <c r="E1924" s="206"/>
      <c r="F1924" s="206"/>
    </row>
    <row r="1925" spans="5:6">
      <c r="E1925" s="206"/>
      <c r="F1925" s="206"/>
    </row>
    <row r="1926" spans="5:6">
      <c r="E1926" s="206"/>
      <c r="F1926" s="206"/>
    </row>
    <row r="1927" spans="5:6">
      <c r="E1927" s="206"/>
      <c r="F1927" s="206"/>
    </row>
    <row r="1928" spans="5:6">
      <c r="E1928" s="206"/>
      <c r="F1928" s="206"/>
    </row>
    <row r="1929" spans="5:6">
      <c r="E1929" s="206"/>
      <c r="F1929" s="206"/>
    </row>
    <row r="1930" spans="5:6">
      <c r="E1930" s="206"/>
      <c r="F1930" s="206"/>
    </row>
    <row r="1931" spans="5:6">
      <c r="E1931" s="206"/>
      <c r="F1931" s="206"/>
    </row>
    <row r="1932" spans="5:6">
      <c r="E1932" s="206"/>
      <c r="F1932" s="206"/>
    </row>
    <row r="1933" spans="5:6">
      <c r="E1933" s="206"/>
      <c r="F1933" s="206"/>
    </row>
    <row r="1934" spans="5:6">
      <c r="E1934" s="206"/>
      <c r="F1934" s="206"/>
    </row>
    <row r="1935" spans="5:6">
      <c r="E1935" s="206"/>
      <c r="F1935" s="206"/>
    </row>
    <row r="1936" spans="5:6">
      <c r="E1936" s="206"/>
      <c r="F1936" s="206"/>
    </row>
    <row r="1937" spans="5:6">
      <c r="E1937" s="206"/>
      <c r="F1937" s="206"/>
    </row>
    <row r="1938" spans="5:6">
      <c r="E1938" s="206"/>
      <c r="F1938" s="206"/>
    </row>
    <row r="1939" spans="5:6">
      <c r="E1939" s="206"/>
      <c r="F1939" s="206"/>
    </row>
    <row r="1940" spans="5:6">
      <c r="E1940" s="206"/>
      <c r="F1940" s="206"/>
    </row>
    <row r="1941" spans="5:6">
      <c r="E1941" s="206"/>
      <c r="F1941" s="206"/>
    </row>
    <row r="1942" spans="5:6">
      <c r="E1942" s="206"/>
      <c r="F1942" s="206"/>
    </row>
    <row r="1943" spans="5:6">
      <c r="E1943" s="206"/>
      <c r="F1943" s="206"/>
    </row>
    <row r="1944" spans="5:6">
      <c r="E1944" s="206"/>
      <c r="F1944" s="206"/>
    </row>
    <row r="1945" spans="5:6">
      <c r="E1945" s="206"/>
      <c r="F1945" s="206"/>
    </row>
    <row r="1946" spans="5:6">
      <c r="E1946" s="206"/>
      <c r="F1946" s="206"/>
    </row>
    <row r="1947" spans="5:6">
      <c r="E1947" s="206"/>
      <c r="F1947" s="206"/>
    </row>
    <row r="1948" spans="5:6">
      <c r="E1948" s="206"/>
      <c r="F1948" s="206"/>
    </row>
    <row r="1949" spans="5:6">
      <c r="E1949" s="206"/>
      <c r="F1949" s="206"/>
    </row>
    <row r="1950" spans="5:6">
      <c r="E1950" s="206"/>
      <c r="F1950" s="206"/>
    </row>
    <row r="1951" spans="5:6">
      <c r="E1951" s="206"/>
      <c r="F1951" s="206"/>
    </row>
    <row r="1952" spans="5:6">
      <c r="E1952" s="206"/>
      <c r="F1952" s="206"/>
    </row>
    <row r="1953" spans="5:6">
      <c r="E1953" s="206"/>
      <c r="F1953" s="206"/>
    </row>
    <row r="1954" spans="5:6">
      <c r="E1954" s="206"/>
      <c r="F1954" s="206"/>
    </row>
    <row r="1955" spans="5:6">
      <c r="E1955" s="206"/>
      <c r="F1955" s="206"/>
    </row>
    <row r="1956" spans="5:6">
      <c r="E1956" s="206"/>
      <c r="F1956" s="206"/>
    </row>
    <row r="1957" spans="5:6">
      <c r="E1957" s="206"/>
      <c r="F1957" s="206"/>
    </row>
    <row r="1958" spans="5:6">
      <c r="E1958" s="206"/>
      <c r="F1958" s="206"/>
    </row>
    <row r="1959" spans="5:6">
      <c r="E1959" s="206"/>
      <c r="F1959" s="206"/>
    </row>
    <row r="1960" spans="5:6">
      <c r="E1960" s="206"/>
      <c r="F1960" s="206"/>
    </row>
    <row r="1961" spans="5:6">
      <c r="E1961" s="206"/>
      <c r="F1961" s="206"/>
    </row>
    <row r="1962" spans="5:6">
      <c r="E1962" s="206"/>
      <c r="F1962" s="206"/>
    </row>
    <row r="1963" spans="5:6">
      <c r="E1963" s="206"/>
      <c r="F1963" s="206"/>
    </row>
    <row r="1964" spans="5:6">
      <c r="E1964" s="206"/>
      <c r="F1964" s="206"/>
    </row>
    <row r="1965" spans="5:6">
      <c r="E1965" s="206"/>
      <c r="F1965" s="206"/>
    </row>
    <row r="1966" spans="5:6">
      <c r="E1966" s="206"/>
      <c r="F1966" s="206"/>
    </row>
    <row r="1967" spans="5:6">
      <c r="E1967" s="206"/>
      <c r="F1967" s="206"/>
    </row>
    <row r="1968" spans="5:6">
      <c r="E1968" s="206"/>
      <c r="F1968" s="206"/>
    </row>
    <row r="1969" spans="5:6">
      <c r="E1969" s="206"/>
      <c r="F1969" s="206"/>
    </row>
    <row r="1970" spans="5:6">
      <c r="E1970" s="206"/>
      <c r="F1970" s="206"/>
    </row>
    <row r="1971" spans="5:6">
      <c r="E1971" s="206"/>
      <c r="F1971" s="206"/>
    </row>
    <row r="1972" spans="5:6">
      <c r="E1972" s="206"/>
      <c r="F1972" s="206"/>
    </row>
    <row r="1973" spans="5:6">
      <c r="E1973" s="206"/>
      <c r="F1973" s="206"/>
    </row>
    <row r="1974" spans="5:6">
      <c r="E1974" s="206"/>
      <c r="F1974" s="206"/>
    </row>
    <row r="1975" spans="5:6">
      <c r="E1975" s="206"/>
      <c r="F1975" s="206"/>
    </row>
    <row r="1976" spans="5:6">
      <c r="E1976" s="206"/>
      <c r="F1976" s="206"/>
    </row>
    <row r="1977" spans="5:6">
      <c r="E1977" s="206"/>
      <c r="F1977" s="206"/>
    </row>
    <row r="1978" spans="5:6">
      <c r="E1978" s="206"/>
      <c r="F1978" s="206"/>
    </row>
    <row r="1979" spans="5:6">
      <c r="E1979" s="206"/>
      <c r="F1979" s="206"/>
    </row>
    <row r="1980" spans="5:6">
      <c r="E1980" s="206"/>
      <c r="F1980" s="206"/>
    </row>
    <row r="1981" spans="5:6">
      <c r="E1981" s="206"/>
      <c r="F1981" s="206"/>
    </row>
    <row r="1982" spans="5:6">
      <c r="E1982" s="206"/>
      <c r="F1982" s="206"/>
    </row>
    <row r="1983" spans="5:6">
      <c r="E1983" s="206"/>
      <c r="F1983" s="206"/>
    </row>
    <row r="1984" spans="5:6">
      <c r="E1984" s="206"/>
      <c r="F1984" s="206"/>
    </row>
    <row r="1985" spans="5:6">
      <c r="E1985" s="206"/>
      <c r="F1985" s="206"/>
    </row>
    <row r="1986" spans="5:6">
      <c r="E1986" s="206"/>
      <c r="F1986" s="206"/>
    </row>
    <row r="1987" spans="5:6">
      <c r="E1987" s="206"/>
      <c r="F1987" s="206"/>
    </row>
    <row r="1988" spans="5:6">
      <c r="E1988" s="206"/>
      <c r="F1988" s="206"/>
    </row>
    <row r="1989" spans="5:6">
      <c r="E1989" s="206"/>
      <c r="F1989" s="206"/>
    </row>
    <row r="1990" spans="5:6">
      <c r="E1990" s="206"/>
      <c r="F1990" s="206"/>
    </row>
    <row r="1991" spans="5:6">
      <c r="E1991" s="206"/>
      <c r="F1991" s="206"/>
    </row>
    <row r="1992" spans="5:6">
      <c r="E1992" s="206"/>
      <c r="F1992" s="206"/>
    </row>
    <row r="1993" spans="5:6">
      <c r="E1993" s="206"/>
      <c r="F1993" s="206"/>
    </row>
    <row r="1994" spans="5:6">
      <c r="E1994" s="206"/>
      <c r="F1994" s="206"/>
    </row>
    <row r="1995" spans="5:6">
      <c r="E1995" s="206"/>
      <c r="F1995" s="206"/>
    </row>
    <row r="1996" spans="5:6">
      <c r="E1996" s="206"/>
      <c r="F1996" s="206"/>
    </row>
    <row r="1997" spans="5:6">
      <c r="E1997" s="206"/>
      <c r="F1997" s="206"/>
    </row>
    <row r="1998" spans="5:6">
      <c r="E1998" s="206"/>
      <c r="F1998" s="206"/>
    </row>
    <row r="1999" spans="5:6">
      <c r="E1999" s="206"/>
      <c r="F1999" s="206"/>
    </row>
    <row r="2000" spans="5:6">
      <c r="E2000" s="206"/>
      <c r="F2000" s="206"/>
    </row>
    <row r="2001" spans="5:6">
      <c r="E2001" s="206"/>
      <c r="F2001" s="206"/>
    </row>
    <row r="2002" spans="5:6">
      <c r="E2002" s="206"/>
      <c r="F2002" s="206"/>
    </row>
    <row r="2003" spans="5:6">
      <c r="E2003" s="206"/>
      <c r="F2003" s="206"/>
    </row>
    <row r="2004" spans="5:6">
      <c r="E2004" s="206"/>
      <c r="F2004" s="206"/>
    </row>
    <row r="2005" spans="5:6">
      <c r="E2005" s="206"/>
      <c r="F2005" s="206"/>
    </row>
    <row r="2006" spans="5:6">
      <c r="E2006" s="206"/>
      <c r="F2006" s="206"/>
    </row>
    <row r="2007" spans="5:6">
      <c r="E2007" s="206"/>
      <c r="F2007" s="206"/>
    </row>
    <row r="2008" spans="5:6">
      <c r="E2008" s="206"/>
      <c r="F2008" s="206"/>
    </row>
    <row r="2009" spans="5:6">
      <c r="E2009" s="206"/>
      <c r="F2009" s="206"/>
    </row>
    <row r="2010" spans="5:6">
      <c r="E2010" s="206"/>
      <c r="F2010" s="206"/>
    </row>
    <row r="2011" spans="5:6">
      <c r="E2011" s="206"/>
      <c r="F2011" s="206"/>
    </row>
    <row r="2012" spans="5:6">
      <c r="E2012" s="206"/>
      <c r="F2012" s="206"/>
    </row>
    <row r="2013" spans="5:6">
      <c r="E2013" s="206"/>
      <c r="F2013" s="206"/>
    </row>
    <row r="2014" spans="5:6">
      <c r="E2014" s="206"/>
      <c r="F2014" s="206"/>
    </row>
    <row r="2015" spans="5:6">
      <c r="E2015" s="206"/>
      <c r="F2015" s="206"/>
    </row>
    <row r="2016" spans="5:6">
      <c r="E2016" s="206"/>
      <c r="F2016" s="206"/>
    </row>
    <row r="2017" spans="5:6">
      <c r="E2017" s="206"/>
      <c r="F2017" s="206"/>
    </row>
    <row r="2018" spans="5:6">
      <c r="E2018" s="206"/>
      <c r="F2018" s="206"/>
    </row>
    <row r="2019" spans="5:6">
      <c r="E2019" s="206"/>
      <c r="F2019" s="206"/>
    </row>
    <row r="2020" spans="5:6">
      <c r="E2020" s="206"/>
      <c r="F2020" s="206"/>
    </row>
    <row r="2021" spans="5:6">
      <c r="E2021" s="206"/>
      <c r="F2021" s="206"/>
    </row>
    <row r="2022" spans="5:6">
      <c r="E2022" s="206"/>
      <c r="F2022" s="206"/>
    </row>
    <row r="2023" spans="5:6">
      <c r="E2023" s="206"/>
      <c r="F2023" s="206"/>
    </row>
    <row r="2024" spans="5:6">
      <c r="E2024" s="206"/>
      <c r="F2024" s="206"/>
    </row>
    <row r="2025" spans="5:6">
      <c r="E2025" s="206"/>
      <c r="F2025" s="206"/>
    </row>
    <row r="2026" spans="5:6">
      <c r="E2026" s="206"/>
      <c r="F2026" s="206"/>
    </row>
    <row r="2027" spans="5:6">
      <c r="E2027" s="206"/>
      <c r="F2027" s="206"/>
    </row>
    <row r="2028" spans="5:6">
      <c r="E2028" s="206"/>
      <c r="F2028" s="206"/>
    </row>
    <row r="2029" spans="5:6">
      <c r="E2029" s="206"/>
      <c r="F2029" s="206"/>
    </row>
    <row r="2030" spans="5:6">
      <c r="E2030" s="206"/>
      <c r="F2030" s="206"/>
    </row>
    <row r="2031" spans="5:6">
      <c r="E2031" s="206"/>
      <c r="F2031" s="206"/>
    </row>
    <row r="2032" spans="5:6">
      <c r="E2032" s="206"/>
      <c r="F2032" s="206"/>
    </row>
    <row r="2033" spans="5:6">
      <c r="E2033" s="206"/>
      <c r="F2033" s="206"/>
    </row>
    <row r="2034" spans="5:6">
      <c r="E2034" s="206"/>
      <c r="F2034" s="206"/>
    </row>
    <row r="2035" spans="5:6">
      <c r="E2035" s="206"/>
      <c r="F2035" s="206"/>
    </row>
    <row r="2036" spans="5:6">
      <c r="E2036" s="206"/>
      <c r="F2036" s="206"/>
    </row>
    <row r="2037" spans="5:6">
      <c r="E2037" s="206"/>
      <c r="F2037" s="206"/>
    </row>
    <row r="2038" spans="5:6">
      <c r="E2038" s="206"/>
      <c r="F2038" s="206"/>
    </row>
    <row r="2039" spans="5:6">
      <c r="E2039" s="206"/>
      <c r="F2039" s="206"/>
    </row>
    <row r="2040" spans="5:6">
      <c r="E2040" s="206"/>
      <c r="F2040" s="206"/>
    </row>
    <row r="2041" spans="5:6">
      <c r="E2041" s="206"/>
      <c r="F2041" s="206"/>
    </row>
    <row r="2042" spans="5:6">
      <c r="E2042" s="206"/>
      <c r="F2042" s="206"/>
    </row>
    <row r="2043" spans="5:6">
      <c r="E2043" s="206"/>
      <c r="F2043" s="206"/>
    </row>
    <row r="2044" spans="5:6">
      <c r="E2044" s="206"/>
      <c r="F2044" s="206"/>
    </row>
    <row r="2045" spans="5:6">
      <c r="E2045" s="206"/>
      <c r="F2045" s="206"/>
    </row>
    <row r="2046" spans="5:6">
      <c r="E2046" s="206"/>
      <c r="F2046" s="206"/>
    </row>
    <row r="2047" spans="5:6">
      <c r="E2047" s="206"/>
      <c r="F2047" s="206"/>
    </row>
    <row r="2048" spans="5:6">
      <c r="E2048" s="206"/>
      <c r="F2048" s="206"/>
    </row>
    <row r="2049" spans="5:6">
      <c r="E2049" s="206"/>
      <c r="F2049" s="206"/>
    </row>
    <row r="2050" spans="5:6">
      <c r="E2050" s="206"/>
      <c r="F2050" s="206"/>
    </row>
    <row r="2051" spans="5:6">
      <c r="E2051" s="206"/>
      <c r="F2051" s="206"/>
    </row>
    <row r="2052" spans="5:6">
      <c r="E2052" s="206"/>
      <c r="F2052" s="206"/>
    </row>
    <row r="2053" spans="5:6">
      <c r="E2053" s="206"/>
      <c r="F2053" s="206"/>
    </row>
    <row r="2054" spans="5:6">
      <c r="E2054" s="206"/>
      <c r="F2054" s="206"/>
    </row>
    <row r="2055" spans="5:6">
      <c r="E2055" s="206"/>
      <c r="F2055" s="206"/>
    </row>
    <row r="2056" spans="5:6">
      <c r="E2056" s="206"/>
      <c r="F2056" s="206"/>
    </row>
    <row r="2057" spans="5:6">
      <c r="E2057" s="206"/>
      <c r="F2057" s="206"/>
    </row>
    <row r="2058" spans="5:6">
      <c r="E2058" s="206"/>
      <c r="F2058" s="206"/>
    </row>
    <row r="2059" spans="5:6">
      <c r="E2059" s="206"/>
      <c r="F2059" s="206"/>
    </row>
    <row r="2060" spans="5:6">
      <c r="E2060" s="206"/>
      <c r="F2060" s="206"/>
    </row>
    <row r="2061" spans="5:6">
      <c r="E2061" s="206"/>
      <c r="F2061" s="206"/>
    </row>
    <row r="2062" spans="5:6">
      <c r="E2062" s="206"/>
      <c r="F2062" s="206"/>
    </row>
    <row r="2063" spans="5:6">
      <c r="E2063" s="206"/>
      <c r="F2063" s="206"/>
    </row>
    <row r="2064" spans="5:6">
      <c r="E2064" s="206"/>
      <c r="F2064" s="206"/>
    </row>
    <row r="2065" spans="5:6">
      <c r="E2065" s="206"/>
      <c r="F2065" s="206"/>
    </row>
    <row r="2066" spans="5:6">
      <c r="E2066" s="206"/>
      <c r="F2066" s="206"/>
    </row>
    <row r="2067" spans="5:6">
      <c r="E2067" s="206"/>
      <c r="F2067" s="206"/>
    </row>
    <row r="2068" spans="5:6">
      <c r="E2068" s="206"/>
      <c r="F2068" s="206"/>
    </row>
    <row r="2069" spans="5:6">
      <c r="E2069" s="206"/>
      <c r="F2069" s="206"/>
    </row>
    <row r="2070" spans="5:6">
      <c r="E2070" s="206"/>
      <c r="F2070" s="206"/>
    </row>
    <row r="2071" spans="5:6">
      <c r="E2071" s="206"/>
      <c r="F2071" s="206"/>
    </row>
    <row r="2072" spans="5:6">
      <c r="E2072" s="206"/>
      <c r="F2072" s="206"/>
    </row>
    <row r="2073" spans="5:6">
      <c r="E2073" s="206"/>
      <c r="F2073" s="206"/>
    </row>
    <row r="2074" spans="5:6">
      <c r="E2074" s="206"/>
      <c r="F2074" s="206"/>
    </row>
    <row r="2075" spans="5:6">
      <c r="E2075" s="206"/>
      <c r="F2075" s="206"/>
    </row>
    <row r="2076" spans="5:6">
      <c r="E2076" s="206"/>
      <c r="F2076" s="206"/>
    </row>
    <row r="2077" spans="5:6">
      <c r="E2077" s="206"/>
      <c r="F2077" s="206"/>
    </row>
    <row r="2078" spans="5:6">
      <c r="E2078" s="206"/>
      <c r="F2078" s="206"/>
    </row>
    <row r="2079" spans="5:6">
      <c r="E2079" s="206"/>
      <c r="F2079" s="206"/>
    </row>
    <row r="2080" spans="5:6">
      <c r="E2080" s="206"/>
      <c r="F2080" s="206"/>
    </row>
    <row r="2081" spans="5:6">
      <c r="E2081" s="206"/>
      <c r="F2081" s="206"/>
    </row>
    <row r="2082" spans="5:6">
      <c r="E2082" s="206"/>
      <c r="F2082" s="206"/>
    </row>
    <row r="2083" spans="5:6">
      <c r="E2083" s="206"/>
      <c r="F2083" s="206"/>
    </row>
    <row r="2084" spans="5:6">
      <c r="E2084" s="206"/>
      <c r="F2084" s="206"/>
    </row>
    <row r="2085" spans="5:6">
      <c r="E2085" s="206"/>
      <c r="F2085" s="206"/>
    </row>
    <row r="2086" spans="5:6">
      <c r="E2086" s="206"/>
      <c r="F2086" s="206"/>
    </row>
    <row r="2087" spans="5:6">
      <c r="E2087" s="206"/>
      <c r="F2087" s="206"/>
    </row>
    <row r="2088" spans="5:6">
      <c r="E2088" s="206"/>
      <c r="F2088" s="206"/>
    </row>
    <row r="2089" spans="5:6">
      <c r="E2089" s="206"/>
      <c r="F2089" s="206"/>
    </row>
    <row r="2090" spans="5:6">
      <c r="E2090" s="206"/>
      <c r="F2090" s="206"/>
    </row>
    <row r="2091" spans="5:6">
      <c r="E2091" s="206"/>
      <c r="F2091" s="206"/>
    </row>
    <row r="2092" spans="5:6">
      <c r="E2092" s="206"/>
      <c r="F2092" s="206"/>
    </row>
    <row r="2093" spans="5:6">
      <c r="E2093" s="206"/>
      <c r="F2093" s="206"/>
    </row>
    <row r="2094" spans="5:6">
      <c r="E2094" s="206"/>
      <c r="F2094" s="206"/>
    </row>
    <row r="2095" spans="5:6">
      <c r="E2095" s="206"/>
      <c r="F2095" s="206"/>
    </row>
    <row r="2096" spans="5:6">
      <c r="E2096" s="206"/>
      <c r="F2096" s="206"/>
    </row>
    <row r="2097" spans="5:6">
      <c r="E2097" s="206"/>
      <c r="F2097" s="206"/>
    </row>
    <row r="2098" spans="5:6">
      <c r="E2098" s="206"/>
      <c r="F2098" s="206"/>
    </row>
    <row r="2099" spans="5:6">
      <c r="E2099" s="206"/>
      <c r="F2099" s="206"/>
    </row>
    <row r="2100" spans="5:6">
      <c r="E2100" s="206"/>
      <c r="F2100" s="206"/>
    </row>
    <row r="2101" spans="5:6">
      <c r="E2101" s="206"/>
      <c r="F2101" s="206"/>
    </row>
    <row r="2102" spans="5:6">
      <c r="E2102" s="206"/>
      <c r="F2102" s="206"/>
    </row>
    <row r="2103" spans="5:6">
      <c r="E2103" s="206"/>
      <c r="F2103" s="206"/>
    </row>
    <row r="2104" spans="5:6">
      <c r="E2104" s="206"/>
      <c r="F2104" s="206"/>
    </row>
    <row r="2105" spans="5:6">
      <c r="E2105" s="206"/>
      <c r="F2105" s="206"/>
    </row>
    <row r="2106" spans="5:6">
      <c r="E2106" s="206"/>
      <c r="F2106" s="206"/>
    </row>
    <row r="2107" spans="5:6">
      <c r="E2107" s="206"/>
      <c r="F2107" s="206"/>
    </row>
    <row r="2108" spans="5:6">
      <c r="E2108" s="206"/>
      <c r="F2108" s="206"/>
    </row>
    <row r="2109" spans="5:6">
      <c r="E2109" s="206"/>
      <c r="F2109" s="206"/>
    </row>
    <row r="2110" spans="5:6">
      <c r="E2110" s="206"/>
      <c r="F2110" s="206"/>
    </row>
    <row r="2111" spans="5:6">
      <c r="E2111" s="206"/>
      <c r="F2111" s="206"/>
    </row>
    <row r="2112" spans="5:6">
      <c r="E2112" s="206"/>
      <c r="F2112" s="206"/>
    </row>
    <row r="2113" spans="5:6">
      <c r="E2113" s="206"/>
      <c r="F2113" s="206"/>
    </row>
    <row r="2114" spans="5:6">
      <c r="E2114" s="206"/>
      <c r="F2114" s="206"/>
    </row>
    <row r="2115" spans="5:6">
      <c r="E2115" s="206"/>
      <c r="F2115" s="206"/>
    </row>
    <row r="2116" spans="5:6">
      <c r="E2116" s="206"/>
      <c r="F2116" s="206"/>
    </row>
    <row r="2117" spans="5:6">
      <c r="E2117" s="206"/>
      <c r="F2117" s="206"/>
    </row>
    <row r="2118" spans="5:6">
      <c r="E2118" s="206"/>
      <c r="F2118" s="206"/>
    </row>
    <row r="2119" spans="5:6">
      <c r="E2119" s="206"/>
      <c r="F2119" s="206"/>
    </row>
    <row r="2120" spans="5:6">
      <c r="E2120" s="206"/>
      <c r="F2120" s="206"/>
    </row>
    <row r="2121" spans="5:6">
      <c r="E2121" s="206"/>
      <c r="F2121" s="206"/>
    </row>
    <row r="2122" spans="5:6">
      <c r="E2122" s="206"/>
      <c r="F2122" s="206"/>
    </row>
    <row r="2123" spans="5:6">
      <c r="E2123" s="206"/>
      <c r="F2123" s="206"/>
    </row>
    <row r="2124" spans="5:6">
      <c r="E2124" s="206"/>
      <c r="F2124" s="206"/>
    </row>
    <row r="2125" spans="5:6">
      <c r="E2125" s="206"/>
      <c r="F2125" s="206"/>
    </row>
    <row r="2126" spans="5:6">
      <c r="E2126" s="206"/>
      <c r="F2126" s="206"/>
    </row>
    <row r="2127" spans="5:6">
      <c r="E2127" s="206"/>
      <c r="F2127" s="206"/>
    </row>
    <row r="2128" spans="5:6">
      <c r="E2128" s="206"/>
      <c r="F2128" s="206"/>
    </row>
    <row r="2129" spans="5:6">
      <c r="E2129" s="206"/>
      <c r="F2129" s="206"/>
    </row>
    <row r="2130" spans="5:6">
      <c r="E2130" s="206"/>
      <c r="F2130" s="206"/>
    </row>
    <row r="2131" spans="5:6">
      <c r="E2131" s="206"/>
      <c r="F2131" s="206"/>
    </row>
    <row r="2132" spans="5:6">
      <c r="E2132" s="206"/>
      <c r="F2132" s="206"/>
    </row>
    <row r="2133" spans="5:6">
      <c r="E2133" s="206"/>
      <c r="F2133" s="206"/>
    </row>
    <row r="2134" spans="5:6">
      <c r="E2134" s="206"/>
      <c r="F2134" s="206"/>
    </row>
    <row r="2135" spans="5:6">
      <c r="E2135" s="206"/>
      <c r="F2135" s="206"/>
    </row>
    <row r="2136" spans="5:6">
      <c r="E2136" s="206"/>
      <c r="F2136" s="206"/>
    </row>
    <row r="2137" spans="5:6">
      <c r="E2137" s="206"/>
      <c r="F2137" s="206"/>
    </row>
    <row r="2138" spans="5:6">
      <c r="E2138" s="206"/>
      <c r="F2138" s="206"/>
    </row>
    <row r="2139" spans="5:6">
      <c r="E2139" s="206"/>
      <c r="F2139" s="206"/>
    </row>
    <row r="2140" spans="5:6">
      <c r="E2140" s="206"/>
      <c r="F2140" s="206"/>
    </row>
    <row r="2141" spans="5:6">
      <c r="E2141" s="206"/>
      <c r="F2141" s="206"/>
    </row>
    <row r="2142" spans="5:6">
      <c r="E2142" s="206"/>
      <c r="F2142" s="206"/>
    </row>
    <row r="2143" spans="5:6">
      <c r="E2143" s="206"/>
      <c r="F2143" s="206"/>
    </row>
    <row r="2144" spans="5:6">
      <c r="E2144" s="206"/>
      <c r="F2144" s="206"/>
    </row>
    <row r="2145" spans="5:6">
      <c r="E2145" s="206"/>
      <c r="F2145" s="206"/>
    </row>
    <row r="2146" spans="5:6">
      <c r="E2146" s="206"/>
      <c r="F2146" s="206"/>
    </row>
    <row r="2147" spans="5:6">
      <c r="E2147" s="206"/>
      <c r="F2147" s="206"/>
    </row>
    <row r="2148" spans="5:6">
      <c r="E2148" s="206"/>
      <c r="F2148" s="206"/>
    </row>
    <row r="2149" spans="5:6">
      <c r="E2149" s="206"/>
      <c r="F2149" s="206"/>
    </row>
    <row r="2150" spans="5:6">
      <c r="E2150" s="206"/>
      <c r="F2150" s="206"/>
    </row>
    <row r="2151" spans="5:6">
      <c r="E2151" s="206"/>
      <c r="F2151" s="206"/>
    </row>
    <row r="2152" spans="5:6">
      <c r="E2152" s="206"/>
      <c r="F2152" s="206"/>
    </row>
    <row r="2153" spans="5:6">
      <c r="E2153" s="206"/>
      <c r="F2153" s="206"/>
    </row>
    <row r="2154" spans="5:6">
      <c r="E2154" s="206"/>
      <c r="F2154" s="206"/>
    </row>
    <row r="2155" spans="5:6">
      <c r="E2155" s="206"/>
      <c r="F2155" s="206"/>
    </row>
    <row r="2156" spans="5:6">
      <c r="E2156" s="206"/>
      <c r="F2156" s="206"/>
    </row>
    <row r="2157" spans="5:6">
      <c r="E2157" s="206"/>
      <c r="F2157" s="206"/>
    </row>
    <row r="2158" spans="5:6">
      <c r="E2158" s="206"/>
      <c r="F2158" s="206"/>
    </row>
    <row r="2159" spans="5:6">
      <c r="E2159" s="206"/>
      <c r="F2159" s="206"/>
    </row>
    <row r="2160" spans="5:6">
      <c r="E2160" s="206"/>
      <c r="F2160" s="206"/>
    </row>
    <row r="2161" spans="5:6">
      <c r="E2161" s="206"/>
      <c r="F2161" s="206"/>
    </row>
    <row r="2162" spans="5:6">
      <c r="E2162" s="206"/>
      <c r="F2162" s="206"/>
    </row>
    <row r="2163" spans="5:6">
      <c r="E2163" s="206"/>
      <c r="F2163" s="206"/>
    </row>
    <row r="2164" spans="5:6">
      <c r="E2164" s="206"/>
      <c r="F2164" s="206"/>
    </row>
    <row r="2165" spans="5:6">
      <c r="E2165" s="206"/>
      <c r="F2165" s="206"/>
    </row>
    <row r="2166" spans="5:6">
      <c r="E2166" s="206"/>
      <c r="F2166" s="206"/>
    </row>
    <row r="2167" spans="5:6">
      <c r="E2167" s="206"/>
      <c r="F2167" s="206"/>
    </row>
    <row r="2168" spans="5:6">
      <c r="E2168" s="206"/>
      <c r="F2168" s="206"/>
    </row>
    <row r="2169" spans="5:6">
      <c r="E2169" s="206"/>
      <c r="F2169" s="206"/>
    </row>
    <row r="2170" spans="5:6">
      <c r="E2170" s="206"/>
      <c r="F2170" s="206"/>
    </row>
    <row r="2171" spans="5:6">
      <c r="E2171" s="206"/>
      <c r="F2171" s="206"/>
    </row>
    <row r="2172" spans="5:6">
      <c r="E2172" s="206"/>
      <c r="F2172" s="206"/>
    </row>
    <row r="2173" spans="5:6">
      <c r="E2173" s="206"/>
      <c r="F2173" s="206"/>
    </row>
    <row r="2174" spans="5:6">
      <c r="E2174" s="206"/>
      <c r="F2174" s="206"/>
    </row>
    <row r="2175" spans="5:6">
      <c r="E2175" s="206"/>
      <c r="F2175" s="206"/>
    </row>
    <row r="2176" spans="5:6">
      <c r="E2176" s="206"/>
      <c r="F2176" s="206"/>
    </row>
    <row r="2177" spans="5:6">
      <c r="E2177" s="206"/>
      <c r="F2177" s="206"/>
    </row>
    <row r="2178" spans="5:6">
      <c r="E2178" s="206"/>
      <c r="F2178" s="206"/>
    </row>
    <row r="2179" spans="5:6">
      <c r="E2179" s="206"/>
      <c r="F2179" s="206"/>
    </row>
    <row r="2180" spans="5:6">
      <c r="E2180" s="206"/>
      <c r="F2180" s="206"/>
    </row>
    <row r="2181" spans="5:6">
      <c r="E2181" s="206"/>
      <c r="F2181" s="206"/>
    </row>
    <row r="2182" spans="5:6">
      <c r="E2182" s="206"/>
      <c r="F2182" s="206"/>
    </row>
    <row r="2183" spans="5:6">
      <c r="E2183" s="206"/>
      <c r="F2183" s="206"/>
    </row>
    <row r="2184" spans="5:6">
      <c r="E2184" s="206"/>
      <c r="F2184" s="206"/>
    </row>
    <row r="2185" spans="5:6">
      <c r="E2185" s="206"/>
      <c r="F2185" s="206"/>
    </row>
    <row r="2186" spans="5:6">
      <c r="E2186" s="206"/>
      <c r="F2186" s="206"/>
    </row>
    <row r="2187" spans="5:6">
      <c r="E2187" s="206"/>
      <c r="F2187" s="206"/>
    </row>
    <row r="2188" spans="5:6">
      <c r="E2188" s="206"/>
      <c r="F2188" s="206"/>
    </row>
    <row r="2189" spans="5:6">
      <c r="E2189" s="206"/>
      <c r="F2189" s="206"/>
    </row>
    <row r="2190" spans="5:6">
      <c r="E2190" s="206"/>
      <c r="F2190" s="206"/>
    </row>
    <row r="2191" spans="5:6">
      <c r="E2191" s="206"/>
      <c r="F2191" s="206"/>
    </row>
    <row r="2192" spans="5:6">
      <c r="E2192" s="206"/>
      <c r="F2192" s="206"/>
    </row>
    <row r="2193" spans="5:6">
      <c r="E2193" s="206"/>
      <c r="F2193" s="206"/>
    </row>
    <row r="2194" spans="5:6">
      <c r="E2194" s="206"/>
      <c r="F2194" s="206"/>
    </row>
    <row r="2195" spans="5:6">
      <c r="E2195" s="206"/>
      <c r="F2195" s="206"/>
    </row>
    <row r="2196" spans="5:6">
      <c r="E2196" s="206"/>
      <c r="F2196" s="206"/>
    </row>
    <row r="2197" spans="5:6">
      <c r="E2197" s="206"/>
      <c r="F2197" s="206"/>
    </row>
    <row r="2198" spans="5:6">
      <c r="E2198" s="206"/>
      <c r="F2198" s="206"/>
    </row>
    <row r="2199" spans="5:6">
      <c r="E2199" s="206"/>
      <c r="F2199" s="206"/>
    </row>
    <row r="2200" spans="5:6">
      <c r="E2200" s="206"/>
      <c r="F2200" s="206"/>
    </row>
    <row r="2201" spans="5:6">
      <c r="E2201" s="206"/>
      <c r="F2201" s="206"/>
    </row>
    <row r="2202" spans="5:6">
      <c r="E2202" s="206"/>
      <c r="F2202" s="206"/>
    </row>
    <row r="2203" spans="5:6">
      <c r="E2203" s="206"/>
      <c r="F2203" s="206"/>
    </row>
    <row r="2204" spans="5:6">
      <c r="E2204" s="206"/>
      <c r="F2204" s="206"/>
    </row>
    <row r="2205" spans="5:6">
      <c r="E2205" s="206"/>
      <c r="F2205" s="206"/>
    </row>
    <row r="2206" spans="5:6">
      <c r="E2206" s="206"/>
      <c r="F2206" s="206"/>
    </row>
    <row r="2207" spans="5:6">
      <c r="E2207" s="206"/>
      <c r="F2207" s="206"/>
    </row>
    <row r="2208" spans="5:6">
      <c r="E2208" s="206"/>
      <c r="F2208" s="206"/>
    </row>
    <row r="2209" spans="5:6">
      <c r="E2209" s="206"/>
      <c r="F2209" s="206"/>
    </row>
    <row r="2210" spans="5:6">
      <c r="E2210" s="206"/>
      <c r="F2210" s="206"/>
    </row>
    <row r="2211" spans="5:6">
      <c r="E2211" s="206"/>
      <c r="F2211" s="206"/>
    </row>
    <row r="2212" spans="5:6">
      <c r="E2212" s="206"/>
      <c r="F2212" s="206"/>
    </row>
    <row r="2213" spans="5:6">
      <c r="E2213" s="206"/>
      <c r="F2213" s="206"/>
    </row>
    <row r="2214" spans="5:6">
      <c r="E2214" s="206"/>
      <c r="F2214" s="206"/>
    </row>
    <row r="2215" spans="5:6">
      <c r="E2215" s="206"/>
      <c r="F2215" s="206"/>
    </row>
    <row r="2216" spans="5:6">
      <c r="E2216" s="206"/>
      <c r="F2216" s="206"/>
    </row>
    <row r="2217" spans="5:6">
      <c r="E2217" s="206"/>
      <c r="F2217" s="206"/>
    </row>
    <row r="2218" spans="5:6">
      <c r="E2218" s="206"/>
      <c r="F2218" s="206"/>
    </row>
    <row r="2219" spans="5:6">
      <c r="E2219" s="206"/>
      <c r="F2219" s="206"/>
    </row>
    <row r="2220" spans="5:6">
      <c r="E2220" s="206"/>
      <c r="F2220" s="206"/>
    </row>
    <row r="2221" spans="5:6">
      <c r="E2221" s="206"/>
      <c r="F2221" s="206"/>
    </row>
    <row r="2222" spans="5:6">
      <c r="E2222" s="206"/>
      <c r="F2222" s="206"/>
    </row>
    <row r="2223" spans="5:6">
      <c r="E2223" s="206"/>
      <c r="F2223" s="206"/>
    </row>
    <row r="2224" spans="5:6">
      <c r="E2224" s="206"/>
      <c r="F2224" s="206"/>
    </row>
    <row r="2225" spans="5:6">
      <c r="E2225" s="206"/>
      <c r="F2225" s="206"/>
    </row>
    <row r="2226" spans="5:6">
      <c r="E2226" s="206"/>
      <c r="F2226" s="206"/>
    </row>
    <row r="2227" spans="5:6">
      <c r="E2227" s="206"/>
      <c r="F2227" s="206"/>
    </row>
    <row r="2228" spans="5:6">
      <c r="E2228" s="206"/>
      <c r="F2228" s="206"/>
    </row>
    <row r="2229" spans="5:6">
      <c r="E2229" s="206"/>
      <c r="F2229" s="206"/>
    </row>
    <row r="2230" spans="5:6">
      <c r="E2230" s="206"/>
      <c r="F2230" s="206"/>
    </row>
    <row r="2231" spans="5:6">
      <c r="E2231" s="206"/>
      <c r="F2231" s="206"/>
    </row>
    <row r="2232" spans="5:6">
      <c r="E2232" s="206"/>
      <c r="F2232" s="206"/>
    </row>
    <row r="2233" spans="5:6">
      <c r="E2233" s="206"/>
      <c r="F2233" s="206"/>
    </row>
    <row r="2234" spans="5:6">
      <c r="E2234" s="206"/>
      <c r="F2234" s="206"/>
    </row>
    <row r="2235" spans="5:6">
      <c r="E2235" s="206"/>
      <c r="F2235" s="206"/>
    </row>
    <row r="2236" spans="5:6">
      <c r="E2236" s="206"/>
      <c r="F2236" s="206"/>
    </row>
    <row r="2237" spans="5:6">
      <c r="E2237" s="206"/>
      <c r="F2237" s="206"/>
    </row>
    <row r="2238" spans="5:6">
      <c r="E2238" s="206"/>
      <c r="F2238" s="206"/>
    </row>
    <row r="2239" spans="5:6">
      <c r="E2239" s="206"/>
      <c r="F2239" s="206"/>
    </row>
    <row r="2240" spans="5:6">
      <c r="E2240" s="206"/>
      <c r="F2240" s="206"/>
    </row>
    <row r="2241" spans="5:6">
      <c r="E2241" s="206"/>
      <c r="F2241" s="206"/>
    </row>
    <row r="2242" spans="5:6">
      <c r="E2242" s="206"/>
      <c r="F2242" s="206"/>
    </row>
    <row r="2243" spans="5:6">
      <c r="E2243" s="206"/>
      <c r="F2243" s="206"/>
    </row>
    <row r="2244" spans="5:6">
      <c r="E2244" s="206"/>
      <c r="F2244" s="206"/>
    </row>
    <row r="2245" spans="5:6">
      <c r="E2245" s="206"/>
      <c r="F2245" s="206"/>
    </row>
    <row r="2246" spans="5:6">
      <c r="E2246" s="206"/>
      <c r="F2246" s="206"/>
    </row>
    <row r="2247" spans="5:6">
      <c r="E2247" s="206"/>
      <c r="F2247" s="206"/>
    </row>
    <row r="2248" spans="5:6">
      <c r="E2248" s="206"/>
      <c r="F2248" s="206"/>
    </row>
    <row r="2249" spans="5:6">
      <c r="E2249" s="206"/>
      <c r="F2249" s="206"/>
    </row>
    <row r="2250" spans="5:6">
      <c r="E2250" s="206"/>
      <c r="F2250" s="206"/>
    </row>
    <row r="2251" spans="5:6">
      <c r="E2251" s="206"/>
      <c r="F2251" s="206"/>
    </row>
    <row r="2252" spans="5:6">
      <c r="E2252" s="206"/>
      <c r="F2252" s="206"/>
    </row>
    <row r="2253" spans="5:6">
      <c r="E2253" s="206"/>
      <c r="F2253" s="206"/>
    </row>
    <row r="2254" spans="5:6">
      <c r="E2254" s="206"/>
      <c r="F2254" s="206"/>
    </row>
    <row r="2255" spans="5:6">
      <c r="E2255" s="206"/>
      <c r="F2255" s="206"/>
    </row>
    <row r="2256" spans="5:6">
      <c r="E2256" s="206"/>
      <c r="F2256" s="206"/>
    </row>
    <row r="2257" spans="5:6">
      <c r="E2257" s="206"/>
      <c r="F2257" s="206"/>
    </row>
    <row r="2258" spans="5:6">
      <c r="E2258" s="206"/>
      <c r="F2258" s="206"/>
    </row>
    <row r="2259" spans="5:6">
      <c r="E2259" s="206"/>
      <c r="F2259" s="206"/>
    </row>
    <row r="2260" spans="5:6">
      <c r="E2260" s="206"/>
      <c r="F2260" s="206"/>
    </row>
    <row r="2261" spans="5:6">
      <c r="E2261" s="206"/>
      <c r="F2261" s="206"/>
    </row>
    <row r="2262" spans="5:6">
      <c r="E2262" s="206"/>
      <c r="F2262" s="206"/>
    </row>
    <row r="2263" spans="5:6">
      <c r="E2263" s="206"/>
      <c r="F2263" s="206"/>
    </row>
    <row r="2264" spans="5:6">
      <c r="E2264" s="206"/>
      <c r="F2264" s="206"/>
    </row>
    <row r="2265" spans="5:6">
      <c r="E2265" s="206"/>
      <c r="F2265" s="206"/>
    </row>
    <row r="2266" spans="5:6">
      <c r="E2266" s="206"/>
      <c r="F2266" s="206"/>
    </row>
    <row r="2267" spans="5:6">
      <c r="E2267" s="206"/>
      <c r="F2267" s="206"/>
    </row>
    <row r="2268" spans="5:6">
      <c r="E2268" s="206"/>
      <c r="F2268" s="206"/>
    </row>
    <row r="2269" spans="5:6">
      <c r="E2269" s="206"/>
      <c r="F2269" s="206"/>
    </row>
    <row r="2270" spans="5:6">
      <c r="E2270" s="206"/>
      <c r="F2270" s="206"/>
    </row>
    <row r="2271" spans="5:6">
      <c r="E2271" s="206"/>
      <c r="F2271" s="206"/>
    </row>
    <row r="2272" spans="5:6">
      <c r="E2272" s="206"/>
      <c r="F2272" s="206"/>
    </row>
    <row r="2273" spans="5:6">
      <c r="E2273" s="206"/>
      <c r="F2273" s="206"/>
    </row>
    <row r="2274" spans="5:6">
      <c r="E2274" s="206"/>
      <c r="F2274" s="206"/>
    </row>
    <row r="2275" spans="5:6">
      <c r="E2275" s="206"/>
      <c r="F2275" s="206"/>
    </row>
    <row r="2276" spans="5:6">
      <c r="E2276" s="206"/>
      <c r="F2276" s="206"/>
    </row>
    <row r="2277" spans="5:6">
      <c r="E2277" s="206"/>
      <c r="F2277" s="206"/>
    </row>
    <row r="2278" spans="5:6">
      <c r="E2278" s="206"/>
      <c r="F2278" s="206"/>
    </row>
    <row r="2279" spans="5:6">
      <c r="E2279" s="206"/>
      <c r="F2279" s="206"/>
    </row>
    <row r="2280" spans="5:6">
      <c r="E2280" s="206"/>
      <c r="F2280" s="206"/>
    </row>
    <row r="2281" spans="5:6">
      <c r="E2281" s="206"/>
      <c r="F2281" s="206"/>
    </row>
    <row r="2282" spans="5:6">
      <c r="E2282" s="206"/>
      <c r="F2282" s="206"/>
    </row>
    <row r="2283" spans="5:6">
      <c r="E2283" s="206"/>
      <c r="F2283" s="206"/>
    </row>
    <row r="2284" spans="5:6">
      <c r="E2284" s="206"/>
      <c r="F2284" s="206"/>
    </row>
    <row r="2285" spans="5:6">
      <c r="E2285" s="206"/>
      <c r="F2285" s="206"/>
    </row>
    <row r="2286" spans="5:6">
      <c r="E2286" s="206"/>
      <c r="F2286" s="206"/>
    </row>
    <row r="2287" spans="5:6">
      <c r="E2287" s="206"/>
      <c r="F2287" s="206"/>
    </row>
    <row r="2288" spans="5:6">
      <c r="E2288" s="206"/>
      <c r="F2288" s="206"/>
    </row>
    <row r="2289" spans="5:6">
      <c r="E2289" s="206"/>
      <c r="F2289" s="206"/>
    </row>
    <row r="2290" spans="5:6">
      <c r="E2290" s="206"/>
      <c r="F2290" s="206"/>
    </row>
    <row r="2291" spans="5:6">
      <c r="E2291" s="206"/>
      <c r="F2291" s="206"/>
    </row>
    <row r="2292" spans="5:6">
      <c r="E2292" s="206"/>
      <c r="F2292" s="206"/>
    </row>
    <row r="2293" spans="5:6">
      <c r="E2293" s="206"/>
      <c r="F2293" s="206"/>
    </row>
    <row r="2294" spans="5:6">
      <c r="E2294" s="206"/>
      <c r="F2294" s="206"/>
    </row>
    <row r="2295" spans="5:6">
      <c r="E2295" s="206"/>
      <c r="F2295" s="206"/>
    </row>
    <row r="2296" spans="5:6">
      <c r="E2296" s="206"/>
      <c r="F2296" s="206"/>
    </row>
    <row r="2297" spans="5:6">
      <c r="E2297" s="206"/>
      <c r="F2297" s="206"/>
    </row>
    <row r="2298" spans="5:6">
      <c r="E2298" s="206"/>
      <c r="F2298" s="206"/>
    </row>
    <row r="2299" spans="5:6">
      <c r="E2299" s="206"/>
      <c r="F2299" s="206"/>
    </row>
    <row r="2300" spans="5:6">
      <c r="E2300" s="206"/>
      <c r="F2300" s="206"/>
    </row>
    <row r="2301" spans="5:6">
      <c r="E2301" s="206"/>
      <c r="F2301" s="206"/>
    </row>
    <row r="2302" spans="5:6">
      <c r="E2302" s="206"/>
      <c r="F2302" s="206"/>
    </row>
    <row r="2303" spans="5:6">
      <c r="E2303" s="206"/>
      <c r="F2303" s="206"/>
    </row>
    <row r="2304" spans="5:6">
      <c r="E2304" s="206"/>
      <c r="F2304" s="206"/>
    </row>
    <row r="2305" spans="5:6">
      <c r="E2305" s="206"/>
      <c r="F2305" s="206"/>
    </row>
    <row r="2306" spans="5:6">
      <c r="E2306" s="206"/>
      <c r="F2306" s="206"/>
    </row>
    <row r="2307" spans="5:6">
      <c r="E2307" s="206"/>
      <c r="F2307" s="206"/>
    </row>
    <row r="2308" spans="5:6">
      <c r="E2308" s="206"/>
      <c r="F2308" s="206"/>
    </row>
    <row r="2309" spans="5:6">
      <c r="E2309" s="206"/>
      <c r="F2309" s="206"/>
    </row>
    <row r="2310" spans="5:6">
      <c r="E2310" s="206"/>
      <c r="F2310" s="206"/>
    </row>
    <row r="2311" spans="5:6">
      <c r="E2311" s="206"/>
      <c r="F2311" s="206"/>
    </row>
    <row r="2312" spans="5:6">
      <c r="E2312" s="206"/>
      <c r="F2312" s="206"/>
    </row>
    <row r="2313" spans="5:6">
      <c r="E2313" s="206"/>
      <c r="F2313" s="206"/>
    </row>
    <row r="2314" spans="5:6">
      <c r="E2314" s="206"/>
      <c r="F2314" s="206"/>
    </row>
    <row r="2315" spans="5:6">
      <c r="E2315" s="206"/>
      <c r="F2315" s="206"/>
    </row>
    <row r="2316" spans="5:6">
      <c r="E2316" s="206"/>
      <c r="F2316" s="206"/>
    </row>
    <row r="2317" spans="5:6">
      <c r="E2317" s="206"/>
      <c r="F2317" s="206"/>
    </row>
    <row r="2318" spans="5:6">
      <c r="E2318" s="206"/>
      <c r="F2318" s="206"/>
    </row>
    <row r="2319" spans="5:6">
      <c r="E2319" s="206"/>
      <c r="F2319" s="206"/>
    </row>
    <row r="2320" spans="5:6">
      <c r="E2320" s="206"/>
      <c r="F2320" s="206"/>
    </row>
    <row r="2321" spans="5:6">
      <c r="E2321" s="206"/>
      <c r="F2321" s="206"/>
    </row>
    <row r="2322" spans="5:6">
      <c r="E2322" s="206"/>
      <c r="F2322" s="206"/>
    </row>
    <row r="2323" spans="5:6">
      <c r="E2323" s="206"/>
      <c r="F2323" s="206"/>
    </row>
    <row r="2324" spans="5:6">
      <c r="E2324" s="206"/>
      <c r="F2324" s="206"/>
    </row>
    <row r="2325" spans="5:6">
      <c r="E2325" s="206"/>
      <c r="F2325" s="206"/>
    </row>
    <row r="2326" spans="5:6">
      <c r="E2326" s="206"/>
      <c r="F2326" s="206"/>
    </row>
    <row r="2327" spans="5:6">
      <c r="E2327" s="206"/>
      <c r="F2327" s="206"/>
    </row>
    <row r="2328" spans="5:6">
      <c r="E2328" s="206"/>
      <c r="F2328" s="206"/>
    </row>
    <row r="2329" spans="5:6">
      <c r="E2329" s="206"/>
      <c r="F2329" s="206"/>
    </row>
    <row r="2330" spans="5:6">
      <c r="E2330" s="206"/>
      <c r="F2330" s="206"/>
    </row>
    <row r="2331" spans="5:6">
      <c r="E2331" s="206"/>
      <c r="F2331" s="206"/>
    </row>
    <row r="2332" spans="5:6">
      <c r="E2332" s="206"/>
      <c r="F2332" s="206"/>
    </row>
    <row r="2333" spans="5:6">
      <c r="E2333" s="206"/>
      <c r="F2333" s="206"/>
    </row>
    <row r="2334" spans="5:6">
      <c r="E2334" s="206"/>
      <c r="F2334" s="206"/>
    </row>
    <row r="2335" spans="5:6">
      <c r="E2335" s="206"/>
      <c r="F2335" s="206"/>
    </row>
    <row r="2336" spans="5:6">
      <c r="E2336" s="206"/>
      <c r="F2336" s="206"/>
    </row>
    <row r="2337" spans="5:6">
      <c r="E2337" s="206"/>
      <c r="F2337" s="206"/>
    </row>
    <row r="2338" spans="5:6">
      <c r="E2338" s="206"/>
      <c r="F2338" s="206"/>
    </row>
    <row r="2339" spans="5:6">
      <c r="E2339" s="206"/>
      <c r="F2339" s="206"/>
    </row>
    <row r="2340" spans="5:6">
      <c r="E2340" s="206"/>
      <c r="F2340" s="206"/>
    </row>
    <row r="2341" spans="5:6">
      <c r="E2341" s="206"/>
      <c r="F2341" s="206"/>
    </row>
    <row r="2342" spans="5:6">
      <c r="E2342" s="206"/>
      <c r="F2342" s="206"/>
    </row>
    <row r="2343" spans="5:6">
      <c r="E2343" s="206"/>
      <c r="F2343" s="206"/>
    </row>
    <row r="2344" spans="5:6">
      <c r="E2344" s="206"/>
      <c r="F2344" s="206"/>
    </row>
    <row r="2345" spans="5:6">
      <c r="E2345" s="206"/>
      <c r="F2345" s="206"/>
    </row>
    <row r="2346" spans="5:6">
      <c r="E2346" s="206"/>
      <c r="F2346" s="206"/>
    </row>
    <row r="2347" spans="5:6">
      <c r="E2347" s="206"/>
      <c r="F2347" s="206"/>
    </row>
    <row r="2348" spans="5:6">
      <c r="E2348" s="206"/>
      <c r="F2348" s="206"/>
    </row>
    <row r="2349" spans="5:6">
      <c r="E2349" s="206"/>
      <c r="F2349" s="206"/>
    </row>
    <row r="2350" spans="5:6">
      <c r="E2350" s="206"/>
      <c r="F2350" s="206"/>
    </row>
    <row r="2351" spans="5:6">
      <c r="E2351" s="206"/>
      <c r="F2351" s="206"/>
    </row>
    <row r="2352" spans="5:6">
      <c r="E2352" s="206"/>
      <c r="F2352" s="206"/>
    </row>
    <row r="2353" spans="5:6">
      <c r="E2353" s="206"/>
      <c r="F2353" s="206"/>
    </row>
    <row r="2354" spans="5:6">
      <c r="E2354" s="206"/>
      <c r="F2354" s="206"/>
    </row>
    <row r="2355" spans="5:6">
      <c r="E2355" s="206"/>
      <c r="F2355" s="206"/>
    </row>
    <row r="2356" spans="5:6">
      <c r="E2356" s="206"/>
      <c r="F2356" s="206"/>
    </row>
    <row r="2357" spans="5:6">
      <c r="E2357" s="206"/>
      <c r="F2357" s="206"/>
    </row>
    <row r="2358" spans="5:6">
      <c r="E2358" s="206"/>
      <c r="F2358" s="206"/>
    </row>
    <row r="2359" spans="5:6">
      <c r="E2359" s="206"/>
      <c r="F2359" s="206"/>
    </row>
    <row r="2360" spans="5:6">
      <c r="E2360" s="206"/>
      <c r="F2360" s="206"/>
    </row>
    <row r="2361" spans="5:6">
      <c r="E2361" s="206"/>
      <c r="F2361" s="206"/>
    </row>
    <row r="2362" spans="5:6">
      <c r="E2362" s="206"/>
      <c r="F2362" s="206"/>
    </row>
    <row r="2363" spans="5:6">
      <c r="E2363" s="206"/>
      <c r="F2363" s="206"/>
    </row>
    <row r="2364" spans="5:6">
      <c r="E2364" s="206"/>
      <c r="F2364" s="206"/>
    </row>
    <row r="2365" spans="5:6">
      <c r="E2365" s="206"/>
      <c r="F2365" s="206"/>
    </row>
    <row r="2366" spans="5:6">
      <c r="E2366" s="206"/>
      <c r="F2366" s="206"/>
    </row>
    <row r="2367" spans="5:6">
      <c r="E2367" s="206"/>
      <c r="F2367" s="206"/>
    </row>
    <row r="2368" spans="5:6">
      <c r="E2368" s="206"/>
      <c r="F2368" s="206"/>
    </row>
    <row r="2369" spans="5:6">
      <c r="E2369" s="206"/>
      <c r="F2369" s="206"/>
    </row>
    <row r="2370" spans="5:6">
      <c r="E2370" s="206"/>
      <c r="F2370" s="206"/>
    </row>
    <row r="2371" spans="5:6">
      <c r="E2371" s="206"/>
      <c r="F2371" s="206"/>
    </row>
    <row r="2372" spans="5:6">
      <c r="E2372" s="206"/>
      <c r="F2372" s="206"/>
    </row>
    <row r="2373" spans="5:6">
      <c r="E2373" s="206"/>
      <c r="F2373" s="206"/>
    </row>
    <row r="2374" spans="5:6">
      <c r="E2374" s="206"/>
      <c r="F2374" s="206"/>
    </row>
    <row r="2375" spans="5:6">
      <c r="E2375" s="206"/>
      <c r="F2375" s="206"/>
    </row>
    <row r="2376" spans="5:6">
      <c r="E2376" s="206"/>
      <c r="F2376" s="206"/>
    </row>
    <row r="2377" spans="5:6">
      <c r="E2377" s="206"/>
      <c r="F2377" s="206"/>
    </row>
    <row r="2378" spans="5:6">
      <c r="E2378" s="206"/>
      <c r="F2378" s="206"/>
    </row>
    <row r="2379" spans="5:6">
      <c r="E2379" s="206"/>
      <c r="F2379" s="206"/>
    </row>
    <row r="2380" spans="5:6">
      <c r="E2380" s="206"/>
      <c r="F2380" s="206"/>
    </row>
    <row r="2381" spans="5:6">
      <c r="E2381" s="206"/>
      <c r="F2381" s="206"/>
    </row>
    <row r="2382" spans="5:6">
      <c r="E2382" s="206"/>
      <c r="F2382" s="206"/>
    </row>
    <row r="2383" spans="5:6">
      <c r="E2383" s="206"/>
      <c r="F2383" s="206"/>
    </row>
    <row r="2384" spans="5:6">
      <c r="E2384" s="206"/>
      <c r="F2384" s="206"/>
    </row>
    <row r="2385" spans="5:6">
      <c r="E2385" s="206"/>
      <c r="F2385" s="206"/>
    </row>
    <row r="2386" spans="5:6">
      <c r="E2386" s="206"/>
      <c r="F2386" s="206"/>
    </row>
    <row r="2387" spans="5:6">
      <c r="E2387" s="206"/>
      <c r="F2387" s="206"/>
    </row>
    <row r="2388" spans="5:6">
      <c r="E2388" s="206"/>
      <c r="F2388" s="206"/>
    </row>
    <row r="2389" spans="5:6">
      <c r="E2389" s="206"/>
      <c r="F2389" s="206"/>
    </row>
    <row r="2390" spans="5:6">
      <c r="E2390" s="206"/>
      <c r="F2390" s="206"/>
    </row>
    <row r="2391" spans="5:6">
      <c r="E2391" s="206"/>
      <c r="F2391" s="206"/>
    </row>
    <row r="2392" spans="5:6">
      <c r="E2392" s="206"/>
      <c r="F2392" s="206"/>
    </row>
    <row r="2393" spans="5:6">
      <c r="E2393" s="206"/>
      <c r="F2393" s="206"/>
    </row>
    <row r="2394" spans="5:6">
      <c r="E2394" s="206"/>
      <c r="F2394" s="206"/>
    </row>
    <row r="2395" spans="5:6">
      <c r="E2395" s="206"/>
      <c r="F2395" s="206"/>
    </row>
    <row r="2396" spans="5:6">
      <c r="E2396" s="206"/>
      <c r="F2396" s="206"/>
    </row>
    <row r="2397" spans="5:6">
      <c r="E2397" s="206"/>
      <c r="F2397" s="206"/>
    </row>
    <row r="2398" spans="5:6">
      <c r="E2398" s="206"/>
      <c r="F2398" s="206"/>
    </row>
    <row r="2399" spans="5:6">
      <c r="E2399" s="206"/>
      <c r="F2399" s="206"/>
    </row>
    <row r="2400" spans="5:6">
      <c r="E2400" s="206"/>
      <c r="F2400" s="206"/>
    </row>
    <row r="2401" spans="5:6">
      <c r="E2401" s="206"/>
      <c r="F2401" s="206"/>
    </row>
    <row r="2402" spans="5:6">
      <c r="E2402" s="206"/>
      <c r="F2402" s="206"/>
    </row>
    <row r="2403" spans="5:6">
      <c r="E2403" s="206"/>
      <c r="F2403" s="206"/>
    </row>
    <row r="2404" spans="5:6">
      <c r="E2404" s="206"/>
      <c r="F2404" s="206"/>
    </row>
    <row r="2405" spans="5:6">
      <c r="E2405" s="206"/>
      <c r="F2405" s="206"/>
    </row>
    <row r="2406" spans="5:6">
      <c r="E2406" s="206"/>
      <c r="F2406" s="206"/>
    </row>
    <row r="2407" spans="5:6">
      <c r="E2407" s="206"/>
      <c r="F2407" s="206"/>
    </row>
    <row r="2408" spans="5:6">
      <c r="E2408" s="206"/>
      <c r="F2408" s="206"/>
    </row>
    <row r="2409" spans="5:6">
      <c r="E2409" s="206"/>
      <c r="F2409" s="206"/>
    </row>
    <row r="2410" spans="5:6">
      <c r="E2410" s="206"/>
      <c r="F2410" s="206"/>
    </row>
    <row r="2411" spans="5:6">
      <c r="E2411" s="206"/>
      <c r="F2411" s="206"/>
    </row>
    <row r="2412" spans="5:6">
      <c r="E2412" s="206"/>
      <c r="F2412" s="206"/>
    </row>
    <row r="2413" spans="5:6">
      <c r="E2413" s="206"/>
      <c r="F2413" s="206"/>
    </row>
    <row r="2414" spans="5:6">
      <c r="E2414" s="206"/>
      <c r="F2414" s="206"/>
    </row>
    <row r="2415" spans="5:6">
      <c r="E2415" s="206"/>
      <c r="F2415" s="206"/>
    </row>
    <row r="2416" spans="5:6">
      <c r="E2416" s="206"/>
      <c r="F2416" s="206"/>
    </row>
    <row r="2417" spans="5:6">
      <c r="E2417" s="206"/>
      <c r="F2417" s="206"/>
    </row>
    <row r="2418" spans="5:6">
      <c r="E2418" s="206"/>
      <c r="F2418" s="206"/>
    </row>
    <row r="2419" spans="5:6">
      <c r="E2419" s="206"/>
      <c r="F2419" s="206"/>
    </row>
    <row r="2420" spans="5:6">
      <c r="E2420" s="206"/>
      <c r="F2420" s="206"/>
    </row>
    <row r="2421" spans="5:6">
      <c r="E2421" s="206"/>
      <c r="F2421" s="206"/>
    </row>
    <row r="2422" spans="5:6">
      <c r="E2422" s="206"/>
      <c r="F2422" s="206"/>
    </row>
    <row r="2423" spans="5:6">
      <c r="E2423" s="206"/>
      <c r="F2423" s="206"/>
    </row>
    <row r="2424" spans="5:6">
      <c r="E2424" s="206"/>
      <c r="F2424" s="206"/>
    </row>
    <row r="2425" spans="5:6">
      <c r="E2425" s="206"/>
      <c r="F2425" s="206"/>
    </row>
    <row r="2426" spans="5:6">
      <c r="E2426" s="206"/>
      <c r="F2426" s="206"/>
    </row>
    <row r="2427" spans="5:6">
      <c r="E2427" s="206"/>
      <c r="F2427" s="206"/>
    </row>
    <row r="2428" spans="5:6">
      <c r="E2428" s="206"/>
      <c r="F2428" s="206"/>
    </row>
    <row r="2429" spans="5:6">
      <c r="E2429" s="206"/>
      <c r="F2429" s="206"/>
    </row>
    <row r="2430" spans="5:6">
      <c r="E2430" s="206"/>
      <c r="F2430" s="206"/>
    </row>
    <row r="2431" spans="5:6">
      <c r="E2431" s="206"/>
      <c r="F2431" s="206"/>
    </row>
    <row r="2432" spans="5:6">
      <c r="E2432" s="206"/>
      <c r="F2432" s="206"/>
    </row>
    <row r="2433" spans="5:6">
      <c r="E2433" s="206"/>
      <c r="F2433" s="206"/>
    </row>
    <row r="2434" spans="5:6">
      <c r="E2434" s="206"/>
      <c r="F2434" s="206"/>
    </row>
    <row r="2435" spans="5:6">
      <c r="E2435" s="206"/>
      <c r="F2435" s="206"/>
    </row>
    <row r="2436" spans="5:6">
      <c r="E2436" s="206"/>
      <c r="F2436" s="206"/>
    </row>
    <row r="2437" spans="5:6">
      <c r="E2437" s="206"/>
      <c r="F2437" s="206"/>
    </row>
    <row r="2438" spans="5:6">
      <c r="E2438" s="206"/>
      <c r="F2438" s="206"/>
    </row>
    <row r="2439" spans="5:6">
      <c r="E2439" s="206"/>
      <c r="F2439" s="206"/>
    </row>
    <row r="2440" spans="5:6">
      <c r="E2440" s="206"/>
      <c r="F2440" s="206"/>
    </row>
    <row r="2441" spans="5:6">
      <c r="E2441" s="206"/>
      <c r="F2441" s="206"/>
    </row>
    <row r="2442" spans="5:6">
      <c r="E2442" s="206"/>
      <c r="F2442" s="206"/>
    </row>
    <row r="2443" spans="5:6">
      <c r="E2443" s="206"/>
      <c r="F2443" s="206"/>
    </row>
    <row r="2444" spans="5:6">
      <c r="E2444" s="206"/>
      <c r="F2444" s="206"/>
    </row>
    <row r="2445" spans="5:6">
      <c r="E2445" s="206"/>
      <c r="F2445" s="206"/>
    </row>
    <row r="2446" spans="5:6">
      <c r="E2446" s="206"/>
      <c r="F2446" s="206"/>
    </row>
    <row r="2447" spans="5:6">
      <c r="E2447" s="206"/>
      <c r="F2447" s="206"/>
    </row>
    <row r="2448" spans="5:6">
      <c r="E2448" s="206"/>
      <c r="F2448" s="206"/>
    </row>
    <row r="2449" spans="5:6">
      <c r="E2449" s="206"/>
      <c r="F2449" s="206"/>
    </row>
    <row r="2450" spans="5:6">
      <c r="E2450" s="206"/>
      <c r="F2450" s="206"/>
    </row>
    <row r="2451" spans="5:6">
      <c r="E2451" s="206"/>
      <c r="F2451" s="206"/>
    </row>
    <row r="2452" spans="5:6">
      <c r="E2452" s="206"/>
      <c r="F2452" s="206"/>
    </row>
    <row r="2453" spans="5:6">
      <c r="E2453" s="206"/>
      <c r="F2453" s="206"/>
    </row>
    <row r="2454" spans="5:6">
      <c r="E2454" s="206"/>
      <c r="F2454" s="206"/>
    </row>
    <row r="2455" spans="5:6">
      <c r="E2455" s="206"/>
      <c r="F2455" s="206"/>
    </row>
    <row r="2456" spans="5:6">
      <c r="E2456" s="206"/>
      <c r="F2456" s="206"/>
    </row>
    <row r="2457" spans="5:6">
      <c r="E2457" s="206"/>
      <c r="F2457" s="206"/>
    </row>
    <row r="2458" spans="5:6">
      <c r="E2458" s="206"/>
      <c r="F2458" s="206"/>
    </row>
    <row r="2459" spans="5:6">
      <c r="E2459" s="206"/>
      <c r="F2459" s="206"/>
    </row>
    <row r="2460" spans="5:6">
      <c r="E2460" s="206"/>
      <c r="F2460" s="206"/>
    </row>
    <row r="2461" spans="5:6">
      <c r="E2461" s="206"/>
      <c r="F2461" s="206"/>
    </row>
    <row r="2462" spans="5:6">
      <c r="E2462" s="206"/>
      <c r="F2462" s="206"/>
    </row>
    <row r="2463" spans="5:6">
      <c r="E2463" s="206"/>
      <c r="F2463" s="206"/>
    </row>
    <row r="2464" spans="5:6">
      <c r="E2464" s="206"/>
      <c r="F2464" s="206"/>
    </row>
    <row r="2465" spans="5:6">
      <c r="E2465" s="206"/>
      <c r="F2465" s="206"/>
    </row>
    <row r="2466" spans="5:6">
      <c r="E2466" s="206"/>
      <c r="F2466" s="206"/>
    </row>
    <row r="2467" spans="5:6">
      <c r="E2467" s="206"/>
      <c r="F2467" s="206"/>
    </row>
    <row r="2468" spans="5:6">
      <c r="E2468" s="206"/>
      <c r="F2468" s="206"/>
    </row>
    <row r="2469" spans="5:6">
      <c r="E2469" s="206"/>
      <c r="F2469" s="206"/>
    </row>
    <row r="2470" spans="5:6">
      <c r="E2470" s="206"/>
      <c r="F2470" s="206"/>
    </row>
    <row r="2471" spans="5:6">
      <c r="E2471" s="206"/>
      <c r="F2471" s="206"/>
    </row>
    <row r="2472" spans="5:6">
      <c r="E2472" s="206"/>
      <c r="F2472" s="206"/>
    </row>
    <row r="2473" spans="5:6">
      <c r="E2473" s="206"/>
      <c r="F2473" s="206"/>
    </row>
    <row r="2474" spans="5:6">
      <c r="E2474" s="206"/>
      <c r="F2474" s="206"/>
    </row>
    <row r="2475" spans="5:6">
      <c r="E2475" s="206"/>
      <c r="F2475" s="206"/>
    </row>
    <row r="2476" spans="5:6">
      <c r="E2476" s="206"/>
      <c r="F2476" s="206"/>
    </row>
    <row r="2477" spans="5:6">
      <c r="E2477" s="206"/>
      <c r="F2477" s="206"/>
    </row>
    <row r="2478" spans="5:6">
      <c r="E2478" s="206"/>
      <c r="F2478" s="206"/>
    </row>
    <row r="2479" spans="5:6">
      <c r="E2479" s="206"/>
      <c r="F2479" s="206"/>
    </row>
    <row r="2480" spans="5:6">
      <c r="E2480" s="206"/>
      <c r="F2480" s="206"/>
    </row>
    <row r="2481" spans="5:6">
      <c r="E2481" s="206"/>
      <c r="F2481" s="206"/>
    </row>
    <row r="2482" spans="5:6">
      <c r="E2482" s="206"/>
      <c r="F2482" s="206"/>
    </row>
    <row r="2483" spans="5:6">
      <c r="E2483" s="206"/>
      <c r="F2483" s="206"/>
    </row>
    <row r="2484" spans="5:6">
      <c r="E2484" s="206"/>
      <c r="F2484" s="206"/>
    </row>
    <row r="2485" spans="5:6">
      <c r="E2485" s="206"/>
      <c r="F2485" s="206"/>
    </row>
    <row r="2486" spans="5:6">
      <c r="E2486" s="206"/>
      <c r="F2486" s="206"/>
    </row>
    <row r="2487" spans="5:6">
      <c r="E2487" s="206"/>
      <c r="F2487" s="206"/>
    </row>
    <row r="2488" spans="5:6">
      <c r="E2488" s="206"/>
      <c r="F2488" s="206"/>
    </row>
    <row r="2489" spans="5:6">
      <c r="E2489" s="206"/>
      <c r="F2489" s="206"/>
    </row>
    <row r="2490" spans="5:6">
      <c r="E2490" s="206"/>
      <c r="F2490" s="206"/>
    </row>
    <row r="2491" spans="5:6">
      <c r="E2491" s="206"/>
      <c r="F2491" s="206"/>
    </row>
    <row r="2492" spans="5:6">
      <c r="E2492" s="206"/>
      <c r="F2492" s="206"/>
    </row>
    <row r="2493" spans="5:6">
      <c r="E2493" s="206"/>
      <c r="F2493" s="206"/>
    </row>
    <row r="2494" spans="5:6">
      <c r="E2494" s="206"/>
      <c r="F2494" s="206"/>
    </row>
    <row r="2495" spans="5:6">
      <c r="E2495" s="206"/>
      <c r="F2495" s="206"/>
    </row>
    <row r="2496" spans="5:6">
      <c r="E2496" s="206"/>
      <c r="F2496" s="206"/>
    </row>
    <row r="2497" spans="5:6">
      <c r="E2497" s="206"/>
      <c r="F2497" s="206"/>
    </row>
    <row r="2498" spans="5:6">
      <c r="E2498" s="206"/>
      <c r="F2498" s="206"/>
    </row>
    <row r="2499" spans="5:6">
      <c r="E2499" s="206"/>
      <c r="F2499" s="206"/>
    </row>
    <row r="2500" spans="5:6">
      <c r="E2500" s="206"/>
      <c r="F2500" s="206"/>
    </row>
    <row r="2501" spans="5:6">
      <c r="E2501" s="206"/>
      <c r="F2501" s="206"/>
    </row>
    <row r="2502" spans="5:6">
      <c r="E2502" s="206"/>
      <c r="F2502" s="206"/>
    </row>
    <row r="2503" spans="5:6">
      <c r="E2503" s="206"/>
      <c r="F2503" s="206"/>
    </row>
    <row r="2504" spans="5:6">
      <c r="E2504" s="206"/>
      <c r="F2504" s="206"/>
    </row>
    <row r="2505" spans="5:6">
      <c r="E2505" s="206"/>
      <c r="F2505" s="206"/>
    </row>
    <row r="2506" spans="5:6">
      <c r="E2506" s="206"/>
      <c r="F2506" s="206"/>
    </row>
    <row r="2507" spans="5:6">
      <c r="E2507" s="206"/>
      <c r="F2507" s="206"/>
    </row>
    <row r="2508" spans="5:6">
      <c r="E2508" s="206"/>
      <c r="F2508" s="206"/>
    </row>
    <row r="2509" spans="5:6">
      <c r="E2509" s="206"/>
      <c r="F2509" s="206"/>
    </row>
    <row r="2510" spans="5:6">
      <c r="E2510" s="206"/>
      <c r="F2510" s="206"/>
    </row>
    <row r="2511" spans="5:6">
      <c r="E2511" s="206"/>
      <c r="F2511" s="206"/>
    </row>
    <row r="2512" spans="5:6">
      <c r="E2512" s="206"/>
      <c r="F2512" s="206"/>
    </row>
    <row r="2513" spans="5:6">
      <c r="E2513" s="206"/>
      <c r="F2513" s="206"/>
    </row>
    <row r="2514" spans="5:6">
      <c r="E2514" s="206"/>
      <c r="F2514" s="206"/>
    </row>
    <row r="2515" spans="5:6">
      <c r="E2515" s="206"/>
      <c r="F2515" s="206"/>
    </row>
    <row r="2516" spans="5:6">
      <c r="E2516" s="206"/>
      <c r="F2516" s="206"/>
    </row>
    <row r="2517" spans="5:6">
      <c r="E2517" s="206"/>
      <c r="F2517" s="206"/>
    </row>
    <row r="2518" spans="5:6">
      <c r="E2518" s="206"/>
      <c r="F2518" s="206"/>
    </row>
    <row r="2519" spans="5:6">
      <c r="E2519" s="206"/>
      <c r="F2519" s="206"/>
    </row>
    <row r="2520" spans="5:6">
      <c r="E2520" s="206"/>
      <c r="F2520" s="206"/>
    </row>
    <row r="2521" spans="5:6">
      <c r="E2521" s="206"/>
      <c r="F2521" s="206"/>
    </row>
    <row r="2522" spans="5:6">
      <c r="E2522" s="206"/>
      <c r="F2522" s="206"/>
    </row>
    <row r="2523" spans="5:6">
      <c r="E2523" s="206"/>
      <c r="F2523" s="206"/>
    </row>
    <row r="2524" spans="5:6">
      <c r="E2524" s="206"/>
      <c r="F2524" s="206"/>
    </row>
    <row r="2525" spans="5:6">
      <c r="E2525" s="206"/>
      <c r="F2525" s="206"/>
    </row>
    <row r="2526" spans="5:6">
      <c r="E2526" s="206"/>
      <c r="F2526" s="206"/>
    </row>
    <row r="2527" spans="5:6">
      <c r="E2527" s="206"/>
      <c r="F2527" s="206"/>
    </row>
    <row r="2528" spans="5:6">
      <c r="E2528" s="206"/>
      <c r="F2528" s="206"/>
    </row>
    <row r="2529" spans="5:6">
      <c r="E2529" s="206"/>
      <c r="F2529" s="206"/>
    </row>
    <row r="2530" spans="5:6">
      <c r="E2530" s="206"/>
      <c r="F2530" s="206"/>
    </row>
    <row r="2531" spans="5:6">
      <c r="E2531" s="206"/>
      <c r="F2531" s="206"/>
    </row>
    <row r="2532" spans="5:6">
      <c r="E2532" s="206"/>
      <c r="F2532" s="206"/>
    </row>
    <row r="2533" spans="5:6">
      <c r="E2533" s="206"/>
      <c r="F2533" s="206"/>
    </row>
    <row r="2534" spans="5:6">
      <c r="E2534" s="206"/>
      <c r="F2534" s="206"/>
    </row>
    <row r="2535" spans="5:6">
      <c r="E2535" s="206"/>
      <c r="F2535" s="206"/>
    </row>
    <row r="2536" spans="5:6">
      <c r="E2536" s="206"/>
      <c r="F2536" s="206"/>
    </row>
    <row r="2537" spans="5:6">
      <c r="E2537" s="206"/>
      <c r="F2537" s="206"/>
    </row>
    <row r="2538" spans="5:6">
      <c r="E2538" s="206"/>
      <c r="F2538" s="206"/>
    </row>
    <row r="2539" spans="5:6">
      <c r="E2539" s="206"/>
      <c r="F2539" s="206"/>
    </row>
    <row r="2540" spans="5:6">
      <c r="E2540" s="206"/>
      <c r="F2540" s="206"/>
    </row>
    <row r="2541" spans="5:6">
      <c r="E2541" s="206"/>
      <c r="F2541" s="206"/>
    </row>
    <row r="2542" spans="5:6">
      <c r="E2542" s="206"/>
      <c r="F2542" s="206"/>
    </row>
    <row r="2543" spans="5:6">
      <c r="E2543" s="206"/>
      <c r="F2543" s="206"/>
    </row>
    <row r="2544" spans="5:6">
      <c r="E2544" s="206"/>
      <c r="F2544" s="206"/>
    </row>
    <row r="2545" spans="5:6">
      <c r="E2545" s="206"/>
      <c r="F2545" s="206"/>
    </row>
    <row r="2546" spans="5:6">
      <c r="E2546" s="206"/>
      <c r="F2546" s="206"/>
    </row>
    <row r="2547" spans="5:6">
      <c r="E2547" s="206"/>
      <c r="F2547" s="206"/>
    </row>
    <row r="2548" spans="5:6">
      <c r="E2548" s="206"/>
      <c r="F2548" s="206"/>
    </row>
    <row r="2549" spans="5:6">
      <c r="E2549" s="206"/>
      <c r="F2549" s="206"/>
    </row>
    <row r="2550" spans="5:6">
      <c r="E2550" s="206"/>
      <c r="F2550" s="206"/>
    </row>
    <row r="2551" spans="5:6">
      <c r="E2551" s="206"/>
      <c r="F2551" s="206"/>
    </row>
    <row r="2552" spans="5:6">
      <c r="E2552" s="206"/>
      <c r="F2552" s="206"/>
    </row>
    <row r="2553" spans="5:6">
      <c r="E2553" s="206"/>
      <c r="F2553" s="206"/>
    </row>
    <row r="2554" spans="5:6">
      <c r="E2554" s="206"/>
      <c r="F2554" s="206"/>
    </row>
    <row r="2555" spans="5:6">
      <c r="E2555" s="206"/>
      <c r="F2555" s="206"/>
    </row>
    <row r="2556" spans="5:6">
      <c r="E2556" s="206"/>
      <c r="F2556" s="206"/>
    </row>
    <row r="2557" spans="5:6">
      <c r="E2557" s="206"/>
      <c r="F2557" s="206"/>
    </row>
    <row r="2558" spans="5:6">
      <c r="E2558" s="206"/>
      <c r="F2558" s="206"/>
    </row>
    <row r="2559" spans="5:6">
      <c r="E2559" s="206"/>
      <c r="F2559" s="206"/>
    </row>
    <row r="2560" spans="5:6">
      <c r="E2560" s="206"/>
      <c r="F2560" s="206"/>
    </row>
    <row r="2561" spans="5:6">
      <c r="E2561" s="206"/>
      <c r="F2561" s="206"/>
    </row>
    <row r="2562" spans="5:6">
      <c r="E2562" s="206"/>
      <c r="F2562" s="206"/>
    </row>
    <row r="2563" spans="5:6">
      <c r="E2563" s="206"/>
      <c r="F2563" s="206"/>
    </row>
    <row r="2564" spans="5:6">
      <c r="E2564" s="206"/>
      <c r="F2564" s="206"/>
    </row>
    <row r="2565" spans="5:6">
      <c r="E2565" s="206"/>
      <c r="F2565" s="206"/>
    </row>
    <row r="2566" spans="5:6">
      <c r="E2566" s="206"/>
      <c r="F2566" s="206"/>
    </row>
    <row r="2567" spans="5:6">
      <c r="E2567" s="206"/>
      <c r="F2567" s="206"/>
    </row>
    <row r="2568" spans="5:6">
      <c r="E2568" s="206"/>
      <c r="F2568" s="206"/>
    </row>
    <row r="2569" spans="5:6">
      <c r="E2569" s="206"/>
      <c r="F2569" s="206"/>
    </row>
    <row r="2570" spans="5:6">
      <c r="E2570" s="206"/>
      <c r="F2570" s="206"/>
    </row>
    <row r="2571" spans="5:6">
      <c r="E2571" s="206"/>
      <c r="F2571" s="206"/>
    </row>
    <row r="2572" spans="5:6">
      <c r="E2572" s="206"/>
      <c r="F2572" s="206"/>
    </row>
    <row r="2573" spans="5:6">
      <c r="E2573" s="206"/>
      <c r="F2573" s="206"/>
    </row>
    <row r="2574" spans="5:6">
      <c r="E2574" s="206"/>
      <c r="F2574" s="206"/>
    </row>
    <row r="2575" spans="5:6">
      <c r="E2575" s="206"/>
      <c r="F2575" s="206"/>
    </row>
    <row r="2576" spans="5:6">
      <c r="E2576" s="206"/>
      <c r="F2576" s="206"/>
    </row>
    <row r="2577" spans="5:6">
      <c r="E2577" s="206"/>
      <c r="F2577" s="206"/>
    </row>
    <row r="2578" spans="5:6">
      <c r="E2578" s="206"/>
      <c r="F2578" s="206"/>
    </row>
    <row r="2579" spans="5:6">
      <c r="E2579" s="206"/>
      <c r="F2579" s="206"/>
    </row>
    <row r="2580" spans="5:6">
      <c r="E2580" s="206"/>
      <c r="F2580" s="206"/>
    </row>
    <row r="2581" spans="5:6">
      <c r="E2581" s="206"/>
      <c r="F2581" s="206"/>
    </row>
    <row r="2582" spans="5:6">
      <c r="E2582" s="206"/>
      <c r="F2582" s="206"/>
    </row>
    <row r="2583" spans="5:6">
      <c r="E2583" s="206"/>
      <c r="F2583" s="206"/>
    </row>
    <row r="2584" spans="5:6">
      <c r="E2584" s="206"/>
      <c r="F2584" s="206"/>
    </row>
    <row r="2585" spans="5:6">
      <c r="E2585" s="206"/>
      <c r="F2585" s="206"/>
    </row>
    <row r="2586" spans="5:6">
      <c r="E2586" s="206"/>
      <c r="F2586" s="206"/>
    </row>
    <row r="2587" spans="5:6">
      <c r="E2587" s="206"/>
      <c r="F2587" s="206"/>
    </row>
    <row r="2588" spans="5:6">
      <c r="E2588" s="206"/>
      <c r="F2588" s="206"/>
    </row>
    <row r="2589" spans="5:6">
      <c r="E2589" s="206"/>
      <c r="F2589" s="206"/>
    </row>
    <row r="2590" spans="5:6">
      <c r="E2590" s="206"/>
      <c r="F2590" s="206"/>
    </row>
    <row r="2591" spans="5:6">
      <c r="E2591" s="206"/>
      <c r="F2591" s="206"/>
    </row>
    <row r="2592" spans="5:6">
      <c r="E2592" s="206"/>
      <c r="F2592" s="206"/>
    </row>
    <row r="2593" spans="5:6">
      <c r="E2593" s="206"/>
      <c r="F2593" s="206"/>
    </row>
    <row r="2594" spans="5:6">
      <c r="E2594" s="206"/>
      <c r="F2594" s="206"/>
    </row>
    <row r="2595" spans="5:6">
      <c r="E2595" s="206"/>
      <c r="F2595" s="206"/>
    </row>
    <row r="2596" spans="5:6">
      <c r="E2596" s="206"/>
      <c r="F2596" s="206"/>
    </row>
    <row r="2597" spans="5:6">
      <c r="E2597" s="206"/>
      <c r="F2597" s="206"/>
    </row>
    <row r="2598" spans="5:6">
      <c r="E2598" s="206"/>
      <c r="F2598" s="206"/>
    </row>
    <row r="2599" spans="5:6">
      <c r="E2599" s="206"/>
      <c r="F2599" s="206"/>
    </row>
    <row r="2600" spans="5:6">
      <c r="E2600" s="206"/>
      <c r="F2600" s="206"/>
    </row>
    <row r="2601" spans="5:6">
      <c r="E2601" s="206"/>
      <c r="F2601" s="206"/>
    </row>
    <row r="2602" spans="5:6">
      <c r="E2602" s="206"/>
      <c r="F2602" s="206"/>
    </row>
    <row r="2603" spans="5:6">
      <c r="E2603" s="206"/>
      <c r="F2603" s="206"/>
    </row>
    <row r="2604" spans="5:6">
      <c r="E2604" s="206"/>
      <c r="F2604" s="206"/>
    </row>
    <row r="2605" spans="5:6">
      <c r="E2605" s="206"/>
      <c r="F2605" s="206"/>
    </row>
    <row r="2606" spans="5:6">
      <c r="E2606" s="206"/>
      <c r="F2606" s="206"/>
    </row>
    <row r="2607" spans="5:6">
      <c r="E2607" s="206"/>
      <c r="F2607" s="206"/>
    </row>
    <row r="2608" spans="5:6">
      <c r="E2608" s="206"/>
      <c r="F2608" s="206"/>
    </row>
    <row r="2609" spans="5:6">
      <c r="E2609" s="206"/>
      <c r="F2609" s="206"/>
    </row>
    <row r="2610" spans="5:6">
      <c r="E2610" s="206"/>
      <c r="F2610" s="206"/>
    </row>
    <row r="2611" spans="5:6">
      <c r="E2611" s="206"/>
      <c r="F2611" s="206"/>
    </row>
    <row r="2612" spans="5:6">
      <c r="E2612" s="206"/>
      <c r="F2612" s="206"/>
    </row>
    <row r="2613" spans="5:6">
      <c r="E2613" s="206"/>
      <c r="F2613" s="206"/>
    </row>
    <row r="2614" spans="5:6">
      <c r="E2614" s="206"/>
      <c r="F2614" s="206"/>
    </row>
    <row r="2615" spans="5:6">
      <c r="E2615" s="206"/>
      <c r="F2615" s="206"/>
    </row>
    <row r="2616" spans="5:6">
      <c r="E2616" s="206"/>
      <c r="F2616" s="206"/>
    </row>
    <row r="2617" spans="5:6">
      <c r="E2617" s="206"/>
      <c r="F2617" s="206"/>
    </row>
    <row r="2618" spans="5:6">
      <c r="E2618" s="206"/>
      <c r="F2618" s="206"/>
    </row>
    <row r="2619" spans="5:6">
      <c r="E2619" s="206"/>
      <c r="F2619" s="206"/>
    </row>
    <row r="2620" spans="5:6">
      <c r="E2620" s="206"/>
      <c r="F2620" s="206"/>
    </row>
    <row r="2621" spans="5:6">
      <c r="E2621" s="206"/>
      <c r="F2621" s="206"/>
    </row>
    <row r="2622" spans="5:6">
      <c r="E2622" s="206"/>
      <c r="F2622" s="206"/>
    </row>
    <row r="2623" spans="5:6">
      <c r="E2623" s="206"/>
      <c r="F2623" s="206"/>
    </row>
    <row r="2624" spans="5:6">
      <c r="E2624" s="206"/>
      <c r="F2624" s="206"/>
    </row>
    <row r="2625" spans="5:6">
      <c r="E2625" s="206"/>
      <c r="F2625" s="206"/>
    </row>
    <row r="2626" spans="5:6">
      <c r="E2626" s="206"/>
      <c r="F2626" s="206"/>
    </row>
    <row r="2627" spans="5:6">
      <c r="E2627" s="206"/>
      <c r="F2627" s="206"/>
    </row>
    <row r="2628" spans="5:6">
      <c r="E2628" s="206"/>
      <c r="F2628" s="206"/>
    </row>
    <row r="2629" spans="5:6">
      <c r="E2629" s="206"/>
      <c r="F2629" s="206"/>
    </row>
    <row r="2630" spans="5:6">
      <c r="E2630" s="206"/>
      <c r="F2630" s="206"/>
    </row>
    <row r="2631" spans="5:6">
      <c r="E2631" s="206"/>
      <c r="F2631" s="206"/>
    </row>
    <row r="2632" spans="5:6">
      <c r="E2632" s="206"/>
      <c r="F2632" s="206"/>
    </row>
    <row r="2633" spans="5:6">
      <c r="E2633" s="206"/>
      <c r="F2633" s="206"/>
    </row>
    <row r="2634" spans="5:6">
      <c r="E2634" s="206"/>
      <c r="F2634" s="206"/>
    </row>
    <row r="2635" spans="5:6">
      <c r="E2635" s="206"/>
      <c r="F2635" s="206"/>
    </row>
    <row r="2636" spans="5:6">
      <c r="E2636" s="206"/>
      <c r="F2636" s="206"/>
    </row>
    <row r="2637" spans="5:6">
      <c r="E2637" s="206"/>
      <c r="F2637" s="206"/>
    </row>
    <row r="2638" spans="5:6">
      <c r="E2638" s="206"/>
      <c r="F2638" s="206"/>
    </row>
    <row r="2639" spans="5:6">
      <c r="E2639" s="206"/>
      <c r="F2639" s="206"/>
    </row>
    <row r="2640" spans="5:6">
      <c r="E2640" s="206"/>
      <c r="F2640" s="206"/>
    </row>
    <row r="2641" spans="5:6">
      <c r="E2641" s="206"/>
      <c r="F2641" s="206"/>
    </row>
    <row r="2642" spans="5:6">
      <c r="E2642" s="206"/>
      <c r="F2642" s="206"/>
    </row>
    <row r="2643" spans="5:6">
      <c r="E2643" s="206"/>
      <c r="F2643" s="206"/>
    </row>
    <row r="2644" spans="5:6">
      <c r="E2644" s="206"/>
      <c r="F2644" s="206"/>
    </row>
    <row r="2645" spans="5:6">
      <c r="E2645" s="206"/>
      <c r="F2645" s="206"/>
    </row>
    <row r="2646" spans="5:6">
      <c r="E2646" s="206"/>
      <c r="F2646" s="206"/>
    </row>
    <row r="2647" spans="5:6">
      <c r="E2647" s="206"/>
      <c r="F2647" s="206"/>
    </row>
    <row r="2648" spans="5:6">
      <c r="E2648" s="206"/>
      <c r="F2648" s="206"/>
    </row>
    <row r="2649" spans="5:6">
      <c r="E2649" s="206"/>
      <c r="F2649" s="206"/>
    </row>
    <row r="2650" spans="5:6">
      <c r="E2650" s="206"/>
      <c r="F2650" s="206"/>
    </row>
    <row r="2651" spans="5:6">
      <c r="E2651" s="206"/>
      <c r="F2651" s="206"/>
    </row>
    <row r="2652" spans="5:6">
      <c r="E2652" s="206"/>
      <c r="F2652" s="206"/>
    </row>
    <row r="2653" spans="5:6">
      <c r="E2653" s="206"/>
      <c r="F2653" s="206"/>
    </row>
    <row r="2654" spans="5:6">
      <c r="E2654" s="206"/>
      <c r="F2654" s="206"/>
    </row>
    <row r="2655" spans="5:6">
      <c r="E2655" s="206"/>
      <c r="F2655" s="206"/>
    </row>
    <row r="2656" spans="5:6">
      <c r="E2656" s="206"/>
      <c r="F2656" s="206"/>
    </row>
    <row r="2657" spans="5:6">
      <c r="E2657" s="206"/>
      <c r="F2657" s="206"/>
    </row>
    <row r="2658" spans="5:6">
      <c r="E2658" s="206"/>
      <c r="F2658" s="206"/>
    </row>
    <row r="2659" spans="5:6">
      <c r="E2659" s="206"/>
      <c r="F2659" s="206"/>
    </row>
    <row r="2660" spans="5:6">
      <c r="E2660" s="206"/>
      <c r="F2660" s="206"/>
    </row>
    <row r="2661" spans="5:6">
      <c r="E2661" s="206"/>
      <c r="F2661" s="206"/>
    </row>
    <row r="2662" spans="5:6">
      <c r="E2662" s="206"/>
      <c r="F2662" s="206"/>
    </row>
    <row r="2663" spans="5:6">
      <c r="E2663" s="206"/>
      <c r="F2663" s="206"/>
    </row>
    <row r="2664" spans="5:6">
      <c r="E2664" s="206"/>
      <c r="F2664" s="206"/>
    </row>
    <row r="2665" spans="5:6">
      <c r="E2665" s="206"/>
      <c r="F2665" s="206"/>
    </row>
    <row r="2666" spans="5:6">
      <c r="E2666" s="206"/>
      <c r="F2666" s="206"/>
    </row>
    <row r="2667" spans="5:6">
      <c r="E2667" s="206"/>
      <c r="F2667" s="206"/>
    </row>
    <row r="2668" spans="5:6">
      <c r="E2668" s="206"/>
      <c r="F2668" s="206"/>
    </row>
    <row r="2669" spans="5:6">
      <c r="E2669" s="206"/>
      <c r="F2669" s="206"/>
    </row>
    <row r="2670" spans="5:6">
      <c r="E2670" s="206"/>
      <c r="F2670" s="206"/>
    </row>
    <row r="2671" spans="5:6">
      <c r="E2671" s="206"/>
      <c r="F2671" s="206"/>
    </row>
    <row r="2672" spans="5:6">
      <c r="E2672" s="206"/>
      <c r="F2672" s="206"/>
    </row>
    <row r="2673" spans="5:6">
      <c r="E2673" s="206"/>
      <c r="F2673" s="206"/>
    </row>
    <row r="2674" spans="5:6">
      <c r="E2674" s="206"/>
      <c r="F2674" s="206"/>
    </row>
    <row r="2675" spans="5:6">
      <c r="E2675" s="206"/>
      <c r="F2675" s="206"/>
    </row>
    <row r="2676" spans="5:6">
      <c r="E2676" s="206"/>
      <c r="F2676" s="206"/>
    </row>
    <row r="2677" spans="5:6">
      <c r="E2677" s="206"/>
      <c r="F2677" s="206"/>
    </row>
    <row r="2678" spans="5:6">
      <c r="E2678" s="206"/>
      <c r="F2678" s="206"/>
    </row>
    <row r="2679" spans="5:6">
      <c r="E2679" s="206"/>
      <c r="F2679" s="206"/>
    </row>
    <row r="2680" spans="5:6">
      <c r="E2680" s="206"/>
      <c r="F2680" s="206"/>
    </row>
    <row r="2681" spans="5:6">
      <c r="E2681" s="206"/>
      <c r="F2681" s="206"/>
    </row>
    <row r="2682" spans="5:6">
      <c r="E2682" s="206"/>
      <c r="F2682" s="206"/>
    </row>
    <row r="2683" spans="5:6">
      <c r="E2683" s="206"/>
      <c r="F2683" s="206"/>
    </row>
    <row r="2684" spans="5:6">
      <c r="E2684" s="206"/>
      <c r="F2684" s="206"/>
    </row>
    <row r="2685" spans="5:6">
      <c r="E2685" s="206"/>
      <c r="F2685" s="206"/>
    </row>
    <row r="2686" spans="5:6">
      <c r="E2686" s="206"/>
      <c r="F2686" s="206"/>
    </row>
    <row r="2687" spans="5:6">
      <c r="E2687" s="206"/>
      <c r="F2687" s="206"/>
    </row>
    <row r="2688" spans="5:6">
      <c r="E2688" s="206"/>
      <c r="F2688" s="206"/>
    </row>
    <row r="2689" spans="5:6">
      <c r="E2689" s="206"/>
      <c r="F2689" s="206"/>
    </row>
    <row r="2690" spans="5:6">
      <c r="E2690" s="206"/>
      <c r="F2690" s="206"/>
    </row>
    <row r="2691" spans="5:6">
      <c r="E2691" s="206"/>
      <c r="F2691" s="206"/>
    </row>
    <row r="2692" spans="5:6">
      <c r="E2692" s="206"/>
      <c r="F2692" s="206"/>
    </row>
    <row r="2693" spans="5:6">
      <c r="E2693" s="206"/>
      <c r="F2693" s="206"/>
    </row>
    <row r="2694" spans="5:6">
      <c r="E2694" s="206"/>
      <c r="F2694" s="206"/>
    </row>
    <row r="2695" spans="5:6">
      <c r="E2695" s="206"/>
      <c r="F2695" s="206"/>
    </row>
    <row r="2696" spans="5:6">
      <c r="E2696" s="206"/>
      <c r="F2696" s="206"/>
    </row>
    <row r="2697" spans="5:6">
      <c r="E2697" s="206"/>
      <c r="F2697" s="206"/>
    </row>
    <row r="2698" spans="5:6">
      <c r="E2698" s="206"/>
      <c r="F2698" s="206"/>
    </row>
    <row r="2699" spans="5:6">
      <c r="E2699" s="206"/>
      <c r="F2699" s="206"/>
    </row>
    <row r="2700" spans="5:6">
      <c r="E2700" s="206"/>
      <c r="F2700" s="206"/>
    </row>
    <row r="2701" spans="5:6">
      <c r="E2701" s="206"/>
      <c r="F2701" s="206"/>
    </row>
    <row r="2702" spans="5:6">
      <c r="E2702" s="206"/>
      <c r="F2702" s="206"/>
    </row>
    <row r="2703" spans="5:6">
      <c r="E2703" s="206"/>
      <c r="F2703" s="206"/>
    </row>
    <row r="2704" spans="5:6">
      <c r="E2704" s="206"/>
      <c r="F2704" s="206"/>
    </row>
    <row r="2705" spans="5:6">
      <c r="E2705" s="206"/>
      <c r="F2705" s="206"/>
    </row>
    <row r="2706" spans="5:6">
      <c r="E2706" s="206"/>
      <c r="F2706" s="206"/>
    </row>
    <row r="2707" spans="5:6">
      <c r="E2707" s="206"/>
      <c r="F2707" s="206"/>
    </row>
    <row r="2708" spans="5:6">
      <c r="E2708" s="206"/>
      <c r="F2708" s="206"/>
    </row>
    <row r="2709" spans="5:6">
      <c r="E2709" s="206"/>
      <c r="F2709" s="206"/>
    </row>
    <row r="2710" spans="5:6">
      <c r="E2710" s="206"/>
      <c r="F2710" s="206"/>
    </row>
    <row r="2711" spans="5:6">
      <c r="E2711" s="206"/>
      <c r="F2711" s="206"/>
    </row>
    <row r="2712" spans="5:6">
      <c r="E2712" s="206"/>
      <c r="F2712" s="206"/>
    </row>
    <row r="2713" spans="5:6">
      <c r="E2713" s="206"/>
      <c r="F2713" s="206"/>
    </row>
    <row r="2714" spans="5:6">
      <c r="E2714" s="206"/>
      <c r="F2714" s="206"/>
    </row>
    <row r="2715" spans="5:6">
      <c r="E2715" s="206"/>
      <c r="F2715" s="206"/>
    </row>
    <row r="2716" spans="5:6">
      <c r="E2716" s="206"/>
      <c r="F2716" s="206"/>
    </row>
    <row r="2717" spans="5:6">
      <c r="E2717" s="206"/>
      <c r="F2717" s="206"/>
    </row>
    <row r="2718" spans="5:6">
      <c r="E2718" s="206"/>
      <c r="F2718" s="206"/>
    </row>
    <row r="2719" spans="5:6">
      <c r="E2719" s="206"/>
      <c r="F2719" s="206"/>
    </row>
    <row r="2720" spans="5:6">
      <c r="E2720" s="206"/>
      <c r="F2720" s="206"/>
    </row>
    <row r="2721" spans="5:6">
      <c r="E2721" s="206"/>
      <c r="F2721" s="206"/>
    </row>
    <row r="2722" spans="5:6">
      <c r="E2722" s="206"/>
      <c r="F2722" s="206"/>
    </row>
    <row r="2723" spans="5:6">
      <c r="E2723" s="206"/>
      <c r="F2723" s="206"/>
    </row>
    <row r="2724" spans="5:6">
      <c r="E2724" s="206"/>
      <c r="F2724" s="206"/>
    </row>
    <row r="2725" spans="5:6">
      <c r="E2725" s="206"/>
      <c r="F2725" s="206"/>
    </row>
    <row r="2726" spans="5:6">
      <c r="E2726" s="206"/>
      <c r="F2726" s="206"/>
    </row>
    <row r="2727" spans="5:6">
      <c r="E2727" s="206"/>
      <c r="F2727" s="206"/>
    </row>
    <row r="2728" spans="5:6">
      <c r="E2728" s="206"/>
      <c r="F2728" s="206"/>
    </row>
    <row r="2729" spans="5:6">
      <c r="E2729" s="206">
        <f t="shared" ref="E2729:E2790" si="19">C2729/115</f>
        <v>0</v>
      </c>
      <c r="F2729" s="206"/>
    </row>
    <row r="2730" spans="5:6">
      <c r="E2730" s="206">
        <f t="shared" si="19"/>
        <v>0</v>
      </c>
      <c r="F2730" s="206"/>
    </row>
    <row r="2731" spans="5:6">
      <c r="E2731" s="206">
        <f t="shared" si="19"/>
        <v>0</v>
      </c>
      <c r="F2731" s="206"/>
    </row>
    <row r="2732" spans="5:6">
      <c r="E2732" s="206">
        <f t="shared" si="19"/>
        <v>0</v>
      </c>
      <c r="F2732" s="206"/>
    </row>
    <row r="2733" spans="5:6">
      <c r="E2733" s="206">
        <f t="shared" si="19"/>
        <v>0</v>
      </c>
      <c r="F2733" s="206"/>
    </row>
    <row r="2734" spans="5:6">
      <c r="E2734" s="206">
        <f t="shared" si="19"/>
        <v>0</v>
      </c>
      <c r="F2734" s="206"/>
    </row>
    <row r="2735" spans="5:6">
      <c r="E2735" s="206">
        <f t="shared" si="19"/>
        <v>0</v>
      </c>
      <c r="F2735" s="206"/>
    </row>
    <row r="2736" spans="5:6">
      <c r="E2736" s="206">
        <f t="shared" si="19"/>
        <v>0</v>
      </c>
      <c r="F2736" s="206"/>
    </row>
    <row r="2737" spans="5:6">
      <c r="E2737" s="206">
        <f t="shared" si="19"/>
        <v>0</v>
      </c>
      <c r="F2737" s="206"/>
    </row>
    <row r="2738" spans="5:6">
      <c r="E2738" s="206">
        <f t="shared" si="19"/>
        <v>0</v>
      </c>
      <c r="F2738" s="206"/>
    </row>
    <row r="2739" spans="5:6">
      <c r="E2739" s="206">
        <f t="shared" si="19"/>
        <v>0</v>
      </c>
      <c r="F2739" s="206"/>
    </row>
    <row r="2740" spans="5:6">
      <c r="E2740" s="206">
        <f t="shared" si="19"/>
        <v>0</v>
      </c>
      <c r="F2740" s="206"/>
    </row>
    <row r="2741" spans="5:6">
      <c r="E2741" s="206">
        <f t="shared" si="19"/>
        <v>0</v>
      </c>
      <c r="F2741" s="206"/>
    </row>
    <row r="2742" spans="5:6">
      <c r="E2742" s="206">
        <f t="shared" si="19"/>
        <v>0</v>
      </c>
      <c r="F2742" s="206"/>
    </row>
    <row r="2743" spans="5:6">
      <c r="E2743" s="206">
        <f t="shared" si="19"/>
        <v>0</v>
      </c>
      <c r="F2743" s="206"/>
    </row>
    <row r="2744" spans="5:6">
      <c r="E2744" s="206">
        <f t="shared" si="19"/>
        <v>0</v>
      </c>
      <c r="F2744" s="206"/>
    </row>
    <row r="2745" spans="5:6">
      <c r="E2745" s="206">
        <f t="shared" si="19"/>
        <v>0</v>
      </c>
      <c r="F2745" s="206"/>
    </row>
    <row r="2746" spans="5:6">
      <c r="E2746" s="206">
        <f t="shared" si="19"/>
        <v>0</v>
      </c>
      <c r="F2746" s="206"/>
    </row>
    <row r="2747" spans="5:6">
      <c r="E2747" s="206">
        <f t="shared" si="19"/>
        <v>0</v>
      </c>
      <c r="F2747" s="206"/>
    </row>
    <row r="2748" spans="5:6">
      <c r="E2748" s="206">
        <f t="shared" si="19"/>
        <v>0</v>
      </c>
      <c r="F2748" s="206"/>
    </row>
    <row r="2749" spans="5:6">
      <c r="E2749" s="206">
        <f t="shared" si="19"/>
        <v>0</v>
      </c>
      <c r="F2749" s="206"/>
    </row>
    <row r="2750" spans="5:6">
      <c r="E2750" s="206">
        <f t="shared" si="19"/>
        <v>0</v>
      </c>
      <c r="F2750" s="206"/>
    </row>
    <row r="2751" spans="5:6">
      <c r="E2751" s="206">
        <f t="shared" si="19"/>
        <v>0</v>
      </c>
      <c r="F2751" s="206"/>
    </row>
    <row r="2752" spans="5:6">
      <c r="E2752" s="206">
        <f t="shared" si="19"/>
        <v>0</v>
      </c>
      <c r="F2752" s="206"/>
    </row>
    <row r="2753" spans="5:6">
      <c r="E2753" s="206">
        <f t="shared" si="19"/>
        <v>0</v>
      </c>
      <c r="F2753" s="206"/>
    </row>
    <row r="2754" spans="5:6">
      <c r="E2754" s="206">
        <f t="shared" si="19"/>
        <v>0</v>
      </c>
      <c r="F2754" s="206"/>
    </row>
    <row r="2755" spans="5:6">
      <c r="E2755" s="206">
        <f t="shared" si="19"/>
        <v>0</v>
      </c>
      <c r="F2755" s="206"/>
    </row>
    <row r="2756" spans="5:6">
      <c r="E2756" s="206">
        <f t="shared" si="19"/>
        <v>0</v>
      </c>
      <c r="F2756" s="206"/>
    </row>
    <row r="2757" spans="5:6">
      <c r="E2757" s="206">
        <f t="shared" si="19"/>
        <v>0</v>
      </c>
      <c r="F2757" s="206"/>
    </row>
    <row r="2758" spans="5:6">
      <c r="E2758" s="206">
        <f t="shared" si="19"/>
        <v>0</v>
      </c>
      <c r="F2758" s="206"/>
    </row>
    <row r="2759" spans="5:6">
      <c r="E2759" s="206">
        <f t="shared" si="19"/>
        <v>0</v>
      </c>
      <c r="F2759" s="206"/>
    </row>
    <row r="2760" spans="5:6">
      <c r="E2760" s="206">
        <f t="shared" si="19"/>
        <v>0</v>
      </c>
      <c r="F2760" s="206"/>
    </row>
    <row r="2761" spans="5:6">
      <c r="E2761" s="206">
        <f t="shared" si="19"/>
        <v>0</v>
      </c>
      <c r="F2761" s="206"/>
    </row>
    <row r="2762" spans="5:6">
      <c r="E2762" s="206">
        <f t="shared" si="19"/>
        <v>0</v>
      </c>
      <c r="F2762" s="206"/>
    </row>
    <row r="2763" spans="5:6">
      <c r="E2763" s="206">
        <f t="shared" si="19"/>
        <v>0</v>
      </c>
      <c r="F2763" s="206"/>
    </row>
    <row r="2764" spans="5:6">
      <c r="E2764" s="206">
        <f t="shared" si="19"/>
        <v>0</v>
      </c>
      <c r="F2764" s="206"/>
    </row>
    <row r="2765" spans="5:6">
      <c r="E2765" s="206">
        <f t="shared" si="19"/>
        <v>0</v>
      </c>
      <c r="F2765" s="206"/>
    </row>
    <row r="2766" spans="5:6">
      <c r="E2766" s="206">
        <f t="shared" si="19"/>
        <v>0</v>
      </c>
      <c r="F2766" s="206"/>
    </row>
    <row r="2767" spans="5:6">
      <c r="E2767" s="206">
        <f t="shared" si="19"/>
        <v>0</v>
      </c>
      <c r="F2767" s="206"/>
    </row>
    <row r="2768" spans="5:6">
      <c r="E2768" s="206">
        <f t="shared" si="19"/>
        <v>0</v>
      </c>
      <c r="F2768" s="206"/>
    </row>
    <row r="2769" spans="5:6">
      <c r="E2769" s="206">
        <f t="shared" si="19"/>
        <v>0</v>
      </c>
      <c r="F2769" s="206"/>
    </row>
    <row r="2770" spans="5:6">
      <c r="E2770" s="206">
        <f t="shared" si="19"/>
        <v>0</v>
      </c>
      <c r="F2770" s="206"/>
    </row>
    <row r="2771" spans="5:6">
      <c r="E2771" s="206">
        <f t="shared" si="19"/>
        <v>0</v>
      </c>
      <c r="F2771" s="206"/>
    </row>
    <row r="2772" spans="5:6">
      <c r="E2772" s="206">
        <f t="shared" si="19"/>
        <v>0</v>
      </c>
      <c r="F2772" s="206"/>
    </row>
    <row r="2773" spans="5:6">
      <c r="E2773" s="206">
        <f t="shared" si="19"/>
        <v>0</v>
      </c>
      <c r="F2773" s="206"/>
    </row>
    <row r="2774" spans="5:6">
      <c r="E2774" s="206">
        <f t="shared" si="19"/>
        <v>0</v>
      </c>
      <c r="F2774" s="206"/>
    </row>
    <row r="2775" spans="5:6">
      <c r="E2775" s="206">
        <f t="shared" si="19"/>
        <v>0</v>
      </c>
      <c r="F2775" s="206"/>
    </row>
    <row r="2776" spans="5:6">
      <c r="E2776" s="206">
        <f t="shared" si="19"/>
        <v>0</v>
      </c>
      <c r="F2776" s="206"/>
    </row>
    <row r="2777" spans="5:6">
      <c r="E2777" s="206">
        <f t="shared" si="19"/>
        <v>0</v>
      </c>
      <c r="F2777" s="206"/>
    </row>
    <row r="2778" spans="5:6">
      <c r="E2778" s="206">
        <f t="shared" si="19"/>
        <v>0</v>
      </c>
      <c r="F2778" s="206"/>
    </row>
    <row r="2779" spans="5:6">
      <c r="E2779" s="206">
        <f t="shared" si="19"/>
        <v>0</v>
      </c>
      <c r="F2779" s="206"/>
    </row>
    <row r="2780" spans="5:6">
      <c r="E2780" s="206">
        <f t="shared" si="19"/>
        <v>0</v>
      </c>
      <c r="F2780" s="206"/>
    </row>
    <row r="2781" spans="5:6">
      <c r="E2781" s="206">
        <f t="shared" si="19"/>
        <v>0</v>
      </c>
      <c r="F2781" s="206"/>
    </row>
    <row r="2782" spans="5:6">
      <c r="E2782" s="206">
        <f t="shared" si="19"/>
        <v>0</v>
      </c>
      <c r="F2782" s="206"/>
    </row>
    <row r="2783" spans="5:6">
      <c r="E2783" s="206">
        <f t="shared" si="19"/>
        <v>0</v>
      </c>
      <c r="F2783" s="206"/>
    </row>
    <row r="2784" spans="5:6">
      <c r="E2784" s="206">
        <f t="shared" si="19"/>
        <v>0</v>
      </c>
      <c r="F2784" s="206"/>
    </row>
    <row r="2785" spans="5:6">
      <c r="E2785" s="206">
        <f t="shared" si="19"/>
        <v>0</v>
      </c>
      <c r="F2785" s="206"/>
    </row>
    <row r="2786" spans="5:6">
      <c r="E2786" s="206">
        <f t="shared" si="19"/>
        <v>0</v>
      </c>
      <c r="F2786" s="206"/>
    </row>
    <row r="2787" spans="5:6">
      <c r="E2787" s="206">
        <f t="shared" si="19"/>
        <v>0</v>
      </c>
      <c r="F2787" s="206"/>
    </row>
    <row r="2788" spans="5:6">
      <c r="E2788" s="206">
        <f t="shared" si="19"/>
        <v>0</v>
      </c>
      <c r="F2788" s="206"/>
    </row>
    <row r="2789" spans="5:6">
      <c r="E2789" s="206">
        <f t="shared" si="19"/>
        <v>0</v>
      </c>
      <c r="F2789" s="206"/>
    </row>
    <row r="2790" spans="5:6">
      <c r="E2790" s="206">
        <f t="shared" si="19"/>
        <v>0</v>
      </c>
      <c r="F2790" s="206"/>
    </row>
  </sheetData>
  <sheetProtection formatCells="0" formatColumns="0" formatRows="0" insertColumns="0" insertRows="0" insertHyperlinks="0" deleteColumns="0" deleteRows="0" sort="0" autoFilter="0" pivotTables="0"/>
  <mergeCells count="1">
    <mergeCell ref="I4:J4"/>
  </mergeCell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X114"/>
  <sheetViews>
    <sheetView showGridLines="0" topLeftCell="D1" zoomScale="94" zoomScaleNormal="100" workbookViewId="0">
      <selection activeCell="W13" sqref="W13:X13"/>
    </sheetView>
  </sheetViews>
  <sheetFormatPr defaultColWidth="8.85546875" defaultRowHeight="12.75"/>
  <cols>
    <col min="1" max="1" width="3.28515625" style="82" bestFit="1" customWidth="1"/>
    <col min="2" max="2" width="29.140625" style="82" customWidth="1"/>
    <col min="3" max="3" width="27" style="82" customWidth="1"/>
    <col min="4" max="4" width="8.7109375" style="82" customWidth="1"/>
    <col min="5" max="20" width="11" style="82" customWidth="1"/>
    <col min="21" max="21" width="28.28515625" style="82" customWidth="1"/>
    <col min="22" max="22" width="20" style="82" customWidth="1"/>
    <col min="23" max="24" width="9.42578125" style="82" customWidth="1"/>
    <col min="25" max="16384" width="8.85546875" style="82"/>
  </cols>
  <sheetData>
    <row r="1" spans="1:24" ht="13.7" customHeight="1">
      <c r="A1" s="165" t="s">
        <v>0</v>
      </c>
      <c r="B1" s="510" t="s">
        <v>322</v>
      </c>
      <c r="C1" s="510"/>
      <c r="D1" s="165" t="s">
        <v>2</v>
      </c>
      <c r="E1" s="165" t="s">
        <v>323</v>
      </c>
      <c r="F1" s="165" t="s">
        <v>324</v>
      </c>
      <c r="G1" s="165" t="s">
        <v>361</v>
      </c>
      <c r="H1" s="165" t="s">
        <v>362</v>
      </c>
      <c r="I1" s="165" t="s">
        <v>363</v>
      </c>
      <c r="J1" s="165" t="s">
        <v>364</v>
      </c>
      <c r="K1" s="165" t="s">
        <v>365</v>
      </c>
      <c r="L1" s="165" t="s">
        <v>366</v>
      </c>
      <c r="M1" s="165" t="s">
        <v>367</v>
      </c>
      <c r="N1" s="165" t="s">
        <v>368</v>
      </c>
      <c r="O1" s="165" t="s">
        <v>369</v>
      </c>
      <c r="P1" s="165" t="s">
        <v>370</v>
      </c>
      <c r="Q1" s="165" t="s">
        <v>371</v>
      </c>
      <c r="R1" s="165" t="s">
        <v>372</v>
      </c>
      <c r="S1" s="165" t="s">
        <v>373</v>
      </c>
      <c r="T1" s="165" t="s">
        <v>1113</v>
      </c>
    </row>
    <row r="2" spans="1:24" ht="13.7" customHeight="1">
      <c r="A2" s="141" t="s">
        <v>7</v>
      </c>
      <c r="B2" s="511" t="s">
        <v>8</v>
      </c>
      <c r="C2" s="511"/>
      <c r="D2" s="141" t="s">
        <v>9</v>
      </c>
      <c r="E2" s="141" t="s">
        <v>10</v>
      </c>
      <c r="F2" s="141" t="s">
        <v>11</v>
      </c>
      <c r="G2" s="141" t="s">
        <v>12</v>
      </c>
      <c r="H2" s="141" t="s">
        <v>13</v>
      </c>
      <c r="I2" s="141" t="s">
        <v>374</v>
      </c>
      <c r="J2" s="141" t="s">
        <v>375</v>
      </c>
      <c r="K2" s="141" t="s">
        <v>376</v>
      </c>
      <c r="L2" s="141" t="s">
        <v>377</v>
      </c>
      <c r="M2" s="141" t="s">
        <v>378</v>
      </c>
      <c r="N2" s="141" t="s">
        <v>379</v>
      </c>
      <c r="O2" s="141" t="s">
        <v>380</v>
      </c>
      <c r="P2" s="141" t="s">
        <v>381</v>
      </c>
      <c r="Q2" s="141" t="s">
        <v>382</v>
      </c>
      <c r="R2" s="141" t="s">
        <v>383</v>
      </c>
      <c r="S2" s="141" t="s">
        <v>384</v>
      </c>
      <c r="T2" s="141" t="s">
        <v>385</v>
      </c>
    </row>
    <row r="3" spans="1:24" ht="13.7" customHeight="1">
      <c r="A3" s="97" t="s">
        <v>325</v>
      </c>
      <c r="B3" s="505" t="s">
        <v>326</v>
      </c>
      <c r="C3" s="505"/>
      <c r="D3" s="81" t="s">
        <v>16</v>
      </c>
      <c r="E3" s="145">
        <f>SUM('Amortyzacja obecna i projektowa'!X262:X266)</f>
        <v>0</v>
      </c>
      <c r="F3" s="145">
        <f>SUM('Amortyzacja obecna i projektowa'!Y262:Y266)</f>
        <v>0</v>
      </c>
      <c r="G3" s="145">
        <f>SUM('Amortyzacja obecna i projektowa'!Z262:Z266)</f>
        <v>0</v>
      </c>
      <c r="H3" s="149">
        <f>SUM('Amortyzacja obecna i projektowa'!AA267:AA269)</f>
        <v>2955200</v>
      </c>
      <c r="I3" s="149">
        <f>SUM('Amortyzacja obecna i projektowa'!AB267:AB269)</f>
        <v>2955200</v>
      </c>
      <c r="J3" s="149">
        <f>SUM('Amortyzacja obecna i projektowa'!AC267:AC269)</f>
        <v>2955200</v>
      </c>
      <c r="K3" s="149">
        <f>SUM('Amortyzacja obecna i projektowa'!AD267:AD269)</f>
        <v>2955200</v>
      </c>
      <c r="L3" s="149">
        <f>SUM('Amortyzacja obecna i projektowa'!AE267:AE269)</f>
        <v>2955200</v>
      </c>
      <c r="M3" s="149">
        <f>SUM('Amortyzacja obecna i projektowa'!AF267:AF269)</f>
        <v>0</v>
      </c>
      <c r="N3" s="149">
        <f>SUM('Amortyzacja obecna i projektowa'!AG267:AG269)</f>
        <v>0</v>
      </c>
      <c r="O3" s="149">
        <f>SUM('Amortyzacja obecna i projektowa'!AH267:AH269)</f>
        <v>0</v>
      </c>
      <c r="P3" s="149">
        <f>SUM('Amortyzacja obecna i projektowa'!AI267:AI269)</f>
        <v>0</v>
      </c>
      <c r="Q3" s="149">
        <f>SUM('Amortyzacja obecna i projektowa'!AJ267:AJ269)</f>
        <v>0</v>
      </c>
      <c r="R3" s="149">
        <f>SUM('Amortyzacja obecna i projektowa'!AK267:AK269)</f>
        <v>0</v>
      </c>
      <c r="S3" s="149">
        <f>SUM('Amortyzacja obecna i projektowa'!AL267:AL269)</f>
        <v>0</v>
      </c>
      <c r="T3" s="149">
        <f>SUM('Amortyzacja obecna i projektowa'!AM267:AM269)</f>
        <v>0</v>
      </c>
    </row>
    <row r="4" spans="1:24" ht="13.7" customHeight="1">
      <c r="A4" s="97" t="s">
        <v>327</v>
      </c>
      <c r="B4" s="505" t="s">
        <v>328</v>
      </c>
      <c r="C4" s="505"/>
      <c r="D4" s="81" t="s">
        <v>16</v>
      </c>
      <c r="E4" s="145">
        <f>SUM(E5:E10)</f>
        <v>0</v>
      </c>
      <c r="F4" s="145">
        <f t="shared" ref="F4:T4" si="0">SUM(F5:F10)</f>
        <v>0</v>
      </c>
      <c r="G4" s="145">
        <f t="shared" si="0"/>
        <v>0</v>
      </c>
      <c r="H4" s="149">
        <f>SUM(H5:H10)</f>
        <v>5019511.2709999997</v>
      </c>
      <c r="I4" s="149">
        <f t="shared" si="0"/>
        <v>7101831.5722830016</v>
      </c>
      <c r="J4" s="149">
        <f t="shared" si="0"/>
        <v>9316583.2176921554</v>
      </c>
      <c r="K4" s="149">
        <f t="shared" si="0"/>
        <v>10802749.158235362</v>
      </c>
      <c r="L4" s="149">
        <f t="shared" si="0"/>
        <v>11589899.446101306</v>
      </c>
      <c r="M4" s="149">
        <f t="shared" si="0"/>
        <v>12434410.176933497</v>
      </c>
      <c r="N4" s="149">
        <f t="shared" si="0"/>
        <v>13340461.556105115</v>
      </c>
      <c r="O4" s="149">
        <f t="shared" si="0"/>
        <v>14312538.446494145</v>
      </c>
      <c r="P4" s="149">
        <f t="shared" si="0"/>
        <v>15355452.573657103</v>
      </c>
      <c r="Q4" s="149">
        <f t="shared" si="0"/>
        <v>16474366.349542784</v>
      </c>
      <c r="R4" s="149">
        <f t="shared" si="0"/>
        <v>17674818.43272873</v>
      </c>
      <c r="S4" s="149">
        <f t="shared" si="0"/>
        <v>18962751.151764095</v>
      </c>
      <c r="T4" s="149">
        <f t="shared" si="0"/>
        <v>20344539.927430287</v>
      </c>
    </row>
    <row r="5" spans="1:24" ht="13.7" customHeight="1">
      <c r="A5" s="97" t="s">
        <v>285</v>
      </c>
      <c r="B5" s="507" t="s">
        <v>329</v>
      </c>
      <c r="C5" s="507"/>
      <c r="D5" s="81" t="s">
        <v>16</v>
      </c>
      <c r="E5" s="149">
        <v>0</v>
      </c>
      <c r="F5" s="149">
        <v>0</v>
      </c>
      <c r="G5" s="149">
        <v>0</v>
      </c>
      <c r="H5" s="149">
        <v>0</v>
      </c>
      <c r="I5" s="149">
        <v>0</v>
      </c>
      <c r="J5" s="149">
        <v>0</v>
      </c>
      <c r="K5" s="149">
        <v>0</v>
      </c>
      <c r="L5" s="149">
        <v>0</v>
      </c>
      <c r="M5" s="149">
        <v>0</v>
      </c>
      <c r="N5" s="149">
        <v>0</v>
      </c>
      <c r="O5" s="149">
        <v>0</v>
      </c>
      <c r="P5" s="149">
        <v>0</v>
      </c>
      <c r="Q5" s="149">
        <v>0</v>
      </c>
      <c r="R5" s="149">
        <v>0</v>
      </c>
      <c r="S5" s="149">
        <v>0</v>
      </c>
      <c r="T5" s="149">
        <v>0</v>
      </c>
      <c r="V5" s="422" t="s">
        <v>4187</v>
      </c>
      <c r="X5" s="411">
        <v>7.0000000000000007E-2</v>
      </c>
    </row>
    <row r="6" spans="1:24" ht="13.7" customHeight="1">
      <c r="A6" s="97" t="s">
        <v>286</v>
      </c>
      <c r="B6" s="507" t="s">
        <v>330</v>
      </c>
      <c r="C6" s="507"/>
      <c r="D6" s="81" t="s">
        <v>16</v>
      </c>
      <c r="E6" s="149">
        <v>0</v>
      </c>
      <c r="F6" s="149">
        <v>0</v>
      </c>
      <c r="G6" s="149">
        <v>0</v>
      </c>
      <c r="H6" s="149">
        <f>H44+H45</f>
        <v>861983.27100000007</v>
      </c>
      <c r="I6" s="149">
        <f t="shared" ref="I6:T6" si="1">I44+I45</f>
        <v>924908.04978300002</v>
      </c>
      <c r="J6" s="149">
        <f t="shared" si="1"/>
        <v>992426.337417159</v>
      </c>
      <c r="K6" s="149">
        <f t="shared" si="1"/>
        <v>1064873.4600486115</v>
      </c>
      <c r="L6" s="149">
        <f t="shared" si="1"/>
        <v>1142609.2226321599</v>
      </c>
      <c r="M6" s="149">
        <f t="shared" si="1"/>
        <v>1226019.6958843076</v>
      </c>
      <c r="N6" s="149">
        <f t="shared" si="1"/>
        <v>1315519.1336838622</v>
      </c>
      <c r="O6" s="149">
        <f t="shared" si="1"/>
        <v>1411552.0304427841</v>
      </c>
      <c r="P6" s="149">
        <f t="shared" si="1"/>
        <v>1514595.3286651073</v>
      </c>
      <c r="Q6" s="149">
        <f t="shared" si="1"/>
        <v>1625160.78765766</v>
      </c>
      <c r="R6" s="149">
        <f t="shared" si="1"/>
        <v>1743797.5251566691</v>
      </c>
      <c r="S6" s="149">
        <f t="shared" si="1"/>
        <v>1871094.7444931059</v>
      </c>
      <c r="T6" s="149">
        <f t="shared" si="1"/>
        <v>2007684.6608411027</v>
      </c>
      <c r="V6" s="386"/>
      <c r="W6" s="161"/>
    </row>
    <row r="7" spans="1:24" ht="13.7" customHeight="1">
      <c r="A7" s="97" t="s">
        <v>288</v>
      </c>
      <c r="B7" s="507" t="s">
        <v>331</v>
      </c>
      <c r="C7" s="507"/>
      <c r="D7" s="81" t="s">
        <v>16</v>
      </c>
      <c r="E7" s="149">
        <v>0</v>
      </c>
      <c r="F7" s="149">
        <v>0</v>
      </c>
      <c r="G7" s="149">
        <v>0</v>
      </c>
      <c r="H7" s="149">
        <f>H47+H48+H114</f>
        <v>6230000</v>
      </c>
      <c r="I7" s="149">
        <f t="shared" ref="I7:T7" si="2">I47+I48+I114</f>
        <v>9725482.5</v>
      </c>
      <c r="J7" s="149">
        <f t="shared" si="2"/>
        <v>12985169.266999997</v>
      </c>
      <c r="K7" s="149">
        <f t="shared" si="2"/>
        <v>15350062.914989997</v>
      </c>
      <c r="L7" s="149">
        <f t="shared" si="2"/>
        <v>16470617.507784268</v>
      </c>
      <c r="M7" s="149">
        <f t="shared" si="2"/>
        <v>17672972.585852519</v>
      </c>
      <c r="N7" s="149">
        <f t="shared" si="2"/>
        <v>18963099.584619753</v>
      </c>
      <c r="O7" s="149">
        <f t="shared" si="2"/>
        <v>20347405.854296993</v>
      </c>
      <c r="P7" s="149">
        <f t="shared" si="2"/>
        <v>21832766.481660672</v>
      </c>
      <c r="Q7" s="149">
        <f t="shared" si="2"/>
        <v>23426558.4348219</v>
      </c>
      <c r="R7" s="149">
        <f t="shared" si="2"/>
        <v>25136697.2005639</v>
      </c>
      <c r="S7" s="149">
        <f t="shared" si="2"/>
        <v>26971676.096205063</v>
      </c>
      <c r="T7" s="149">
        <f t="shared" si="2"/>
        <v>28940608.45122803</v>
      </c>
      <c r="V7" s="422" t="s">
        <v>4188</v>
      </c>
      <c r="X7" s="411">
        <v>0.05</v>
      </c>
    </row>
    <row r="8" spans="1:24" ht="13.7" customHeight="1">
      <c r="A8" s="97" t="s">
        <v>290</v>
      </c>
      <c r="B8" s="507" t="s">
        <v>332</v>
      </c>
      <c r="C8" s="507"/>
      <c r="D8" s="81" t="s">
        <v>16</v>
      </c>
      <c r="E8" s="149">
        <v>0</v>
      </c>
      <c r="F8" s="149">
        <v>0</v>
      </c>
      <c r="G8" s="149">
        <v>0</v>
      </c>
      <c r="H8" s="149">
        <f>12*(H36+H42)</f>
        <v>394653</v>
      </c>
      <c r="I8" s="149">
        <f t="shared" ref="I8:T8" si="3">12*(I36+I42)</f>
        <v>422278.71</v>
      </c>
      <c r="J8" s="149">
        <f t="shared" si="3"/>
        <v>451838.21969999996</v>
      </c>
      <c r="K8" s="149">
        <f t="shared" si="3"/>
        <v>483466.8950790001</v>
      </c>
      <c r="L8" s="149">
        <f t="shared" si="3"/>
        <v>517309.57773453015</v>
      </c>
      <c r="M8" s="149">
        <f t="shared" si="3"/>
        <v>553521.24817594723</v>
      </c>
      <c r="N8" s="149">
        <f t="shared" si="3"/>
        <v>592267.73554826365</v>
      </c>
      <c r="O8" s="149">
        <f t="shared" si="3"/>
        <v>633726.47703664214</v>
      </c>
      <c r="P8" s="149">
        <f t="shared" si="3"/>
        <v>678087.33042920707</v>
      </c>
      <c r="Q8" s="149">
        <f t="shared" si="3"/>
        <v>725553.44355925173</v>
      </c>
      <c r="R8" s="149">
        <f t="shared" si="3"/>
        <v>776342.1846083994</v>
      </c>
      <c r="S8" s="149">
        <f t="shared" si="3"/>
        <v>830686.13753098738</v>
      </c>
      <c r="T8" s="149">
        <f t="shared" si="3"/>
        <v>888834.16715815652</v>
      </c>
      <c r="V8" s="386"/>
    </row>
    <row r="9" spans="1:24" ht="13.7" customHeight="1">
      <c r="A9" s="97" t="s">
        <v>292</v>
      </c>
      <c r="B9" s="507" t="s">
        <v>27</v>
      </c>
      <c r="C9" s="507"/>
      <c r="D9" s="81" t="s">
        <v>16</v>
      </c>
      <c r="E9" s="149">
        <v>0</v>
      </c>
      <c r="F9" s="149">
        <v>0</v>
      </c>
      <c r="G9" s="149">
        <v>0</v>
      </c>
      <c r="H9" s="149">
        <f>-H112</f>
        <v>-2467125</v>
      </c>
      <c r="I9" s="149">
        <f t="shared" ref="I9:T9" si="4">-I112</f>
        <v>-3970837.6874999995</v>
      </c>
      <c r="J9" s="149">
        <f t="shared" si="4"/>
        <v>-5112850.6064249994</v>
      </c>
      <c r="K9" s="149">
        <f t="shared" si="4"/>
        <v>-6095654.1118822489</v>
      </c>
      <c r="L9" s="149">
        <f t="shared" si="4"/>
        <v>-6540636.8620496523</v>
      </c>
      <c r="M9" s="149">
        <f t="shared" si="4"/>
        <v>-7018103.3529792763</v>
      </c>
      <c r="N9" s="149">
        <f t="shared" si="4"/>
        <v>-7530424.8977467641</v>
      </c>
      <c r="O9" s="149">
        <f t="shared" si="4"/>
        <v>-8080145.9152822774</v>
      </c>
      <c r="P9" s="149">
        <f t="shared" si="4"/>
        <v>-8669996.5670978837</v>
      </c>
      <c r="Q9" s="149">
        <f t="shared" si="4"/>
        <v>-9302906.3164960276</v>
      </c>
      <c r="R9" s="149">
        <f t="shared" si="4"/>
        <v>-9982018.4776002392</v>
      </c>
      <c r="S9" s="149">
        <f t="shared" si="4"/>
        <v>-10710705.826465057</v>
      </c>
      <c r="T9" s="149">
        <f t="shared" si="4"/>
        <v>-11492587.351797005</v>
      </c>
      <c r="V9" s="422" t="s">
        <v>4189</v>
      </c>
    </row>
    <row r="10" spans="1:24" ht="13.7" customHeight="1" thickBot="1">
      <c r="A10" s="97" t="s">
        <v>294</v>
      </c>
      <c r="B10" s="507" t="s">
        <v>333</v>
      </c>
      <c r="C10" s="507"/>
      <c r="D10" s="81" t="s">
        <v>16</v>
      </c>
      <c r="E10" s="149">
        <v>0</v>
      </c>
      <c r="F10" s="149">
        <v>0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  <c r="L10" s="149">
        <v>0</v>
      </c>
      <c r="M10" s="149">
        <v>0</v>
      </c>
      <c r="N10" s="149">
        <v>0</v>
      </c>
      <c r="O10" s="149">
        <v>0</v>
      </c>
      <c r="P10" s="149">
        <v>0</v>
      </c>
      <c r="Q10" s="149">
        <v>0</v>
      </c>
      <c r="R10" s="149">
        <v>0</v>
      </c>
      <c r="S10" s="149">
        <v>0</v>
      </c>
      <c r="T10" s="149">
        <v>0</v>
      </c>
      <c r="V10" s="422"/>
    </row>
    <row r="11" spans="1:24" ht="13.7" customHeight="1">
      <c r="A11" s="97" t="s">
        <v>334</v>
      </c>
      <c r="B11" s="507" t="s">
        <v>48</v>
      </c>
      <c r="C11" s="507"/>
      <c r="D11" s="81" t="s">
        <v>16</v>
      </c>
      <c r="E11" s="145">
        <v>0</v>
      </c>
      <c r="F11" s="149">
        <f>'Pożyczka - projekt 2-4'!I27</f>
        <v>75943.155555555568</v>
      </c>
      <c r="G11" s="149">
        <f>'Pożyczka - projekt 2-4'!I39</f>
        <v>186752.22222222231</v>
      </c>
      <c r="H11" s="149">
        <f>'Pożyczka - projekt 2-4'!I51</f>
        <v>172961.28888888904</v>
      </c>
      <c r="I11" s="149">
        <f>'Pożyczka - projekt 2-4'!I63</f>
        <v>159170.35555555575</v>
      </c>
      <c r="J11" s="149">
        <f>'Pożyczka - projekt 2-4'!I75</f>
        <v>145379.42222222243</v>
      </c>
      <c r="K11" s="149">
        <f>'Pożyczka - projekt 2-4'!I87</f>
        <v>131588.48888888914</v>
      </c>
      <c r="L11" s="149">
        <f>'Pożyczka - projekt 2-4'!I99</f>
        <v>117797.55555555587</v>
      </c>
      <c r="M11" s="149">
        <f>'Pożyczka - projekt 2-4'!I111</f>
        <v>104006.62222222259</v>
      </c>
      <c r="N11" s="149">
        <f>'Pożyczka - projekt 2-4'!I123</f>
        <v>90215.688888889315</v>
      </c>
      <c r="O11" s="149">
        <f>'Pożyczka - projekt 2-4'!I135</f>
        <v>76424.755555556039</v>
      </c>
      <c r="P11" s="149">
        <f>'Pożyczka - projekt 2-4'!I147</f>
        <v>62633.822222222741</v>
      </c>
      <c r="Q11" s="149">
        <f>'Pożyczka - projekt 2-4'!I159</f>
        <v>48842.888888889458</v>
      </c>
      <c r="R11" s="149">
        <f>'Pożyczka - projekt 2-4'!I171</f>
        <v>35051.955555556146</v>
      </c>
      <c r="S11" s="149">
        <f>'Pożyczka - projekt 2-4'!I183</f>
        <v>21261.0222222228</v>
      </c>
      <c r="T11" s="149">
        <f>'Pożyczka - projekt 2-4'!I195</f>
        <v>7470.088888889466</v>
      </c>
      <c r="V11" s="467" t="s">
        <v>4076</v>
      </c>
      <c r="W11" s="468"/>
      <c r="X11" s="469"/>
    </row>
    <row r="12" spans="1:24" ht="13.7" customHeight="1">
      <c r="A12" s="97" t="s">
        <v>17</v>
      </c>
      <c r="B12" s="507" t="s">
        <v>49</v>
      </c>
      <c r="C12" s="507"/>
      <c r="D12" s="81" t="s">
        <v>17</v>
      </c>
      <c r="E12" s="145">
        <v>0</v>
      </c>
      <c r="F12" s="145">
        <f>F11</f>
        <v>75943.155555555568</v>
      </c>
      <c r="G12" s="145">
        <f t="shared" ref="G12:T12" si="5">G11</f>
        <v>186752.22222222231</v>
      </c>
      <c r="H12" s="145">
        <f t="shared" si="5"/>
        <v>172961.28888888904</v>
      </c>
      <c r="I12" s="145">
        <f t="shared" si="5"/>
        <v>159170.35555555575</v>
      </c>
      <c r="J12" s="145">
        <f t="shared" si="5"/>
        <v>145379.42222222243</v>
      </c>
      <c r="K12" s="145">
        <f t="shared" si="5"/>
        <v>131588.48888888914</v>
      </c>
      <c r="L12" s="145">
        <f t="shared" si="5"/>
        <v>117797.55555555587</v>
      </c>
      <c r="M12" s="145">
        <f t="shared" si="5"/>
        <v>104006.62222222259</v>
      </c>
      <c r="N12" s="145">
        <f t="shared" si="5"/>
        <v>90215.688888889315</v>
      </c>
      <c r="O12" s="145">
        <f t="shared" si="5"/>
        <v>76424.755555556039</v>
      </c>
      <c r="P12" s="145">
        <f t="shared" si="5"/>
        <v>62633.822222222741</v>
      </c>
      <c r="Q12" s="145">
        <f t="shared" si="5"/>
        <v>48842.888888889458</v>
      </c>
      <c r="R12" s="145">
        <f t="shared" si="5"/>
        <v>35051.955555556146</v>
      </c>
      <c r="S12" s="145">
        <f t="shared" si="5"/>
        <v>21261.0222222228</v>
      </c>
      <c r="T12" s="145">
        <f t="shared" si="5"/>
        <v>7470.088888889466</v>
      </c>
      <c r="V12" s="142">
        <v>2021</v>
      </c>
      <c r="W12" s="143">
        <v>2022</v>
      </c>
      <c r="X12" s="144">
        <v>2023</v>
      </c>
    </row>
    <row r="13" spans="1:24" ht="13.7" customHeight="1" thickBot="1">
      <c r="A13" s="97" t="s">
        <v>335</v>
      </c>
      <c r="B13" s="507" t="s">
        <v>336</v>
      </c>
      <c r="C13" s="507"/>
      <c r="D13" s="81" t="s">
        <v>16</v>
      </c>
      <c r="E13" s="145">
        <v>0</v>
      </c>
      <c r="F13" s="145">
        <v>0</v>
      </c>
      <c r="G13" s="145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49">
        <v>0</v>
      </c>
      <c r="Q13" s="149">
        <v>0</v>
      </c>
      <c r="R13" s="149">
        <v>0</v>
      </c>
      <c r="S13" s="149">
        <v>0</v>
      </c>
      <c r="T13" s="149">
        <v>0</v>
      </c>
      <c r="V13" s="146">
        <v>2.5999999999999999E-2</v>
      </c>
      <c r="W13" s="147">
        <v>0.11600000000000001</v>
      </c>
      <c r="X13" s="148">
        <v>7.2999999999999995E-2</v>
      </c>
    </row>
    <row r="14" spans="1:24" ht="13.7" hidden="1" customHeight="1">
      <c r="A14" s="97" t="s">
        <v>337</v>
      </c>
      <c r="B14" s="508" t="s">
        <v>338</v>
      </c>
      <c r="C14" s="508"/>
      <c r="D14" s="81" t="s">
        <v>16</v>
      </c>
      <c r="E14" s="145">
        <v>0</v>
      </c>
      <c r="F14" s="145">
        <v>0</v>
      </c>
      <c r="G14" s="145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  <c r="M14" s="149">
        <v>0</v>
      </c>
      <c r="N14" s="149">
        <v>0</v>
      </c>
      <c r="O14" s="149">
        <v>0</v>
      </c>
      <c r="P14" s="149">
        <v>0</v>
      </c>
      <c r="Q14" s="149">
        <v>0</v>
      </c>
      <c r="R14" s="149">
        <v>0</v>
      </c>
      <c r="S14" s="149">
        <v>0</v>
      </c>
      <c r="T14" s="149">
        <v>0</v>
      </c>
    </row>
    <row r="15" spans="1:24" ht="13.7" customHeight="1">
      <c r="A15" s="97" t="s">
        <v>339</v>
      </c>
      <c r="B15" s="507" t="s">
        <v>340</v>
      </c>
      <c r="C15" s="507"/>
      <c r="D15" s="81" t="s">
        <v>16</v>
      </c>
      <c r="E15" s="145">
        <f>E3+E4+E11+E13</f>
        <v>0</v>
      </c>
      <c r="F15" s="145">
        <f t="shared" ref="F15:G15" si="6">F3+F4+F11+F13</f>
        <v>75943.155555555568</v>
      </c>
      <c r="G15" s="145">
        <f t="shared" si="6"/>
        <v>186752.22222222231</v>
      </c>
      <c r="H15" s="149">
        <f>H3+H4+H11+H13</f>
        <v>8147672.5598888891</v>
      </c>
      <c r="I15" s="149">
        <f t="shared" ref="I15:T15" si="7">I3+I4+I11+I13</f>
        <v>10216201.927838556</v>
      </c>
      <c r="J15" s="149">
        <f t="shared" si="7"/>
        <v>12417162.639914379</v>
      </c>
      <c r="K15" s="149">
        <f t="shared" si="7"/>
        <v>13889537.647124251</v>
      </c>
      <c r="L15" s="149">
        <f t="shared" si="7"/>
        <v>14662897.001656862</v>
      </c>
      <c r="M15" s="149">
        <f t="shared" si="7"/>
        <v>12538416.79915572</v>
      </c>
      <c r="N15" s="149">
        <f t="shared" si="7"/>
        <v>13430677.244994003</v>
      </c>
      <c r="O15" s="149">
        <f t="shared" si="7"/>
        <v>14388963.202049701</v>
      </c>
      <c r="P15" s="149">
        <f t="shared" si="7"/>
        <v>15418086.395879326</v>
      </c>
      <c r="Q15" s="149">
        <f t="shared" si="7"/>
        <v>16523209.238431673</v>
      </c>
      <c r="R15" s="149">
        <f t="shared" si="7"/>
        <v>17709870.388284285</v>
      </c>
      <c r="S15" s="149">
        <f t="shared" si="7"/>
        <v>18984012.173986319</v>
      </c>
      <c r="T15" s="149">
        <f t="shared" si="7"/>
        <v>20352010.016319178</v>
      </c>
    </row>
    <row r="16" spans="1:24" ht="13.7" customHeight="1">
      <c r="A16" s="97" t="s">
        <v>285</v>
      </c>
      <c r="B16" s="509" t="s">
        <v>4101</v>
      </c>
      <c r="C16" s="509"/>
      <c r="D16" s="81" t="s">
        <v>16</v>
      </c>
      <c r="E16" s="145">
        <v>0</v>
      </c>
      <c r="F16" s="145">
        <v>0</v>
      </c>
      <c r="G16" s="145">
        <v>0</v>
      </c>
      <c r="H16" s="149">
        <f>H113</f>
        <v>4907500</v>
      </c>
      <c r="I16" s="149">
        <f t="shared" ref="I16:T16" si="8">I113</f>
        <v>7800187.5</v>
      </c>
      <c r="J16" s="149">
        <f t="shared" si="8"/>
        <v>9828236.25</v>
      </c>
      <c r="K16" s="149">
        <f t="shared" si="8"/>
        <v>11466275.625</v>
      </c>
      <c r="L16" s="149">
        <f t="shared" si="8"/>
        <v>12039589.40625</v>
      </c>
      <c r="M16" s="149">
        <f t="shared" si="8"/>
        <v>12641568.876562502</v>
      </c>
      <c r="N16" s="149">
        <f t="shared" si="8"/>
        <v>13273647.320390625</v>
      </c>
      <c r="O16" s="149">
        <f t="shared" si="8"/>
        <v>13937329.686410157</v>
      </c>
      <c r="P16" s="149">
        <f t="shared" si="8"/>
        <v>14634196.170730665</v>
      </c>
      <c r="Q16" s="149">
        <f t="shared" si="8"/>
        <v>15365905.979267204</v>
      </c>
      <c r="R16" s="149">
        <f t="shared" si="8"/>
        <v>16134201.278230561</v>
      </c>
      <c r="S16" s="149">
        <f t="shared" si="8"/>
        <v>16940911.34214209</v>
      </c>
      <c r="T16" s="149">
        <f t="shared" si="8"/>
        <v>17787956.909249194</v>
      </c>
    </row>
    <row r="17" spans="1:20" ht="13.7" hidden="1" customHeight="1">
      <c r="A17" s="97" t="s">
        <v>342</v>
      </c>
      <c r="B17" s="501" t="s">
        <v>343</v>
      </c>
      <c r="C17" s="502"/>
      <c r="D17" s="81" t="s">
        <v>17</v>
      </c>
      <c r="E17" s="149">
        <v>0</v>
      </c>
      <c r="F17" s="149">
        <v>0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149">
        <v>0</v>
      </c>
      <c r="P17" s="149">
        <v>0</v>
      </c>
      <c r="Q17" s="149">
        <v>0</v>
      </c>
      <c r="R17" s="149">
        <v>0</v>
      </c>
      <c r="S17" s="149">
        <v>0</v>
      </c>
      <c r="T17" s="149">
        <v>0</v>
      </c>
    </row>
    <row r="18" spans="1:20" ht="13.7" hidden="1" customHeight="1">
      <c r="A18" s="97" t="s">
        <v>344</v>
      </c>
      <c r="B18" s="501" t="s">
        <v>345</v>
      </c>
      <c r="C18" s="502"/>
      <c r="D18" s="81" t="s">
        <v>17</v>
      </c>
      <c r="E18" s="149">
        <v>0</v>
      </c>
      <c r="F18" s="149">
        <v>0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49">
        <v>0</v>
      </c>
      <c r="O18" s="149">
        <v>0</v>
      </c>
      <c r="P18" s="149">
        <v>0</v>
      </c>
      <c r="Q18" s="149">
        <v>0</v>
      </c>
      <c r="R18" s="149">
        <v>0</v>
      </c>
      <c r="S18" s="149">
        <v>0</v>
      </c>
      <c r="T18" s="149">
        <v>0</v>
      </c>
    </row>
    <row r="19" spans="1:20" ht="13.7" hidden="1" customHeight="1">
      <c r="A19" s="97" t="s">
        <v>286</v>
      </c>
      <c r="B19" s="503" t="s">
        <v>346</v>
      </c>
      <c r="C19" s="504"/>
      <c r="D19" s="81" t="s">
        <v>16</v>
      </c>
      <c r="E19" s="149">
        <f>E20*E21</f>
        <v>0</v>
      </c>
      <c r="F19" s="149">
        <f t="shared" ref="F19" si="9">F20*F21</f>
        <v>0</v>
      </c>
      <c r="G19" s="149">
        <v>0</v>
      </c>
      <c r="H19" s="149">
        <v>0</v>
      </c>
      <c r="I19" s="149">
        <v>0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  <c r="O19" s="149">
        <v>0</v>
      </c>
      <c r="P19" s="149">
        <v>0</v>
      </c>
      <c r="Q19" s="149">
        <v>0</v>
      </c>
      <c r="R19" s="149">
        <v>0</v>
      </c>
      <c r="S19" s="149">
        <v>0</v>
      </c>
      <c r="T19" s="149">
        <v>0</v>
      </c>
    </row>
    <row r="20" spans="1:20" ht="13.7" hidden="1" customHeight="1">
      <c r="A20" s="97" t="s">
        <v>347</v>
      </c>
      <c r="B20" s="501" t="s">
        <v>343</v>
      </c>
      <c r="C20" s="502"/>
      <c r="D20" s="81" t="s">
        <v>17</v>
      </c>
      <c r="E20" s="149">
        <v>0</v>
      </c>
      <c r="F20" s="149">
        <v>0</v>
      </c>
      <c r="G20" s="149">
        <v>0</v>
      </c>
      <c r="H20" s="149">
        <v>0</v>
      </c>
      <c r="I20" s="149">
        <v>0</v>
      </c>
      <c r="J20" s="149">
        <v>0</v>
      </c>
      <c r="K20" s="149">
        <v>0</v>
      </c>
      <c r="L20" s="149">
        <v>0</v>
      </c>
      <c r="M20" s="149">
        <v>0</v>
      </c>
      <c r="N20" s="149">
        <v>0</v>
      </c>
      <c r="O20" s="149">
        <v>0</v>
      </c>
      <c r="P20" s="149">
        <v>0</v>
      </c>
      <c r="Q20" s="149">
        <v>0</v>
      </c>
      <c r="R20" s="149">
        <v>0</v>
      </c>
      <c r="S20" s="149">
        <v>0</v>
      </c>
      <c r="T20" s="149">
        <v>0</v>
      </c>
    </row>
    <row r="21" spans="1:20" ht="13.7" hidden="1" customHeight="1">
      <c r="A21" s="97" t="s">
        <v>348</v>
      </c>
      <c r="B21" s="501" t="s">
        <v>345</v>
      </c>
      <c r="C21" s="502"/>
      <c r="D21" s="81" t="s">
        <v>17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  <c r="K21" s="149">
        <v>0</v>
      </c>
      <c r="L21" s="149">
        <v>0</v>
      </c>
      <c r="M21" s="149">
        <v>0</v>
      </c>
      <c r="N21" s="149">
        <v>0</v>
      </c>
      <c r="O21" s="149">
        <v>0</v>
      </c>
      <c r="P21" s="149">
        <v>0</v>
      </c>
      <c r="Q21" s="149">
        <v>0</v>
      </c>
      <c r="R21" s="149">
        <v>0</v>
      </c>
      <c r="S21" s="149">
        <v>0</v>
      </c>
      <c r="T21" s="149">
        <v>0</v>
      </c>
    </row>
    <row r="22" spans="1:20" ht="13.7" customHeight="1">
      <c r="A22" s="97" t="s">
        <v>288</v>
      </c>
      <c r="B22" s="501" t="s">
        <v>349</v>
      </c>
      <c r="C22" s="502"/>
      <c r="D22" s="81" t="s">
        <v>16</v>
      </c>
      <c r="E22" s="145">
        <v>0</v>
      </c>
      <c r="F22" s="145">
        <v>0</v>
      </c>
      <c r="G22" s="149">
        <v>0</v>
      </c>
      <c r="H22" s="149">
        <f>H23</f>
        <v>886560</v>
      </c>
      <c r="I22" s="149">
        <f t="shared" ref="I22:P22" si="10">I23</f>
        <v>886560</v>
      </c>
      <c r="J22" s="149">
        <f t="shared" si="10"/>
        <v>886560</v>
      </c>
      <c r="K22" s="149">
        <f t="shared" si="10"/>
        <v>886560</v>
      </c>
      <c r="L22" s="149">
        <f t="shared" si="10"/>
        <v>886560</v>
      </c>
      <c r="M22" s="149">
        <f t="shared" si="10"/>
        <v>0</v>
      </c>
      <c r="N22" s="149">
        <f t="shared" si="10"/>
        <v>0</v>
      </c>
      <c r="O22" s="149">
        <f t="shared" si="10"/>
        <v>0</v>
      </c>
      <c r="P22" s="149">
        <f t="shared" si="10"/>
        <v>0</v>
      </c>
      <c r="Q22" s="149">
        <v>0</v>
      </c>
      <c r="R22" s="149">
        <v>0</v>
      </c>
      <c r="S22" s="149">
        <v>0</v>
      </c>
      <c r="T22" s="149">
        <v>0</v>
      </c>
    </row>
    <row r="23" spans="1:20" ht="13.7" customHeight="1">
      <c r="A23" s="97" t="s">
        <v>350</v>
      </c>
      <c r="B23" s="505" t="s">
        <v>40</v>
      </c>
      <c r="C23" s="505"/>
      <c r="D23" s="81" t="s">
        <v>16</v>
      </c>
      <c r="E23" s="145">
        <v>0</v>
      </c>
      <c r="F23" s="145">
        <v>0</v>
      </c>
      <c r="G23" s="149">
        <v>0</v>
      </c>
      <c r="H23" s="149">
        <f>'Amortyzacja obecna i projektowa'!AA274</f>
        <v>886560</v>
      </c>
      <c r="I23" s="149">
        <f>'Amortyzacja obecna i projektowa'!AB274</f>
        <v>886560</v>
      </c>
      <c r="J23" s="149">
        <f>'Amortyzacja obecna i projektowa'!AC274</f>
        <v>886560</v>
      </c>
      <c r="K23" s="149">
        <f>'Amortyzacja obecna i projektowa'!AD274</f>
        <v>886560</v>
      </c>
      <c r="L23" s="149">
        <f>'Amortyzacja obecna i projektowa'!AE274</f>
        <v>886560</v>
      </c>
      <c r="M23" s="149">
        <f>'Amortyzacja obecna i projektowa'!AF274</f>
        <v>0</v>
      </c>
      <c r="N23" s="149">
        <f>'Amortyzacja obecna i projektowa'!AG274</f>
        <v>0</v>
      </c>
      <c r="O23" s="149">
        <f>'Amortyzacja obecna i projektowa'!AH274</f>
        <v>0</v>
      </c>
      <c r="P23" s="149">
        <f>'Amortyzacja obecna i projektowa'!AI274</f>
        <v>0</v>
      </c>
      <c r="Q23" s="149">
        <v>0</v>
      </c>
      <c r="R23" s="149">
        <v>0</v>
      </c>
      <c r="S23" s="149">
        <v>0</v>
      </c>
      <c r="T23" s="149">
        <v>0</v>
      </c>
    </row>
    <row r="24" spans="1:20" ht="13.7" hidden="1" customHeight="1">
      <c r="A24" s="97" t="s">
        <v>351</v>
      </c>
      <c r="B24" s="506" t="s">
        <v>338</v>
      </c>
      <c r="C24" s="506"/>
      <c r="D24" s="81" t="s">
        <v>16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5">
        <v>0</v>
      </c>
      <c r="S24" s="145">
        <v>0</v>
      </c>
      <c r="T24" s="145">
        <v>0</v>
      </c>
    </row>
    <row r="25" spans="1:20" ht="13.7" customHeight="1">
      <c r="A25" s="97" t="s">
        <v>352</v>
      </c>
      <c r="B25" s="505" t="s">
        <v>353</v>
      </c>
      <c r="C25" s="505"/>
      <c r="D25" s="81" t="s">
        <v>16</v>
      </c>
      <c r="E25" s="145">
        <f t="shared" ref="E25:T25" si="11">E16+E19+E22</f>
        <v>0</v>
      </c>
      <c r="F25" s="145">
        <f t="shared" si="11"/>
        <v>0</v>
      </c>
      <c r="G25" s="145">
        <f t="shared" si="11"/>
        <v>0</v>
      </c>
      <c r="H25" s="145">
        <f>H16+H19+H22</f>
        <v>5794060</v>
      </c>
      <c r="I25" s="145">
        <f t="shared" si="11"/>
        <v>8686747.5</v>
      </c>
      <c r="J25" s="145">
        <f t="shared" si="11"/>
        <v>10714796.25</v>
      </c>
      <c r="K25" s="145">
        <f t="shared" si="11"/>
        <v>12352835.625</v>
      </c>
      <c r="L25" s="145">
        <f t="shared" si="11"/>
        <v>12926149.40625</v>
      </c>
      <c r="M25" s="145">
        <f t="shared" si="11"/>
        <v>12641568.876562502</v>
      </c>
      <c r="N25" s="145">
        <f t="shared" si="11"/>
        <v>13273647.320390625</v>
      </c>
      <c r="O25" s="145">
        <f t="shared" si="11"/>
        <v>13937329.686410157</v>
      </c>
      <c r="P25" s="145">
        <f t="shared" si="11"/>
        <v>14634196.170730665</v>
      </c>
      <c r="Q25" s="145">
        <f t="shared" si="11"/>
        <v>15365905.979267204</v>
      </c>
      <c r="R25" s="145">
        <f t="shared" si="11"/>
        <v>16134201.278230561</v>
      </c>
      <c r="S25" s="145">
        <f t="shared" si="11"/>
        <v>16940911.34214209</v>
      </c>
      <c r="T25" s="145">
        <f t="shared" si="11"/>
        <v>17787956.909249194</v>
      </c>
    </row>
    <row r="26" spans="1:20" s="114" customFormat="1" ht="13.7" customHeight="1">
      <c r="A26" s="228" t="s">
        <v>354</v>
      </c>
      <c r="B26" s="500" t="s">
        <v>355</v>
      </c>
      <c r="C26" s="500"/>
      <c r="D26" s="80" t="s">
        <v>16</v>
      </c>
      <c r="E26" s="229">
        <f t="shared" ref="E26:T26" si="12">E25-E15</f>
        <v>0</v>
      </c>
      <c r="F26" s="229">
        <f t="shared" si="12"/>
        <v>-75943.155555555568</v>
      </c>
      <c r="G26" s="229">
        <f t="shared" si="12"/>
        <v>-186752.22222222231</v>
      </c>
      <c r="H26" s="229">
        <f>H25-H15</f>
        <v>-2353612.5598888891</v>
      </c>
      <c r="I26" s="229">
        <f t="shared" si="12"/>
        <v>-1529454.4278385565</v>
      </c>
      <c r="J26" s="229">
        <f t="shared" si="12"/>
        <v>-1702366.3899143785</v>
      </c>
      <c r="K26" s="229">
        <f t="shared" si="12"/>
        <v>-1536702.0221242514</v>
      </c>
      <c r="L26" s="229">
        <f t="shared" si="12"/>
        <v>-1736747.595406862</v>
      </c>
      <c r="M26" s="229">
        <f t="shared" si="12"/>
        <v>103152.07740678266</v>
      </c>
      <c r="N26" s="229">
        <f t="shared" si="12"/>
        <v>-157029.9246033784</v>
      </c>
      <c r="O26" s="229">
        <f t="shared" si="12"/>
        <v>-451633.51563954353</v>
      </c>
      <c r="P26" s="229">
        <f t="shared" si="12"/>
        <v>-783890.22514866106</v>
      </c>
      <c r="Q26" s="229">
        <f t="shared" si="12"/>
        <v>-1157303.2591644693</v>
      </c>
      <c r="R26" s="229">
        <f t="shared" si="12"/>
        <v>-1575669.1100537237</v>
      </c>
      <c r="S26" s="229">
        <f t="shared" si="12"/>
        <v>-2043100.8318442293</v>
      </c>
      <c r="T26" s="229">
        <f t="shared" si="12"/>
        <v>-2564053.1070699841</v>
      </c>
    </row>
    <row r="27" spans="1:20" ht="13.7" customHeight="1">
      <c r="A27" s="97" t="s">
        <v>356</v>
      </c>
      <c r="B27" s="505" t="s">
        <v>357</v>
      </c>
      <c r="C27" s="505"/>
      <c r="D27" s="81" t="s">
        <v>16</v>
      </c>
      <c r="E27" s="145">
        <f t="shared" ref="E27:T27" si="13">IF(E26&gt;0,E26*19%,0)</f>
        <v>0</v>
      </c>
      <c r="F27" s="145">
        <f t="shared" si="13"/>
        <v>0</v>
      </c>
      <c r="G27" s="145">
        <f t="shared" si="13"/>
        <v>0</v>
      </c>
      <c r="H27" s="145">
        <f t="shared" si="13"/>
        <v>0</v>
      </c>
      <c r="I27" s="145">
        <f t="shared" si="13"/>
        <v>0</v>
      </c>
      <c r="J27" s="145">
        <f t="shared" si="13"/>
        <v>0</v>
      </c>
      <c r="K27" s="145">
        <f t="shared" si="13"/>
        <v>0</v>
      </c>
      <c r="L27" s="145">
        <f t="shared" si="13"/>
        <v>0</v>
      </c>
      <c r="M27" s="145">
        <f t="shared" si="13"/>
        <v>19598.894707288706</v>
      </c>
      <c r="N27" s="145">
        <f t="shared" si="13"/>
        <v>0</v>
      </c>
      <c r="O27" s="145">
        <f t="shared" si="13"/>
        <v>0</v>
      </c>
      <c r="P27" s="145">
        <f t="shared" si="13"/>
        <v>0</v>
      </c>
      <c r="Q27" s="145">
        <f t="shared" si="13"/>
        <v>0</v>
      </c>
      <c r="R27" s="145">
        <f t="shared" si="13"/>
        <v>0</v>
      </c>
      <c r="S27" s="145">
        <f t="shared" si="13"/>
        <v>0</v>
      </c>
      <c r="T27" s="145">
        <f t="shared" si="13"/>
        <v>0</v>
      </c>
    </row>
    <row r="28" spans="1:20" s="114" customFormat="1" ht="13.7" customHeight="1">
      <c r="A28" s="228" t="s">
        <v>20</v>
      </c>
      <c r="B28" s="500" t="s">
        <v>358</v>
      </c>
      <c r="C28" s="500"/>
      <c r="D28" s="80" t="s">
        <v>16</v>
      </c>
      <c r="E28" s="229">
        <f>E26-E27</f>
        <v>0</v>
      </c>
      <c r="F28" s="229">
        <f t="shared" ref="F28:T28" si="14">F26-F27</f>
        <v>-75943.155555555568</v>
      </c>
      <c r="G28" s="229">
        <f>G26-G27</f>
        <v>-186752.22222222231</v>
      </c>
      <c r="H28" s="229">
        <f>H26-H27</f>
        <v>-2353612.5598888891</v>
      </c>
      <c r="I28" s="229">
        <f t="shared" si="14"/>
        <v>-1529454.4278385565</v>
      </c>
      <c r="J28" s="229">
        <f t="shared" si="14"/>
        <v>-1702366.3899143785</v>
      </c>
      <c r="K28" s="229">
        <f t="shared" si="14"/>
        <v>-1536702.0221242514</v>
      </c>
      <c r="L28" s="229">
        <f t="shared" si="14"/>
        <v>-1736747.595406862</v>
      </c>
      <c r="M28" s="229">
        <f>M26-M27</f>
        <v>83553.182699493947</v>
      </c>
      <c r="N28" s="229">
        <f t="shared" si="14"/>
        <v>-157029.9246033784</v>
      </c>
      <c r="O28" s="229">
        <f t="shared" si="14"/>
        <v>-451633.51563954353</v>
      </c>
      <c r="P28" s="229">
        <f t="shared" si="14"/>
        <v>-783890.22514866106</v>
      </c>
      <c r="Q28" s="229">
        <f t="shared" si="14"/>
        <v>-1157303.2591644693</v>
      </c>
      <c r="R28" s="229">
        <f t="shared" si="14"/>
        <v>-1575669.1100537237</v>
      </c>
      <c r="S28" s="229">
        <f t="shared" si="14"/>
        <v>-2043100.8318442293</v>
      </c>
      <c r="T28" s="229">
        <f t="shared" si="14"/>
        <v>-2564053.1070699841</v>
      </c>
    </row>
    <row r="29" spans="1:20" s="114" customFormat="1" ht="13.7" customHeight="1">
      <c r="A29" s="228" t="s">
        <v>359</v>
      </c>
      <c r="B29" s="500" t="s">
        <v>360</v>
      </c>
      <c r="C29" s="500"/>
      <c r="D29" s="80" t="s">
        <v>16</v>
      </c>
      <c r="E29" s="229">
        <f t="shared" ref="E29:T29" si="15">E3+E28</f>
        <v>0</v>
      </c>
      <c r="F29" s="229">
        <f t="shared" si="15"/>
        <v>-75943.155555555568</v>
      </c>
      <c r="G29" s="229">
        <f>G3+G28</f>
        <v>-186752.22222222231</v>
      </c>
      <c r="H29" s="229">
        <f t="shared" si="15"/>
        <v>601587.44011111092</v>
      </c>
      <c r="I29" s="229">
        <f t="shared" si="15"/>
        <v>1425745.5721614435</v>
      </c>
      <c r="J29" s="229">
        <f t="shared" si="15"/>
        <v>1252833.6100856215</v>
      </c>
      <c r="K29" s="229">
        <f t="shared" si="15"/>
        <v>1418497.9778757486</v>
      </c>
      <c r="L29" s="229">
        <f t="shared" si="15"/>
        <v>1218452.404593138</v>
      </c>
      <c r="M29" s="229">
        <f>M3+M28</f>
        <v>83553.182699493947</v>
      </c>
      <c r="N29" s="229">
        <f t="shared" si="15"/>
        <v>-157029.9246033784</v>
      </c>
      <c r="O29" s="229">
        <f t="shared" si="15"/>
        <v>-451633.51563954353</v>
      </c>
      <c r="P29" s="229">
        <f t="shared" si="15"/>
        <v>-783890.22514866106</v>
      </c>
      <c r="Q29" s="229">
        <f t="shared" si="15"/>
        <v>-1157303.2591644693</v>
      </c>
      <c r="R29" s="229">
        <f t="shared" si="15"/>
        <v>-1575669.1100537237</v>
      </c>
      <c r="S29" s="229">
        <f t="shared" si="15"/>
        <v>-2043100.8318442293</v>
      </c>
      <c r="T29" s="229">
        <f t="shared" si="15"/>
        <v>-2564053.1070699841</v>
      </c>
    </row>
    <row r="30" spans="1:20" ht="15.2" customHeight="1">
      <c r="A30" s="460"/>
      <c r="B30" s="460"/>
    </row>
    <row r="31" spans="1:20" ht="15.2" customHeight="1">
      <c r="A31" s="460"/>
      <c r="B31" s="460"/>
      <c r="H31" s="150"/>
    </row>
    <row r="32" spans="1:20" ht="15.2" customHeight="1">
      <c r="A32" s="460"/>
      <c r="B32" s="460"/>
      <c r="C32" s="167" t="s">
        <v>4095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</row>
    <row r="33" spans="3:21">
      <c r="C33" s="168" t="s">
        <v>4070</v>
      </c>
      <c r="D33" s="95"/>
      <c r="E33" s="152"/>
      <c r="F33" s="152"/>
      <c r="G33" s="152"/>
      <c r="H33" s="156">
        <f>4026*2</f>
        <v>8052</v>
      </c>
      <c r="I33" s="156">
        <f>H33*(1+7%)</f>
        <v>8615.6400000000012</v>
      </c>
      <c r="J33" s="156">
        <f t="shared" ref="J33:T33" si="16">I33*(1+7%)</f>
        <v>9218.734800000002</v>
      </c>
      <c r="K33" s="156">
        <f t="shared" si="16"/>
        <v>9864.046236000002</v>
      </c>
      <c r="L33" s="156">
        <f t="shared" si="16"/>
        <v>10554.529472520002</v>
      </c>
      <c r="M33" s="156">
        <f t="shared" si="16"/>
        <v>11293.346535596404</v>
      </c>
      <c r="N33" s="156">
        <f t="shared" si="16"/>
        <v>12083.880793088152</v>
      </c>
      <c r="O33" s="156">
        <f t="shared" si="16"/>
        <v>12929.752448604324</v>
      </c>
      <c r="P33" s="156">
        <f t="shared" si="16"/>
        <v>13834.835120006628</v>
      </c>
      <c r="Q33" s="156">
        <f t="shared" si="16"/>
        <v>14803.273578407094</v>
      </c>
      <c r="R33" s="156">
        <f t="shared" si="16"/>
        <v>15839.502728895592</v>
      </c>
      <c r="S33" s="156">
        <f t="shared" si="16"/>
        <v>16948.267919918286</v>
      </c>
      <c r="T33" s="156">
        <f t="shared" si="16"/>
        <v>18134.646674312567</v>
      </c>
    </row>
    <row r="34" spans="3:21">
      <c r="C34" s="168" t="s">
        <v>4071</v>
      </c>
      <c r="D34" s="95"/>
      <c r="E34" s="152"/>
      <c r="F34" s="152"/>
      <c r="G34" s="152"/>
      <c r="H34" s="156">
        <f>6728*2*U34</f>
        <v>13456</v>
      </c>
      <c r="I34" s="156">
        <f>H34*(1+7%)</f>
        <v>14397.92</v>
      </c>
      <c r="J34" s="156">
        <f t="shared" ref="J34:T34" si="17">I34*(1+7%)</f>
        <v>15405.7744</v>
      </c>
      <c r="K34" s="156">
        <f t="shared" si="17"/>
        <v>16484.178608000002</v>
      </c>
      <c r="L34" s="156">
        <f t="shared" si="17"/>
        <v>17638.071110560002</v>
      </c>
      <c r="M34" s="156">
        <f t="shared" si="17"/>
        <v>18872.736088299203</v>
      </c>
      <c r="N34" s="156">
        <f t="shared" si="17"/>
        <v>20193.827614480149</v>
      </c>
      <c r="O34" s="156">
        <f t="shared" si="17"/>
        <v>21607.395547493761</v>
      </c>
      <c r="P34" s="156">
        <f t="shared" si="17"/>
        <v>23119.913235818327</v>
      </c>
      <c r="Q34" s="156">
        <f t="shared" si="17"/>
        <v>24738.307162325611</v>
      </c>
      <c r="R34" s="156">
        <f t="shared" si="17"/>
        <v>26469.988663688404</v>
      </c>
      <c r="S34" s="156">
        <f t="shared" si="17"/>
        <v>28322.887870146595</v>
      </c>
      <c r="T34" s="156">
        <f t="shared" si="17"/>
        <v>30305.490021056859</v>
      </c>
      <c r="U34" s="391">
        <v>1</v>
      </c>
    </row>
    <row r="35" spans="3:21">
      <c r="C35" s="168" t="s">
        <v>4072</v>
      </c>
      <c r="D35" s="95"/>
      <c r="E35" s="152"/>
      <c r="F35" s="152"/>
      <c r="G35" s="152"/>
      <c r="H35" s="156">
        <f>H33*25%</f>
        <v>2013</v>
      </c>
      <c r="I35" s="156">
        <f t="shared" ref="I35:T35" si="18">I33*25%</f>
        <v>2153.9100000000003</v>
      </c>
      <c r="J35" s="156">
        <f t="shared" si="18"/>
        <v>2304.6837000000005</v>
      </c>
      <c r="K35" s="156">
        <f t="shared" si="18"/>
        <v>2466.0115590000005</v>
      </c>
      <c r="L35" s="156">
        <f t="shared" si="18"/>
        <v>2638.6323681300005</v>
      </c>
      <c r="M35" s="156">
        <f t="shared" si="18"/>
        <v>2823.3366338991009</v>
      </c>
      <c r="N35" s="156">
        <f t="shared" si="18"/>
        <v>3020.970198272038</v>
      </c>
      <c r="O35" s="156">
        <f t="shared" si="18"/>
        <v>3232.438112151081</v>
      </c>
      <c r="P35" s="156">
        <f t="shared" si="18"/>
        <v>3458.708780001657</v>
      </c>
      <c r="Q35" s="156">
        <f t="shared" si="18"/>
        <v>3700.8183946017734</v>
      </c>
      <c r="R35" s="156">
        <f t="shared" si="18"/>
        <v>3959.8756822238979</v>
      </c>
      <c r="S35" s="156">
        <f t="shared" si="18"/>
        <v>4237.0669799795714</v>
      </c>
      <c r="T35" s="156">
        <f t="shared" si="18"/>
        <v>4533.6616685781419</v>
      </c>
    </row>
    <row r="36" spans="3:21">
      <c r="C36" s="169" t="s">
        <v>4073</v>
      </c>
      <c r="D36" s="95"/>
      <c r="E36" s="152"/>
      <c r="F36" s="152"/>
      <c r="G36" s="152"/>
      <c r="H36" s="225">
        <f>H34+H35</f>
        <v>15469</v>
      </c>
      <c r="I36" s="225">
        <f t="shared" ref="I36:T36" si="19">I34+I35</f>
        <v>16551.830000000002</v>
      </c>
      <c r="J36" s="225">
        <f t="shared" si="19"/>
        <v>17710.4581</v>
      </c>
      <c r="K36" s="225">
        <f t="shared" si="19"/>
        <v>18950.190167000001</v>
      </c>
      <c r="L36" s="225">
        <f t="shared" si="19"/>
        <v>20276.703478690004</v>
      </c>
      <c r="M36" s="225">
        <f t="shared" si="19"/>
        <v>21696.072722198303</v>
      </c>
      <c r="N36" s="225">
        <f t="shared" si="19"/>
        <v>23214.797812752186</v>
      </c>
      <c r="O36" s="225">
        <f t="shared" si="19"/>
        <v>24839.833659644843</v>
      </c>
      <c r="P36" s="225">
        <f t="shared" si="19"/>
        <v>26578.622015819983</v>
      </c>
      <c r="Q36" s="225">
        <f t="shared" si="19"/>
        <v>28439.125556927385</v>
      </c>
      <c r="R36" s="225">
        <f t="shared" si="19"/>
        <v>30429.864345912301</v>
      </c>
      <c r="S36" s="225">
        <f t="shared" si="19"/>
        <v>32559.954850126167</v>
      </c>
      <c r="T36" s="225">
        <f t="shared" si="19"/>
        <v>34839.151689635</v>
      </c>
    </row>
    <row r="37" spans="3:21">
      <c r="E37" s="151"/>
      <c r="F37" s="151"/>
      <c r="G37" s="151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</row>
    <row r="38" spans="3:21" ht="25.5">
      <c r="C38" s="167" t="s">
        <v>4096</v>
      </c>
      <c r="E38" s="151"/>
      <c r="F38" s="151"/>
      <c r="G38" s="151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</row>
    <row r="39" spans="3:21">
      <c r="C39" s="168" t="s">
        <v>4070</v>
      </c>
      <c r="D39" s="95"/>
      <c r="E39" s="152"/>
      <c r="F39" s="152"/>
      <c r="G39" s="152"/>
      <c r="H39" s="156">
        <f>3041*3</f>
        <v>9123</v>
      </c>
      <c r="I39" s="156">
        <f t="shared" ref="I39:T39" si="20">H39*(1+$X$5)</f>
        <v>9761.61</v>
      </c>
      <c r="J39" s="156">
        <f t="shared" si="20"/>
        <v>10444.922700000001</v>
      </c>
      <c r="K39" s="156">
        <f t="shared" si="20"/>
        <v>11176.067289000002</v>
      </c>
      <c r="L39" s="156">
        <f t="shared" si="20"/>
        <v>11958.391999230003</v>
      </c>
      <c r="M39" s="156">
        <f t="shared" si="20"/>
        <v>12795.479439176104</v>
      </c>
      <c r="N39" s="156">
        <f t="shared" si="20"/>
        <v>13691.162999918432</v>
      </c>
      <c r="O39" s="156">
        <f t="shared" si="20"/>
        <v>14649.544409912722</v>
      </c>
      <c r="P39" s="156">
        <f t="shared" si="20"/>
        <v>15675.012518606613</v>
      </c>
      <c r="Q39" s="156">
        <f t="shared" si="20"/>
        <v>16772.263394909078</v>
      </c>
      <c r="R39" s="156">
        <f t="shared" si="20"/>
        <v>17946.321832552716</v>
      </c>
      <c r="S39" s="156">
        <f t="shared" si="20"/>
        <v>19202.564360831406</v>
      </c>
      <c r="T39" s="156">
        <f t="shared" si="20"/>
        <v>20546.743866089604</v>
      </c>
    </row>
    <row r="40" spans="3:21">
      <c r="C40" s="168" t="s">
        <v>4071</v>
      </c>
      <c r="D40" s="95"/>
      <c r="E40" s="152"/>
      <c r="F40" s="152"/>
      <c r="G40" s="152"/>
      <c r="H40" s="156">
        <f>3*5046*U40</f>
        <v>15138</v>
      </c>
      <c r="I40" s="156">
        <f t="shared" ref="I40:T40" si="21">H40*(1+$X$5)</f>
        <v>16197.660000000002</v>
      </c>
      <c r="J40" s="156">
        <f t="shared" si="21"/>
        <v>17331.496200000001</v>
      </c>
      <c r="K40" s="156">
        <f t="shared" si="21"/>
        <v>18544.700934000004</v>
      </c>
      <c r="L40" s="156">
        <f t="shared" si="21"/>
        <v>19842.829999380006</v>
      </c>
      <c r="M40" s="156">
        <f t="shared" si="21"/>
        <v>21231.82809933661</v>
      </c>
      <c r="N40" s="156">
        <f t="shared" si="21"/>
        <v>22718.056066290173</v>
      </c>
      <c r="O40" s="156">
        <f t="shared" si="21"/>
        <v>24308.319990930486</v>
      </c>
      <c r="P40" s="156">
        <f t="shared" si="21"/>
        <v>26009.902390295621</v>
      </c>
      <c r="Q40" s="156">
        <f t="shared" si="21"/>
        <v>27830.595557616318</v>
      </c>
      <c r="R40" s="156">
        <f t="shared" si="21"/>
        <v>29778.737246649463</v>
      </c>
      <c r="S40" s="156">
        <f t="shared" si="21"/>
        <v>31863.248853914927</v>
      </c>
      <c r="T40" s="156">
        <f t="shared" si="21"/>
        <v>34093.676273688972</v>
      </c>
      <c r="U40" s="391">
        <v>1</v>
      </c>
    </row>
    <row r="41" spans="3:21">
      <c r="C41" s="168" t="s">
        <v>4072</v>
      </c>
      <c r="D41" s="95"/>
      <c r="E41" s="152"/>
      <c r="F41" s="152"/>
      <c r="G41" s="152"/>
      <c r="H41" s="156">
        <f>H39*25%</f>
        <v>2280.75</v>
      </c>
      <c r="I41" s="156">
        <f t="shared" ref="I41:T41" si="22">I39*25%</f>
        <v>2440.4025000000001</v>
      </c>
      <c r="J41" s="156">
        <f t="shared" si="22"/>
        <v>2611.2306750000002</v>
      </c>
      <c r="K41" s="156">
        <f t="shared" si="22"/>
        <v>2794.0168222500006</v>
      </c>
      <c r="L41" s="156">
        <f t="shared" si="22"/>
        <v>2989.5979998075009</v>
      </c>
      <c r="M41" s="156">
        <f t="shared" si="22"/>
        <v>3198.8698597940261</v>
      </c>
      <c r="N41" s="156">
        <f t="shared" si="22"/>
        <v>3422.7907499796079</v>
      </c>
      <c r="O41" s="156">
        <f t="shared" si="22"/>
        <v>3662.3861024781804</v>
      </c>
      <c r="P41" s="156">
        <f t="shared" si="22"/>
        <v>3918.7531296516531</v>
      </c>
      <c r="Q41" s="156">
        <f t="shared" si="22"/>
        <v>4193.0658487272694</v>
      </c>
      <c r="R41" s="156">
        <f t="shared" si="22"/>
        <v>4486.580458138179</v>
      </c>
      <c r="S41" s="156">
        <f t="shared" si="22"/>
        <v>4800.6410902078514</v>
      </c>
      <c r="T41" s="156">
        <f t="shared" si="22"/>
        <v>5136.685966522401</v>
      </c>
    </row>
    <row r="42" spans="3:21">
      <c r="C42" s="169" t="s">
        <v>4073</v>
      </c>
      <c r="D42" s="95"/>
      <c r="E42" s="152"/>
      <c r="F42" s="152"/>
      <c r="G42" s="152"/>
      <c r="H42" s="225">
        <f>H40+H41</f>
        <v>17418.75</v>
      </c>
      <c r="I42" s="225">
        <f t="shared" ref="I42:T42" si="23">I40+I41</f>
        <v>18638.0625</v>
      </c>
      <c r="J42" s="225">
        <f>J40+J41</f>
        <v>19942.726875</v>
      </c>
      <c r="K42" s="225">
        <f t="shared" si="23"/>
        <v>21338.717756250004</v>
      </c>
      <c r="L42" s="225">
        <f t="shared" si="23"/>
        <v>22832.427999187508</v>
      </c>
      <c r="M42" s="225">
        <f t="shared" si="23"/>
        <v>24430.697959130637</v>
      </c>
      <c r="N42" s="225">
        <f t="shared" si="23"/>
        <v>26140.846816269783</v>
      </c>
      <c r="O42" s="225">
        <f t="shared" si="23"/>
        <v>27970.706093408666</v>
      </c>
      <c r="P42" s="225">
        <f t="shared" si="23"/>
        <v>29928.655519947275</v>
      </c>
      <c r="Q42" s="225">
        <f t="shared" si="23"/>
        <v>32023.661406343588</v>
      </c>
      <c r="R42" s="225">
        <f t="shared" si="23"/>
        <v>34265.317704787645</v>
      </c>
      <c r="S42" s="225">
        <f t="shared" si="23"/>
        <v>36663.889944122777</v>
      </c>
      <c r="T42" s="225">
        <f t="shared" si="23"/>
        <v>39230.362240211376</v>
      </c>
    </row>
    <row r="43" spans="3:21">
      <c r="E43" s="151"/>
      <c r="F43" s="151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5"/>
    </row>
    <row r="44" spans="3:21">
      <c r="C44" s="168" t="s">
        <v>2691</v>
      </c>
      <c r="D44" s="95"/>
      <c r="E44" s="152"/>
      <c r="F44" s="152"/>
      <c r="G44" s="156"/>
      <c r="H44" s="156">
        <f>Analityka!$I$897*(20%)*U44</f>
        <v>357043.62599999999</v>
      </c>
      <c r="I44" s="156">
        <f t="shared" ref="I44:T44" si="24">H44*(1+$X$13)</f>
        <v>383107.81069799996</v>
      </c>
      <c r="J44" s="156">
        <f t="shared" si="24"/>
        <v>411074.68087895395</v>
      </c>
      <c r="K44" s="156">
        <f t="shared" si="24"/>
        <v>441083.13258311758</v>
      </c>
      <c r="L44" s="156">
        <f t="shared" si="24"/>
        <v>473282.20126168511</v>
      </c>
      <c r="M44" s="156">
        <f t="shared" si="24"/>
        <v>507831.80195378809</v>
      </c>
      <c r="N44" s="156">
        <f t="shared" si="24"/>
        <v>544903.52349641465</v>
      </c>
      <c r="O44" s="156">
        <f t="shared" si="24"/>
        <v>584681.4807116529</v>
      </c>
      <c r="P44" s="156">
        <f t="shared" si="24"/>
        <v>627363.22880360356</v>
      </c>
      <c r="Q44" s="156">
        <f t="shared" si="24"/>
        <v>673160.74450626655</v>
      </c>
      <c r="R44" s="156">
        <f t="shared" si="24"/>
        <v>722301.47885522398</v>
      </c>
      <c r="S44" s="156">
        <f t="shared" si="24"/>
        <v>775029.48681165534</v>
      </c>
      <c r="T44" s="156">
        <f t="shared" si="24"/>
        <v>831606.63934890612</v>
      </c>
      <c r="U44" s="392">
        <v>1</v>
      </c>
    </row>
    <row r="45" spans="3:21">
      <c r="C45" s="168" t="s">
        <v>2658</v>
      </c>
      <c r="D45" s="95"/>
      <c r="E45" s="152"/>
      <c r="F45" s="152"/>
      <c r="G45" s="156"/>
      <c r="H45" s="156">
        <f>Analityka!$I$890*(30%)*U45</f>
        <v>504939.64500000008</v>
      </c>
      <c r="I45" s="156">
        <f>H45*(1+$X$13)</f>
        <v>541800.23908500001</v>
      </c>
      <c r="J45" s="156">
        <f t="shared" ref="J45:T45" si="25">I45*(1+$X$13)</f>
        <v>581351.65653820499</v>
      </c>
      <c r="K45" s="156">
        <f t="shared" si="25"/>
        <v>623790.32746549393</v>
      </c>
      <c r="L45" s="156">
        <f t="shared" si="25"/>
        <v>669327.02137047495</v>
      </c>
      <c r="M45" s="156">
        <f t="shared" si="25"/>
        <v>718187.89393051958</v>
      </c>
      <c r="N45" s="156">
        <f t="shared" si="25"/>
        <v>770615.61018744751</v>
      </c>
      <c r="O45" s="156">
        <f t="shared" si="25"/>
        <v>826870.54973113118</v>
      </c>
      <c r="P45" s="156">
        <f t="shared" si="25"/>
        <v>887232.0998615037</v>
      </c>
      <c r="Q45" s="156">
        <f t="shared" si="25"/>
        <v>952000.04315139342</v>
      </c>
      <c r="R45" s="156">
        <f t="shared" si="25"/>
        <v>1021496.0463014451</v>
      </c>
      <c r="S45" s="156">
        <f t="shared" si="25"/>
        <v>1096065.2576814506</v>
      </c>
      <c r="T45" s="156">
        <f t="shared" si="25"/>
        <v>1176078.0214921965</v>
      </c>
      <c r="U45" s="392">
        <v>1</v>
      </c>
    </row>
    <row r="46" spans="3:21" ht="25.5">
      <c r="C46" s="170" t="s">
        <v>4157</v>
      </c>
      <c r="D46" s="95"/>
      <c r="E46" s="152"/>
      <c r="F46" s="152"/>
      <c r="G46" s="156"/>
      <c r="H46" s="156">
        <v>260</v>
      </c>
      <c r="I46" s="156">
        <f t="shared" ref="I46:T46" si="26">H46*(1+$X$13)</f>
        <v>278.97999999999996</v>
      </c>
      <c r="J46" s="156">
        <f t="shared" si="26"/>
        <v>299.34553999999997</v>
      </c>
      <c r="K46" s="156">
        <f t="shared" si="26"/>
        <v>321.19776441999994</v>
      </c>
      <c r="L46" s="156">
        <f t="shared" si="26"/>
        <v>344.64520122265992</v>
      </c>
      <c r="M46" s="156">
        <f t="shared" si="26"/>
        <v>369.80430091191408</v>
      </c>
      <c r="N46" s="156">
        <f t="shared" si="26"/>
        <v>396.80001487848381</v>
      </c>
      <c r="O46" s="156">
        <f t="shared" si="26"/>
        <v>425.76641596461309</v>
      </c>
      <c r="P46" s="156">
        <f t="shared" si="26"/>
        <v>456.84736433002985</v>
      </c>
      <c r="Q46" s="156">
        <f t="shared" si="26"/>
        <v>490.19722192612198</v>
      </c>
      <c r="R46" s="156">
        <f t="shared" si="26"/>
        <v>525.9816191267289</v>
      </c>
      <c r="S46" s="156">
        <f t="shared" si="26"/>
        <v>564.37827732298013</v>
      </c>
      <c r="T46" s="156">
        <f t="shared" si="26"/>
        <v>605.57789156755769</v>
      </c>
      <c r="U46" s="155"/>
    </row>
    <row r="47" spans="3:21" ht="25.5">
      <c r="C47" s="170" t="s">
        <v>4158</v>
      </c>
      <c r="D47" s="95"/>
      <c r="E47" s="152"/>
      <c r="F47" s="152"/>
      <c r="G47" s="156"/>
      <c r="H47" s="156">
        <f>H46*(H52+H69+H90)</f>
        <v>2405000</v>
      </c>
      <c r="I47" s="156">
        <f t="shared" ref="I47:T47" si="27">I46*(I52+I69+I90)</f>
        <v>3870847.4999999995</v>
      </c>
      <c r="J47" s="156">
        <f t="shared" si="27"/>
        <v>4984103.2409999995</v>
      </c>
      <c r="K47" s="156">
        <f t="shared" si="27"/>
        <v>5942158.6417699987</v>
      </c>
      <c r="L47" s="156">
        <f t="shared" si="27"/>
        <v>6375936.2226192085</v>
      </c>
      <c r="M47" s="156">
        <f t="shared" si="27"/>
        <v>6841379.5668704109</v>
      </c>
      <c r="N47" s="156">
        <f t="shared" si="27"/>
        <v>7340800.2752519501</v>
      </c>
      <c r="O47" s="156">
        <f t="shared" si="27"/>
        <v>7876678.6953453422</v>
      </c>
      <c r="P47" s="156">
        <f t="shared" si="27"/>
        <v>8451676.2401055526</v>
      </c>
      <c r="Q47" s="156">
        <f t="shared" si="27"/>
        <v>9068648.605633257</v>
      </c>
      <c r="R47" s="156">
        <f t="shared" si="27"/>
        <v>9730659.9538444839</v>
      </c>
      <c r="S47" s="156">
        <f t="shared" si="27"/>
        <v>10440998.130475132</v>
      </c>
      <c r="T47" s="156">
        <f t="shared" si="27"/>
        <v>11203190.993999816</v>
      </c>
      <c r="U47" s="155"/>
    </row>
    <row r="48" spans="3:21" ht="25.5">
      <c r="C48" s="170" t="s">
        <v>4160</v>
      </c>
      <c r="D48" s="95"/>
      <c r="E48" s="152"/>
      <c r="F48" s="152"/>
      <c r="G48" s="156"/>
      <c r="H48" s="156">
        <f>105000+125000+265000</f>
        <v>495000</v>
      </c>
      <c r="I48" s="156">
        <f>H48</f>
        <v>495000</v>
      </c>
      <c r="J48" s="156">
        <f>230000+270000+600000</f>
        <v>1100000</v>
      </c>
      <c r="K48" s="156">
        <f t="shared" ref="K48:T48" si="28">J48*(1+$X$13)</f>
        <v>1180300</v>
      </c>
      <c r="L48" s="156">
        <f t="shared" si="28"/>
        <v>1266461.8999999999</v>
      </c>
      <c r="M48" s="156">
        <f t="shared" si="28"/>
        <v>1358913.6186999998</v>
      </c>
      <c r="N48" s="156">
        <f t="shared" si="28"/>
        <v>1458114.3128650996</v>
      </c>
      <c r="O48" s="156">
        <f t="shared" si="28"/>
        <v>1564556.6577042518</v>
      </c>
      <c r="P48" s="156">
        <f t="shared" si="28"/>
        <v>1678769.2937166621</v>
      </c>
      <c r="Q48" s="156">
        <f t="shared" si="28"/>
        <v>1801319.4521579784</v>
      </c>
      <c r="R48" s="156">
        <f t="shared" si="28"/>
        <v>1932815.7721655108</v>
      </c>
      <c r="S48" s="156">
        <f t="shared" si="28"/>
        <v>2073911.323533593</v>
      </c>
      <c r="T48" s="156">
        <f t="shared" si="28"/>
        <v>2225306.8501515454</v>
      </c>
      <c r="U48" s="155"/>
    </row>
    <row r="49" spans="2:22"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</row>
    <row r="50" spans="2:22">
      <c r="B50" s="233" t="s">
        <v>4130</v>
      </c>
      <c r="C50" s="233" t="s">
        <v>4128</v>
      </c>
      <c r="D50" s="158"/>
      <c r="E50" s="159"/>
      <c r="F50" s="159"/>
      <c r="G50" s="160"/>
      <c r="H50" s="496" t="s">
        <v>4129</v>
      </c>
      <c r="I50" s="497"/>
      <c r="J50" s="497"/>
      <c r="K50" s="497"/>
      <c r="L50" s="497"/>
      <c r="M50" s="497"/>
      <c r="N50" s="497"/>
      <c r="O50" s="497"/>
      <c r="P50" s="497"/>
      <c r="Q50" s="497"/>
      <c r="R50" s="497"/>
      <c r="S50" s="497"/>
      <c r="T50" s="497"/>
      <c r="U50" s="155"/>
    </row>
    <row r="51" spans="2:22" ht="25.5">
      <c r="B51" s="499" t="s">
        <v>4144</v>
      </c>
      <c r="C51" s="170" t="s">
        <v>4125</v>
      </c>
      <c r="D51" s="95"/>
      <c r="E51" s="95"/>
      <c r="F51" s="95"/>
      <c r="G51" s="164"/>
      <c r="H51" s="162">
        <f>15500*50%</f>
        <v>7750</v>
      </c>
      <c r="I51" s="162">
        <f>15500*75%</f>
        <v>11625</v>
      </c>
      <c r="J51" s="162">
        <f>15500*90%</f>
        <v>13950</v>
      </c>
      <c r="K51" s="162">
        <v>15500</v>
      </c>
      <c r="L51" s="162">
        <f>K51</f>
        <v>15500</v>
      </c>
      <c r="M51" s="162">
        <f t="shared" ref="M51:T51" si="29">L51</f>
        <v>15500</v>
      </c>
      <c r="N51" s="162">
        <f t="shared" si="29"/>
        <v>15500</v>
      </c>
      <c r="O51" s="162">
        <f t="shared" si="29"/>
        <v>15500</v>
      </c>
      <c r="P51" s="162">
        <f t="shared" si="29"/>
        <v>15500</v>
      </c>
      <c r="Q51" s="162">
        <f t="shared" si="29"/>
        <v>15500</v>
      </c>
      <c r="R51" s="162">
        <f t="shared" si="29"/>
        <v>15500</v>
      </c>
      <c r="S51" s="162">
        <f t="shared" si="29"/>
        <v>15500</v>
      </c>
      <c r="T51" s="162">
        <f t="shared" si="29"/>
        <v>15500</v>
      </c>
      <c r="U51" s="155" t="s">
        <v>4186</v>
      </c>
    </row>
    <row r="52" spans="2:22" ht="25.5">
      <c r="B52" s="499"/>
      <c r="C52" s="170" t="s">
        <v>4126</v>
      </c>
      <c r="D52" s="95"/>
      <c r="E52" s="95"/>
      <c r="F52" s="95"/>
      <c r="G52" s="95"/>
      <c r="H52" s="96">
        <f>K52*50%</f>
        <v>2750</v>
      </c>
      <c r="I52" s="96">
        <f>K52*75%</f>
        <v>4125</v>
      </c>
      <c r="J52" s="96">
        <f>K52*90%</f>
        <v>4950</v>
      </c>
      <c r="K52" s="96">
        <v>5500</v>
      </c>
      <c r="L52" s="96">
        <v>5500</v>
      </c>
      <c r="M52" s="96">
        <v>5500</v>
      </c>
      <c r="N52" s="96">
        <v>5500</v>
      </c>
      <c r="O52" s="96">
        <v>5500</v>
      </c>
      <c r="P52" s="96">
        <v>5500</v>
      </c>
      <c r="Q52" s="96">
        <v>5500</v>
      </c>
      <c r="R52" s="96">
        <v>5500</v>
      </c>
      <c r="S52" s="96">
        <v>5500</v>
      </c>
      <c r="T52" s="96">
        <v>5500</v>
      </c>
      <c r="U52" s="227" t="s">
        <v>4183</v>
      </c>
    </row>
    <row r="53" spans="2:22">
      <c r="B53" s="499"/>
      <c r="C53" s="170" t="s">
        <v>4127</v>
      </c>
      <c r="D53" s="95"/>
      <c r="E53" s="95"/>
      <c r="F53" s="95"/>
      <c r="G53" s="95"/>
      <c r="H53" s="96">
        <f>11000*50%</f>
        <v>5500</v>
      </c>
      <c r="I53" s="96">
        <f>12000*75%</f>
        <v>9000</v>
      </c>
      <c r="J53" s="96">
        <f>12000*90%</f>
        <v>10800</v>
      </c>
      <c r="K53" s="96">
        <v>12000</v>
      </c>
      <c r="L53" s="96">
        <v>12000</v>
      </c>
      <c r="M53" s="96">
        <v>12000</v>
      </c>
      <c r="N53" s="96">
        <v>12000</v>
      </c>
      <c r="O53" s="96">
        <v>12000</v>
      </c>
      <c r="P53" s="96">
        <v>12000</v>
      </c>
      <c r="Q53" s="96">
        <v>12000</v>
      </c>
      <c r="R53" s="96">
        <v>12000</v>
      </c>
      <c r="S53" s="96">
        <v>12000</v>
      </c>
      <c r="T53" s="96">
        <v>12000</v>
      </c>
      <c r="U53" s="227" t="s">
        <v>4181</v>
      </c>
    </row>
    <row r="54" spans="2:22">
      <c r="B54" s="499"/>
      <c r="C54" s="170" t="s">
        <v>4097</v>
      </c>
      <c r="D54" s="95"/>
      <c r="E54" s="95"/>
      <c r="F54" s="95"/>
      <c r="G54" s="95"/>
      <c r="H54" s="96">
        <f>2000*50%</f>
        <v>1000</v>
      </c>
      <c r="I54" s="96">
        <f>2000*75%</f>
        <v>1500</v>
      </c>
      <c r="J54" s="96">
        <f>2000*90%</f>
        <v>1800</v>
      </c>
      <c r="K54" s="96">
        <v>2000</v>
      </c>
      <c r="L54" s="96">
        <v>2000</v>
      </c>
      <c r="M54" s="96">
        <v>2000</v>
      </c>
      <c r="N54" s="96">
        <v>2000</v>
      </c>
      <c r="O54" s="96">
        <v>2000</v>
      </c>
      <c r="P54" s="96">
        <v>2000</v>
      </c>
      <c r="Q54" s="96">
        <v>2000</v>
      </c>
      <c r="R54" s="96">
        <v>2000</v>
      </c>
      <c r="S54" s="96">
        <v>2000</v>
      </c>
      <c r="T54" s="96">
        <v>2000</v>
      </c>
      <c r="U54" s="227" t="s">
        <v>4181</v>
      </c>
    </row>
    <row r="55" spans="2:22">
      <c r="B55" s="234"/>
      <c r="C55" s="170"/>
      <c r="D55" s="95"/>
      <c r="E55" s="95"/>
      <c r="F55" s="95"/>
      <c r="G55" s="95"/>
      <c r="H55" s="496" t="s">
        <v>4131</v>
      </c>
      <c r="I55" s="497"/>
      <c r="J55" s="497"/>
      <c r="K55" s="497"/>
      <c r="L55" s="497"/>
      <c r="M55" s="497"/>
      <c r="N55" s="497"/>
      <c r="O55" s="497"/>
      <c r="P55" s="497"/>
      <c r="Q55" s="497"/>
      <c r="R55" s="497"/>
      <c r="S55" s="497"/>
      <c r="T55" s="497"/>
    </row>
    <row r="56" spans="2:22" ht="25.5">
      <c r="B56" s="499" t="s">
        <v>4143</v>
      </c>
      <c r="C56" s="170" t="s">
        <v>4125</v>
      </c>
      <c r="D56" s="95"/>
      <c r="E56" s="95"/>
      <c r="F56" s="95"/>
      <c r="G56" s="95"/>
      <c r="H56" s="96">
        <f>270*(1-V56)</f>
        <v>270</v>
      </c>
      <c r="I56" s="96">
        <f t="shared" ref="I56:T56" si="30">H56*(1+$X$13)</f>
        <v>289.70999999999998</v>
      </c>
      <c r="J56" s="96">
        <f t="shared" si="30"/>
        <v>310.85882999999995</v>
      </c>
      <c r="K56" s="96">
        <f t="shared" si="30"/>
        <v>333.55152458999993</v>
      </c>
      <c r="L56" s="96">
        <f t="shared" si="30"/>
        <v>357.90078588506992</v>
      </c>
      <c r="M56" s="96">
        <f t="shared" si="30"/>
        <v>384.02754325467998</v>
      </c>
      <c r="N56" s="96">
        <f t="shared" si="30"/>
        <v>412.06155391227162</v>
      </c>
      <c r="O56" s="96">
        <f t="shared" si="30"/>
        <v>442.14204734786745</v>
      </c>
      <c r="P56" s="96">
        <f t="shared" si="30"/>
        <v>474.41841680426177</v>
      </c>
      <c r="Q56" s="96">
        <f t="shared" si="30"/>
        <v>509.05096123097286</v>
      </c>
      <c r="R56" s="96">
        <f t="shared" si="30"/>
        <v>546.21168140083387</v>
      </c>
      <c r="S56" s="96">
        <f t="shared" si="30"/>
        <v>586.08513414309471</v>
      </c>
      <c r="T56" s="96">
        <f t="shared" si="30"/>
        <v>628.86934893554064</v>
      </c>
      <c r="U56" s="436"/>
      <c r="V56" s="226"/>
    </row>
    <row r="57" spans="2:22" ht="25.5">
      <c r="B57" s="499"/>
      <c r="C57" s="170" t="s">
        <v>4126</v>
      </c>
      <c r="D57" s="95"/>
      <c r="E57" s="95"/>
      <c r="F57" s="95"/>
      <c r="G57" s="95"/>
      <c r="H57" s="389">
        <f>360</f>
        <v>360</v>
      </c>
      <c r="I57" s="96">
        <f t="shared" ref="I57:T57" si="31">H57*(1+$X$13)</f>
        <v>386.28</v>
      </c>
      <c r="J57" s="96">
        <f t="shared" si="31"/>
        <v>414.47843999999998</v>
      </c>
      <c r="K57" s="96">
        <f t="shared" si="31"/>
        <v>444.73536611999998</v>
      </c>
      <c r="L57" s="96">
        <f t="shared" si="31"/>
        <v>477.20104784675993</v>
      </c>
      <c r="M57" s="96">
        <f t="shared" si="31"/>
        <v>512.03672433957342</v>
      </c>
      <c r="N57" s="96">
        <f t="shared" si="31"/>
        <v>549.41540521636227</v>
      </c>
      <c r="O57" s="96">
        <f t="shared" si="31"/>
        <v>589.52272979715667</v>
      </c>
      <c r="P57" s="96">
        <f t="shared" si="31"/>
        <v>632.5578890723491</v>
      </c>
      <c r="Q57" s="96">
        <f t="shared" si="31"/>
        <v>678.73461497463052</v>
      </c>
      <c r="R57" s="96">
        <f t="shared" si="31"/>
        <v>728.28224186777857</v>
      </c>
      <c r="S57" s="96">
        <f t="shared" si="31"/>
        <v>781.44684552412639</v>
      </c>
      <c r="T57" s="96">
        <f t="shared" si="31"/>
        <v>838.4924652473876</v>
      </c>
      <c r="U57" s="436"/>
    </row>
    <row r="58" spans="2:22">
      <c r="B58" s="499"/>
      <c r="C58" s="170" t="s">
        <v>4127</v>
      </c>
      <c r="D58" s="95"/>
      <c r="E58" s="95"/>
      <c r="F58" s="95"/>
      <c r="G58" s="95"/>
      <c r="H58" s="96">
        <v>90</v>
      </c>
      <c r="I58" s="96">
        <f>H58*(1+$X$7)</f>
        <v>94.5</v>
      </c>
      <c r="J58" s="96">
        <f t="shared" ref="J58:T58" si="32">I58*(1+$X$7)</f>
        <v>99.225000000000009</v>
      </c>
      <c r="K58" s="96">
        <f t="shared" si="32"/>
        <v>104.18625000000002</v>
      </c>
      <c r="L58" s="96">
        <f t="shared" si="32"/>
        <v>109.39556250000003</v>
      </c>
      <c r="M58" s="96">
        <f t="shared" si="32"/>
        <v>114.86534062500003</v>
      </c>
      <c r="N58" s="96">
        <f t="shared" si="32"/>
        <v>120.60860765625004</v>
      </c>
      <c r="O58" s="96">
        <f t="shared" si="32"/>
        <v>126.63903803906256</v>
      </c>
      <c r="P58" s="96">
        <f t="shared" si="32"/>
        <v>132.97098994101569</v>
      </c>
      <c r="Q58" s="96">
        <f t="shared" si="32"/>
        <v>139.61953943806648</v>
      </c>
      <c r="R58" s="96">
        <f t="shared" si="32"/>
        <v>146.6005164099698</v>
      </c>
      <c r="S58" s="96">
        <f t="shared" si="32"/>
        <v>153.93054223046829</v>
      </c>
      <c r="T58" s="96">
        <f t="shared" si="32"/>
        <v>161.6270693419917</v>
      </c>
    </row>
    <row r="59" spans="2:22">
      <c r="B59" s="499"/>
      <c r="C59" s="170" t="s">
        <v>4097</v>
      </c>
      <c r="D59" s="95"/>
      <c r="E59" s="95"/>
      <c r="F59" s="95"/>
      <c r="G59" s="95"/>
      <c r="H59" s="96">
        <v>2500</v>
      </c>
      <c r="I59" s="96">
        <f>H59*(1+$X$7)</f>
        <v>2625</v>
      </c>
      <c r="J59" s="96">
        <f>I59*(1+$X$7)</f>
        <v>2756.25</v>
      </c>
      <c r="K59" s="96">
        <f t="shared" ref="K59:T59" si="33">J59*(1+$X$7)</f>
        <v>2894.0625</v>
      </c>
      <c r="L59" s="96">
        <f t="shared" si="33"/>
        <v>3038.765625</v>
      </c>
      <c r="M59" s="96">
        <f t="shared" si="33"/>
        <v>3190.7039062500003</v>
      </c>
      <c r="N59" s="96">
        <f t="shared" si="33"/>
        <v>3350.2391015625003</v>
      </c>
      <c r="O59" s="96">
        <f t="shared" si="33"/>
        <v>3517.7510566406254</v>
      </c>
      <c r="P59" s="96">
        <f t="shared" si="33"/>
        <v>3693.6386094726568</v>
      </c>
      <c r="Q59" s="96">
        <f t="shared" si="33"/>
        <v>3878.32053994629</v>
      </c>
      <c r="R59" s="96">
        <f t="shared" si="33"/>
        <v>4072.2365669436044</v>
      </c>
      <c r="S59" s="96">
        <f t="shared" si="33"/>
        <v>4275.8483952907845</v>
      </c>
      <c r="T59" s="96">
        <f t="shared" si="33"/>
        <v>4489.6408150553243</v>
      </c>
    </row>
    <row r="60" spans="2:22">
      <c r="B60" s="170"/>
      <c r="C60" s="170"/>
      <c r="D60" s="95"/>
      <c r="E60" s="95"/>
      <c r="F60" s="95"/>
      <c r="G60" s="95"/>
      <c r="H60" s="496" t="s">
        <v>4132</v>
      </c>
      <c r="I60" s="497"/>
      <c r="J60" s="497"/>
      <c r="K60" s="497"/>
      <c r="L60" s="497"/>
      <c r="M60" s="497"/>
      <c r="N60" s="497"/>
      <c r="O60" s="497"/>
      <c r="P60" s="497"/>
      <c r="Q60" s="497"/>
      <c r="R60" s="497"/>
      <c r="S60" s="497"/>
      <c r="T60" s="497"/>
    </row>
    <row r="61" spans="2:22" ht="25.5">
      <c r="B61" s="499" t="s">
        <v>4133</v>
      </c>
      <c r="C61" s="170" t="s">
        <v>4125</v>
      </c>
      <c r="D61" s="95"/>
      <c r="E61" s="95"/>
      <c r="F61" s="95"/>
      <c r="G61" s="95"/>
      <c r="H61" s="390">
        <f>H51*H56</f>
        <v>2092500</v>
      </c>
      <c r="I61" s="96">
        <f t="shared" ref="I61:T61" si="34">I51*I56</f>
        <v>3367878.7499999995</v>
      </c>
      <c r="J61" s="96">
        <f t="shared" si="34"/>
        <v>4336480.6784999995</v>
      </c>
      <c r="K61" s="96">
        <f t="shared" si="34"/>
        <v>5170048.6311449986</v>
      </c>
      <c r="L61" s="96">
        <f t="shared" si="34"/>
        <v>5547462.1812185841</v>
      </c>
      <c r="M61" s="96">
        <f t="shared" si="34"/>
        <v>5952426.9204475395</v>
      </c>
      <c r="N61" s="96">
        <f t="shared" si="34"/>
        <v>6386954.0856402097</v>
      </c>
      <c r="O61" s="96">
        <f t="shared" si="34"/>
        <v>6853201.7338919453</v>
      </c>
      <c r="P61" s="96">
        <f t="shared" si="34"/>
        <v>7353485.4604660571</v>
      </c>
      <c r="Q61" s="96">
        <f t="shared" si="34"/>
        <v>7890289.899080079</v>
      </c>
      <c r="R61" s="96">
        <f t="shared" si="34"/>
        <v>8466281.0617129244</v>
      </c>
      <c r="S61" s="96">
        <f t="shared" si="34"/>
        <v>9084319.5792179685</v>
      </c>
      <c r="T61" s="96">
        <f t="shared" si="34"/>
        <v>9747474.90850088</v>
      </c>
    </row>
    <row r="62" spans="2:22" ht="25.5">
      <c r="B62" s="499"/>
      <c r="C62" s="170" t="s">
        <v>4126</v>
      </c>
      <c r="D62" s="95"/>
      <c r="E62" s="95"/>
      <c r="F62" s="95"/>
      <c r="G62" s="95"/>
      <c r="H62" s="390">
        <f t="shared" ref="H62:T64" si="35">H52*H57</f>
        <v>990000</v>
      </c>
      <c r="I62" s="96">
        <f t="shared" si="35"/>
        <v>1593405</v>
      </c>
      <c r="J62" s="96">
        <f t="shared" si="35"/>
        <v>2051668.2779999999</v>
      </c>
      <c r="K62" s="96">
        <f t="shared" si="35"/>
        <v>2446044.5136599997</v>
      </c>
      <c r="L62" s="96">
        <f t="shared" si="35"/>
        <v>2624605.7631571796</v>
      </c>
      <c r="M62" s="96">
        <f t="shared" si="35"/>
        <v>2816201.9838676536</v>
      </c>
      <c r="N62" s="96">
        <f t="shared" si="35"/>
        <v>3021784.7286899923</v>
      </c>
      <c r="O62" s="96">
        <f t="shared" si="35"/>
        <v>3242375.0138843618</v>
      </c>
      <c r="P62" s="96">
        <f t="shared" si="35"/>
        <v>3479068.3898979202</v>
      </c>
      <c r="Q62" s="96">
        <f t="shared" si="35"/>
        <v>3733040.3823604677</v>
      </c>
      <c r="R62" s="96">
        <f t="shared" si="35"/>
        <v>4005552.3302727821</v>
      </c>
      <c r="S62" s="96">
        <f t="shared" si="35"/>
        <v>4297957.6503826948</v>
      </c>
      <c r="T62" s="96">
        <f t="shared" si="35"/>
        <v>4611708.5588606317</v>
      </c>
    </row>
    <row r="63" spans="2:22">
      <c r="B63" s="499"/>
      <c r="C63" s="170" t="s">
        <v>4127</v>
      </c>
      <c r="D63" s="95"/>
      <c r="E63" s="95"/>
      <c r="F63" s="95"/>
      <c r="G63" s="95"/>
      <c r="H63" s="96">
        <f>H53*H58</f>
        <v>495000</v>
      </c>
      <c r="I63" s="96">
        <f t="shared" si="35"/>
        <v>850500</v>
      </c>
      <c r="J63" s="96">
        <f t="shared" si="35"/>
        <v>1071630</v>
      </c>
      <c r="K63" s="96">
        <f t="shared" si="35"/>
        <v>1250235.0000000002</v>
      </c>
      <c r="L63" s="96">
        <f t="shared" si="35"/>
        <v>1312746.7500000002</v>
      </c>
      <c r="M63" s="96">
        <f t="shared" si="35"/>
        <v>1378384.0875000004</v>
      </c>
      <c r="N63" s="96">
        <f t="shared" si="35"/>
        <v>1447303.2918750006</v>
      </c>
      <c r="O63" s="96">
        <f t="shared" si="35"/>
        <v>1519668.4564687507</v>
      </c>
      <c r="P63" s="96">
        <f t="shared" si="35"/>
        <v>1595651.8792921882</v>
      </c>
      <c r="Q63" s="96">
        <f t="shared" si="35"/>
        <v>1675434.4732567978</v>
      </c>
      <c r="R63" s="96">
        <f t="shared" si="35"/>
        <v>1759206.1969196375</v>
      </c>
      <c r="S63" s="96">
        <f t="shared" si="35"/>
        <v>1847166.5067656194</v>
      </c>
      <c r="T63" s="96">
        <f t="shared" si="35"/>
        <v>1939524.8321039004</v>
      </c>
    </row>
    <row r="64" spans="2:22">
      <c r="B64" s="499"/>
      <c r="C64" s="170" t="s">
        <v>4097</v>
      </c>
      <c r="D64" s="95"/>
      <c r="E64" s="95"/>
      <c r="F64" s="95"/>
      <c r="G64" s="95"/>
      <c r="H64" s="96">
        <f t="shared" si="35"/>
        <v>2500000</v>
      </c>
      <c r="I64" s="96">
        <f t="shared" si="35"/>
        <v>3937500</v>
      </c>
      <c r="J64" s="96">
        <f t="shared" si="35"/>
        <v>4961250</v>
      </c>
      <c r="K64" s="96">
        <f t="shared" si="35"/>
        <v>5788125</v>
      </c>
      <c r="L64" s="96">
        <f t="shared" si="35"/>
        <v>6077531.25</v>
      </c>
      <c r="M64" s="96">
        <f t="shared" si="35"/>
        <v>6381407.8125000009</v>
      </c>
      <c r="N64" s="96">
        <f t="shared" si="35"/>
        <v>6700478.2031250009</v>
      </c>
      <c r="O64" s="96">
        <f t="shared" si="35"/>
        <v>7035502.1132812509</v>
      </c>
      <c r="P64" s="96">
        <f t="shared" si="35"/>
        <v>7387277.2189453132</v>
      </c>
      <c r="Q64" s="96">
        <f t="shared" si="35"/>
        <v>7756641.0798925795</v>
      </c>
      <c r="R64" s="96">
        <f t="shared" si="35"/>
        <v>8144473.133887209</v>
      </c>
      <c r="S64" s="96">
        <f t="shared" si="35"/>
        <v>8551696.7905815691</v>
      </c>
      <c r="T64" s="96">
        <f t="shared" si="35"/>
        <v>8979281.6301106494</v>
      </c>
    </row>
    <row r="65" spans="2:22">
      <c r="C65" s="22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</row>
    <row r="66" spans="2:22">
      <c r="C66" s="227"/>
    </row>
    <row r="67" spans="2:22">
      <c r="B67" s="233" t="s">
        <v>4130</v>
      </c>
      <c r="C67" s="233" t="s">
        <v>4128</v>
      </c>
      <c r="D67" s="158"/>
      <c r="E67" s="159"/>
      <c r="F67" s="159"/>
      <c r="G67" s="160"/>
      <c r="H67" s="496" t="s">
        <v>4129</v>
      </c>
      <c r="I67" s="497"/>
      <c r="J67" s="497"/>
      <c r="K67" s="497"/>
      <c r="L67" s="497"/>
      <c r="M67" s="497"/>
      <c r="N67" s="497"/>
      <c r="O67" s="497"/>
      <c r="P67" s="497"/>
      <c r="Q67" s="497"/>
      <c r="R67" s="497"/>
      <c r="S67" s="497"/>
      <c r="T67" s="497"/>
    </row>
    <row r="68" spans="2:22" ht="38.25">
      <c r="B68" s="499" t="s">
        <v>4140</v>
      </c>
      <c r="C68" s="170" t="s">
        <v>4137</v>
      </c>
      <c r="D68" s="95"/>
      <c r="E68" s="95"/>
      <c r="F68" s="95"/>
      <c r="G68" s="95"/>
      <c r="H68" s="96">
        <f>K68*50%</f>
        <v>8750</v>
      </c>
      <c r="I68" s="96">
        <f>K68*75%</f>
        <v>13125</v>
      </c>
      <c r="J68" s="96">
        <f>K68*90%</f>
        <v>15750</v>
      </c>
      <c r="K68" s="96">
        <v>17500</v>
      </c>
      <c r="L68" s="96">
        <v>17500</v>
      </c>
      <c r="M68" s="96">
        <v>17500</v>
      </c>
      <c r="N68" s="96">
        <v>17500</v>
      </c>
      <c r="O68" s="96">
        <v>17500</v>
      </c>
      <c r="P68" s="96">
        <v>17500</v>
      </c>
      <c r="Q68" s="96">
        <v>17500</v>
      </c>
      <c r="R68" s="96">
        <v>17500</v>
      </c>
      <c r="S68" s="96">
        <v>17500</v>
      </c>
      <c r="T68" s="96">
        <v>17500</v>
      </c>
      <c r="U68" s="227" t="s">
        <v>4181</v>
      </c>
    </row>
    <row r="69" spans="2:22" ht="25.5">
      <c r="B69" s="499"/>
      <c r="C69" s="170" t="s">
        <v>4126</v>
      </c>
      <c r="D69" s="95"/>
      <c r="E69" s="95"/>
      <c r="F69" s="95"/>
      <c r="G69" s="95"/>
      <c r="H69" s="96">
        <f>K69*50%</f>
        <v>4500</v>
      </c>
      <c r="I69" s="96">
        <f>K69*75%</f>
        <v>6750</v>
      </c>
      <c r="J69" s="96">
        <f>K69*90%</f>
        <v>8100</v>
      </c>
      <c r="K69" s="96">
        <v>9000</v>
      </c>
      <c r="L69" s="96">
        <v>9000</v>
      </c>
      <c r="M69" s="96">
        <v>9000</v>
      </c>
      <c r="N69" s="96">
        <v>9000</v>
      </c>
      <c r="O69" s="96">
        <v>9000</v>
      </c>
      <c r="P69" s="96">
        <v>9000</v>
      </c>
      <c r="Q69" s="96">
        <v>9000</v>
      </c>
      <c r="R69" s="96">
        <v>9000</v>
      </c>
      <c r="S69" s="96">
        <v>9000</v>
      </c>
      <c r="T69" s="96">
        <v>9000</v>
      </c>
      <c r="U69" s="227" t="s">
        <v>4183</v>
      </c>
    </row>
    <row r="70" spans="2:22">
      <c r="B70" s="499"/>
      <c r="C70" s="170" t="s">
        <v>4148</v>
      </c>
      <c r="D70" s="95"/>
      <c r="E70" s="95"/>
      <c r="F70" s="95"/>
      <c r="G70" s="95"/>
      <c r="H70" s="96">
        <f>500*50%</f>
        <v>250</v>
      </c>
      <c r="I70" s="96">
        <f>500*75%</f>
        <v>375</v>
      </c>
      <c r="J70" s="96">
        <f>500*90%</f>
        <v>450</v>
      </c>
      <c r="K70" s="96">
        <v>500</v>
      </c>
      <c r="L70" s="96">
        <v>500</v>
      </c>
      <c r="M70" s="96">
        <v>500</v>
      </c>
      <c r="N70" s="96">
        <v>500</v>
      </c>
      <c r="O70" s="96">
        <v>500</v>
      </c>
      <c r="P70" s="96">
        <v>500</v>
      </c>
      <c r="Q70" s="96">
        <v>500</v>
      </c>
      <c r="R70" s="96">
        <v>500</v>
      </c>
      <c r="S70" s="96">
        <v>500</v>
      </c>
      <c r="T70" s="96">
        <v>500</v>
      </c>
      <c r="U70" s="227" t="s">
        <v>4181</v>
      </c>
    </row>
    <row r="71" spans="2:22" ht="25.5">
      <c r="B71" s="499"/>
      <c r="C71" s="170" t="s">
        <v>4125</v>
      </c>
      <c r="D71" s="95"/>
      <c r="E71" s="95"/>
      <c r="F71" s="95"/>
      <c r="G71" s="95"/>
      <c r="H71" s="162">
        <f>K71*50%</f>
        <v>675</v>
      </c>
      <c r="I71" s="162">
        <f>K71*75%</f>
        <v>1012.5</v>
      </c>
      <c r="J71" s="162">
        <f>K71*90%</f>
        <v>1215</v>
      </c>
      <c r="K71" s="96">
        <v>1350</v>
      </c>
      <c r="L71" s="96">
        <v>1350</v>
      </c>
      <c r="M71" s="96">
        <v>1350</v>
      </c>
      <c r="N71" s="96">
        <v>1350</v>
      </c>
      <c r="O71" s="96">
        <v>1350</v>
      </c>
      <c r="P71" s="96">
        <v>1350</v>
      </c>
      <c r="Q71" s="96">
        <v>1350</v>
      </c>
      <c r="R71" s="96">
        <v>1350</v>
      </c>
      <c r="S71" s="96">
        <v>1350</v>
      </c>
      <c r="T71" s="96">
        <v>1350</v>
      </c>
      <c r="U71" s="155" t="s">
        <v>4186</v>
      </c>
    </row>
    <row r="72" spans="2:22">
      <c r="B72" s="170"/>
      <c r="C72" s="170"/>
      <c r="D72" s="95"/>
      <c r="E72" s="95"/>
      <c r="F72" s="95"/>
      <c r="G72" s="95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</row>
    <row r="73" spans="2:22">
      <c r="B73" s="170"/>
      <c r="C73" s="170"/>
      <c r="D73" s="95"/>
      <c r="E73" s="95"/>
      <c r="F73" s="95"/>
      <c r="G73" s="95"/>
      <c r="H73" s="496" t="s">
        <v>4131</v>
      </c>
      <c r="I73" s="497"/>
      <c r="J73" s="497"/>
      <c r="K73" s="497"/>
      <c r="L73" s="497"/>
      <c r="M73" s="497"/>
      <c r="N73" s="497"/>
      <c r="O73" s="497"/>
      <c r="P73" s="497"/>
      <c r="Q73" s="497"/>
      <c r="R73" s="497"/>
      <c r="S73" s="497"/>
      <c r="T73" s="497"/>
    </row>
    <row r="74" spans="2:22" ht="38.25">
      <c r="B74" s="499" t="s">
        <v>4141</v>
      </c>
      <c r="C74" s="170" t="s">
        <v>4137</v>
      </c>
      <c r="D74" s="95"/>
      <c r="E74" s="95"/>
      <c r="F74" s="95"/>
      <c r="G74" s="95"/>
      <c r="H74" s="96">
        <v>30</v>
      </c>
      <c r="I74" s="96">
        <f>H74*(1+$X$7)</f>
        <v>31.5</v>
      </c>
      <c r="J74" s="96">
        <f t="shared" ref="J74:T74" si="36">I74*(1+$X$7)</f>
        <v>33.075000000000003</v>
      </c>
      <c r="K74" s="96">
        <f t="shared" si="36"/>
        <v>34.728750000000005</v>
      </c>
      <c r="L74" s="96">
        <f t="shared" si="36"/>
        <v>36.465187500000006</v>
      </c>
      <c r="M74" s="96">
        <f t="shared" si="36"/>
        <v>38.288446875000005</v>
      </c>
      <c r="N74" s="96">
        <f t="shared" si="36"/>
        <v>40.20286921875001</v>
      </c>
      <c r="O74" s="96">
        <f t="shared" si="36"/>
        <v>42.213012679687509</v>
      </c>
      <c r="P74" s="96">
        <f t="shared" si="36"/>
        <v>44.323663313671886</v>
      </c>
      <c r="Q74" s="96">
        <f t="shared" si="36"/>
        <v>46.539846479355482</v>
      </c>
      <c r="R74" s="96">
        <f t="shared" si="36"/>
        <v>48.866838803323262</v>
      </c>
      <c r="S74" s="96">
        <f t="shared" si="36"/>
        <v>51.310180743489425</v>
      </c>
      <c r="T74" s="96">
        <f t="shared" si="36"/>
        <v>53.875689780663897</v>
      </c>
    </row>
    <row r="75" spans="2:22" ht="25.5">
      <c r="B75" s="499"/>
      <c r="C75" s="170" t="s">
        <v>4126</v>
      </c>
      <c r="D75" s="95"/>
      <c r="E75" s="95"/>
      <c r="F75" s="95"/>
      <c r="G75" s="95"/>
      <c r="H75" s="389">
        <f>360</f>
        <v>360</v>
      </c>
      <c r="I75" s="96">
        <f t="shared" ref="I75:T75" si="37">H75*(1+$X$13)</f>
        <v>386.28</v>
      </c>
      <c r="J75" s="96">
        <f t="shared" si="37"/>
        <v>414.47843999999998</v>
      </c>
      <c r="K75" s="96">
        <f t="shared" si="37"/>
        <v>444.73536611999998</v>
      </c>
      <c r="L75" s="96">
        <f t="shared" si="37"/>
        <v>477.20104784675993</v>
      </c>
      <c r="M75" s="96">
        <f t="shared" si="37"/>
        <v>512.03672433957342</v>
      </c>
      <c r="N75" s="96">
        <f t="shared" si="37"/>
        <v>549.41540521636227</v>
      </c>
      <c r="O75" s="96">
        <f t="shared" si="37"/>
        <v>589.52272979715667</v>
      </c>
      <c r="P75" s="96">
        <f t="shared" si="37"/>
        <v>632.5578890723491</v>
      </c>
      <c r="Q75" s="96">
        <f t="shared" si="37"/>
        <v>678.73461497463052</v>
      </c>
      <c r="R75" s="96">
        <f t="shared" si="37"/>
        <v>728.28224186777857</v>
      </c>
      <c r="S75" s="96">
        <f t="shared" si="37"/>
        <v>781.44684552412639</v>
      </c>
      <c r="T75" s="96">
        <f t="shared" si="37"/>
        <v>838.4924652473876</v>
      </c>
      <c r="U75" s="436"/>
    </row>
    <row r="76" spans="2:22">
      <c r="B76" s="499"/>
      <c r="C76" s="170" t="s">
        <v>4148</v>
      </c>
      <c r="D76" s="95"/>
      <c r="E76" s="95"/>
      <c r="F76" s="95"/>
      <c r="G76" s="95"/>
      <c r="H76" s="96">
        <v>2500</v>
      </c>
      <c r="I76" s="96">
        <f>H76*(1+$X$7)</f>
        <v>2625</v>
      </c>
      <c r="J76" s="96">
        <f t="shared" ref="J76:T76" si="38">I76*(1+$X$7)</f>
        <v>2756.25</v>
      </c>
      <c r="K76" s="96">
        <f t="shared" si="38"/>
        <v>2894.0625</v>
      </c>
      <c r="L76" s="96">
        <f t="shared" si="38"/>
        <v>3038.765625</v>
      </c>
      <c r="M76" s="96">
        <f t="shared" si="38"/>
        <v>3190.7039062500003</v>
      </c>
      <c r="N76" s="96">
        <f t="shared" si="38"/>
        <v>3350.2391015625003</v>
      </c>
      <c r="O76" s="96">
        <f t="shared" si="38"/>
        <v>3517.7510566406254</v>
      </c>
      <c r="P76" s="96">
        <f t="shared" si="38"/>
        <v>3693.6386094726568</v>
      </c>
      <c r="Q76" s="96">
        <f t="shared" si="38"/>
        <v>3878.32053994629</v>
      </c>
      <c r="R76" s="96">
        <f t="shared" si="38"/>
        <v>4072.2365669436044</v>
      </c>
      <c r="S76" s="96">
        <f t="shared" si="38"/>
        <v>4275.8483952907845</v>
      </c>
      <c r="T76" s="96">
        <f t="shared" si="38"/>
        <v>4489.6408150553243</v>
      </c>
      <c r="U76" s="436"/>
      <c r="V76" s="226"/>
    </row>
    <row r="77" spans="2:22" ht="25.5">
      <c r="B77" s="499"/>
      <c r="C77" s="170" t="s">
        <v>4125</v>
      </c>
      <c r="D77" s="95"/>
      <c r="E77" s="95"/>
      <c r="F77" s="95"/>
      <c r="G77" s="95"/>
      <c r="H77" s="96">
        <f>270</f>
        <v>270</v>
      </c>
      <c r="I77" s="96">
        <f t="shared" ref="I77:T77" si="39">H77*(1+$X$13)</f>
        <v>289.70999999999998</v>
      </c>
      <c r="J77" s="96">
        <f t="shared" si="39"/>
        <v>310.85882999999995</v>
      </c>
      <c r="K77" s="96">
        <f t="shared" si="39"/>
        <v>333.55152458999993</v>
      </c>
      <c r="L77" s="96">
        <f t="shared" si="39"/>
        <v>357.90078588506992</v>
      </c>
      <c r="M77" s="96">
        <f t="shared" si="39"/>
        <v>384.02754325467998</v>
      </c>
      <c r="N77" s="96">
        <f t="shared" si="39"/>
        <v>412.06155391227162</v>
      </c>
      <c r="O77" s="96">
        <f t="shared" si="39"/>
        <v>442.14204734786745</v>
      </c>
      <c r="P77" s="96">
        <f t="shared" si="39"/>
        <v>474.41841680426177</v>
      </c>
      <c r="Q77" s="96">
        <f t="shared" si="39"/>
        <v>509.05096123097286</v>
      </c>
      <c r="R77" s="96">
        <f t="shared" si="39"/>
        <v>546.21168140083387</v>
      </c>
      <c r="S77" s="96">
        <f t="shared" si="39"/>
        <v>586.08513414309471</v>
      </c>
      <c r="T77" s="96">
        <f t="shared" si="39"/>
        <v>628.86934893554064</v>
      </c>
      <c r="U77" s="436"/>
    </row>
    <row r="78" spans="2:22">
      <c r="B78" s="170"/>
      <c r="C78" s="170"/>
      <c r="D78" s="95"/>
      <c r="E78" s="95"/>
      <c r="F78" s="95"/>
      <c r="G78" s="95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</row>
    <row r="79" spans="2:22">
      <c r="B79" s="170"/>
      <c r="C79" s="170"/>
      <c r="D79" s="95"/>
      <c r="E79" s="95"/>
      <c r="F79" s="95"/>
      <c r="G79" s="95"/>
      <c r="H79" s="496" t="s">
        <v>4132</v>
      </c>
      <c r="I79" s="497"/>
      <c r="J79" s="497"/>
      <c r="K79" s="497"/>
      <c r="L79" s="497"/>
      <c r="M79" s="497"/>
      <c r="N79" s="497"/>
      <c r="O79" s="497"/>
      <c r="P79" s="497"/>
      <c r="Q79" s="497"/>
      <c r="R79" s="497"/>
      <c r="S79" s="497"/>
      <c r="T79" s="497"/>
    </row>
    <row r="80" spans="2:22" ht="38.25">
      <c r="B80" s="499" t="s">
        <v>4134</v>
      </c>
      <c r="C80" s="170" t="s">
        <v>4137</v>
      </c>
      <c r="D80" s="95"/>
      <c r="E80" s="95"/>
      <c r="F80" s="95"/>
      <c r="G80" s="95"/>
      <c r="H80" s="96">
        <f>H68*H74</f>
        <v>262500</v>
      </c>
      <c r="I80" s="96">
        <f t="shared" ref="I80:T80" si="40">I68*I74</f>
        <v>413437.5</v>
      </c>
      <c r="J80" s="96">
        <f t="shared" si="40"/>
        <v>520931.25000000006</v>
      </c>
      <c r="K80" s="96">
        <f t="shared" si="40"/>
        <v>607753.12500000012</v>
      </c>
      <c r="L80" s="96">
        <f t="shared" si="40"/>
        <v>638140.78125000012</v>
      </c>
      <c r="M80" s="96">
        <f t="shared" si="40"/>
        <v>670047.82031250012</v>
      </c>
      <c r="N80" s="96">
        <f t="shared" si="40"/>
        <v>703550.21132812521</v>
      </c>
      <c r="O80" s="96">
        <f t="shared" si="40"/>
        <v>738727.72189453139</v>
      </c>
      <c r="P80" s="96">
        <f t="shared" si="40"/>
        <v>775664.10798925802</v>
      </c>
      <c r="Q80" s="96">
        <f t="shared" si="40"/>
        <v>814447.31338872097</v>
      </c>
      <c r="R80" s="96">
        <f t="shared" si="40"/>
        <v>855169.67905815702</v>
      </c>
      <c r="S80" s="96">
        <f t="shared" si="40"/>
        <v>897928.16301106499</v>
      </c>
      <c r="T80" s="96">
        <f t="shared" si="40"/>
        <v>942824.57116161822</v>
      </c>
    </row>
    <row r="81" spans="1:21" ht="25.5">
      <c r="B81" s="499"/>
      <c r="C81" s="170" t="s">
        <v>4126</v>
      </c>
      <c r="D81" s="95"/>
      <c r="E81" s="95"/>
      <c r="F81" s="95"/>
      <c r="G81" s="95"/>
      <c r="H81" s="390">
        <f t="shared" ref="H81:T83" si="41">H69*H75</f>
        <v>1620000</v>
      </c>
      <c r="I81" s="96">
        <f t="shared" si="41"/>
        <v>2607390</v>
      </c>
      <c r="J81" s="96">
        <f t="shared" si="41"/>
        <v>3357275.3639999996</v>
      </c>
      <c r="K81" s="96">
        <f t="shared" si="41"/>
        <v>4002618.2950799996</v>
      </c>
      <c r="L81" s="96">
        <f t="shared" si="41"/>
        <v>4294809.4306208398</v>
      </c>
      <c r="M81" s="96">
        <f t="shared" si="41"/>
        <v>4608330.5190561609</v>
      </c>
      <c r="N81" s="96">
        <f t="shared" si="41"/>
        <v>4944738.64694726</v>
      </c>
      <c r="O81" s="96">
        <f t="shared" si="41"/>
        <v>5305704.5681744097</v>
      </c>
      <c r="P81" s="96">
        <f t="shared" si="41"/>
        <v>5693021.0016511418</v>
      </c>
      <c r="Q81" s="96">
        <f t="shared" si="41"/>
        <v>6108611.5347716743</v>
      </c>
      <c r="R81" s="96">
        <f t="shared" si="41"/>
        <v>6554540.1768100075</v>
      </c>
      <c r="S81" s="96">
        <f t="shared" si="41"/>
        <v>7033021.6097171372</v>
      </c>
      <c r="T81" s="96">
        <f t="shared" si="41"/>
        <v>7546432.1872264883</v>
      </c>
    </row>
    <row r="82" spans="1:21">
      <c r="B82" s="499"/>
      <c r="C82" s="170" t="s">
        <v>4148</v>
      </c>
      <c r="D82" s="95"/>
      <c r="E82" s="95"/>
      <c r="F82" s="95"/>
      <c r="G82" s="95"/>
      <c r="H82" s="390">
        <f t="shared" si="41"/>
        <v>625000</v>
      </c>
      <c r="I82" s="96">
        <f t="shared" si="41"/>
        <v>984375</v>
      </c>
      <c r="J82" s="96">
        <f t="shared" si="41"/>
        <v>1240312.5</v>
      </c>
      <c r="K82" s="96">
        <f t="shared" si="41"/>
        <v>1447031.25</v>
      </c>
      <c r="L82" s="96">
        <f t="shared" si="41"/>
        <v>1519382.8125</v>
      </c>
      <c r="M82" s="96">
        <f t="shared" si="41"/>
        <v>1595351.9531250002</v>
      </c>
      <c r="N82" s="96">
        <f t="shared" si="41"/>
        <v>1675119.5507812502</v>
      </c>
      <c r="O82" s="96">
        <f t="shared" si="41"/>
        <v>1758875.5283203127</v>
      </c>
      <c r="P82" s="96">
        <f t="shared" si="41"/>
        <v>1846819.3047363283</v>
      </c>
      <c r="Q82" s="96">
        <f t="shared" si="41"/>
        <v>1939160.2699731449</v>
      </c>
      <c r="R82" s="96">
        <f t="shared" si="41"/>
        <v>2036118.2834718022</v>
      </c>
      <c r="S82" s="96">
        <f t="shared" si="41"/>
        <v>2137924.1976453923</v>
      </c>
      <c r="T82" s="96">
        <f t="shared" si="41"/>
        <v>2244820.4075276623</v>
      </c>
    </row>
    <row r="83" spans="1:21" ht="25.5">
      <c r="B83" s="499"/>
      <c r="C83" s="170" t="s">
        <v>4125</v>
      </c>
      <c r="D83" s="95"/>
      <c r="E83" s="95"/>
      <c r="F83" s="95"/>
      <c r="G83" s="95"/>
      <c r="H83" s="390">
        <f t="shared" si="41"/>
        <v>182250</v>
      </c>
      <c r="I83" s="96">
        <f>I71*I77</f>
        <v>293331.375</v>
      </c>
      <c r="J83" s="96">
        <f t="shared" si="41"/>
        <v>377693.47844999994</v>
      </c>
      <c r="K83" s="96">
        <f t="shared" si="41"/>
        <v>450294.55819649989</v>
      </c>
      <c r="L83" s="96">
        <f t="shared" si="41"/>
        <v>483166.06094484439</v>
      </c>
      <c r="M83" s="96">
        <f t="shared" si="41"/>
        <v>518437.18339381798</v>
      </c>
      <c r="N83" s="96">
        <f t="shared" si="41"/>
        <v>556283.09778156667</v>
      </c>
      <c r="O83" s="96">
        <f t="shared" si="41"/>
        <v>596891.76391962101</v>
      </c>
      <c r="P83" s="96">
        <f t="shared" si="41"/>
        <v>640464.86268575338</v>
      </c>
      <c r="Q83" s="96">
        <f t="shared" si="41"/>
        <v>687218.79766181333</v>
      </c>
      <c r="R83" s="96">
        <f t="shared" si="41"/>
        <v>737385.76989112573</v>
      </c>
      <c r="S83" s="96">
        <f t="shared" si="41"/>
        <v>791214.93109317787</v>
      </c>
      <c r="T83" s="96">
        <f t="shared" si="41"/>
        <v>848973.62106297992</v>
      </c>
    </row>
    <row r="84" spans="1:21"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</row>
    <row r="85" spans="1:21"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</row>
    <row r="86" spans="1:21">
      <c r="B86" s="233" t="s">
        <v>4130</v>
      </c>
      <c r="C86" s="233" t="s">
        <v>4128</v>
      </c>
      <c r="D86" s="100"/>
      <c r="E86" s="100"/>
      <c r="F86" s="100"/>
      <c r="G86" s="230"/>
      <c r="H86" s="496" t="s">
        <v>4129</v>
      </c>
      <c r="I86" s="497"/>
      <c r="J86" s="497"/>
      <c r="K86" s="497"/>
      <c r="L86" s="497"/>
      <c r="M86" s="497"/>
      <c r="N86" s="497"/>
      <c r="O86" s="497"/>
      <c r="P86" s="497"/>
      <c r="Q86" s="497"/>
      <c r="R86" s="497"/>
      <c r="S86" s="497"/>
      <c r="T86" s="497"/>
    </row>
    <row r="87" spans="1:21" ht="12.75" customHeight="1">
      <c r="A87" s="161"/>
      <c r="B87" s="492" t="s">
        <v>4139</v>
      </c>
      <c r="C87" s="170" t="s">
        <v>4098</v>
      </c>
      <c r="D87" s="95"/>
      <c r="E87" s="95"/>
      <c r="F87" s="95"/>
      <c r="G87" s="95"/>
      <c r="H87" s="162">
        <f>K87*50%</f>
        <v>3500</v>
      </c>
      <c r="I87" s="96">
        <f>K87*75%</f>
        <v>5250</v>
      </c>
      <c r="J87" s="96">
        <f>K87*90%</f>
        <v>6300</v>
      </c>
      <c r="K87" s="96">
        <v>7000</v>
      </c>
      <c r="L87" s="96">
        <v>7000</v>
      </c>
      <c r="M87" s="96">
        <v>7000</v>
      </c>
      <c r="N87" s="96">
        <v>7000</v>
      </c>
      <c r="O87" s="96">
        <v>7000</v>
      </c>
      <c r="P87" s="96">
        <v>7000</v>
      </c>
      <c r="Q87" s="96">
        <v>7000</v>
      </c>
      <c r="R87" s="96">
        <v>7000</v>
      </c>
      <c r="S87" s="96">
        <v>7000</v>
      </c>
      <c r="T87" s="96">
        <v>7000</v>
      </c>
      <c r="U87" s="227" t="s">
        <v>4181</v>
      </c>
    </row>
    <row r="88" spans="1:21" hidden="1">
      <c r="A88" s="161"/>
      <c r="B88" s="493"/>
      <c r="C88" s="170"/>
      <c r="D88" s="95"/>
      <c r="E88" s="95"/>
      <c r="F88" s="95"/>
      <c r="G88" s="95"/>
      <c r="H88" s="162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227"/>
    </row>
    <row r="89" spans="1:21">
      <c r="A89" s="161"/>
      <c r="B89" s="493"/>
      <c r="C89" s="170" t="s">
        <v>4099</v>
      </c>
      <c r="D89" s="95"/>
      <c r="E89" s="95"/>
      <c r="F89" s="95"/>
      <c r="G89" s="95"/>
      <c r="H89" s="162">
        <f>500*50%</f>
        <v>250</v>
      </c>
      <c r="I89" s="96">
        <f>500*75%</f>
        <v>375</v>
      </c>
      <c r="J89" s="96">
        <f>500*90%</f>
        <v>450</v>
      </c>
      <c r="K89" s="96">
        <v>500</v>
      </c>
      <c r="L89" s="96">
        <v>500</v>
      </c>
      <c r="M89" s="96">
        <v>500</v>
      </c>
      <c r="N89" s="96">
        <v>500</v>
      </c>
      <c r="O89" s="96">
        <v>500</v>
      </c>
      <c r="P89" s="96">
        <v>500</v>
      </c>
      <c r="Q89" s="96">
        <v>500</v>
      </c>
      <c r="R89" s="96">
        <v>500</v>
      </c>
      <c r="S89" s="96">
        <v>500</v>
      </c>
      <c r="T89" s="96">
        <v>500</v>
      </c>
      <c r="U89" s="227" t="s">
        <v>4181</v>
      </c>
    </row>
    <row r="90" spans="1:21">
      <c r="A90" s="161"/>
      <c r="B90" s="493"/>
      <c r="C90" s="170" t="s">
        <v>4182</v>
      </c>
      <c r="D90" s="95"/>
      <c r="E90" s="95"/>
      <c r="F90" s="95"/>
      <c r="G90" s="95"/>
      <c r="H90" s="162">
        <f>K90*50%</f>
        <v>2000</v>
      </c>
      <c r="I90" s="96">
        <f>K90*75%</f>
        <v>3000</v>
      </c>
      <c r="J90" s="96">
        <f>K90*90%</f>
        <v>3600</v>
      </c>
      <c r="K90" s="96">
        <v>4000</v>
      </c>
      <c r="L90" s="96">
        <v>4000</v>
      </c>
      <c r="M90" s="96">
        <v>4000</v>
      </c>
      <c r="N90" s="96">
        <v>4000</v>
      </c>
      <c r="O90" s="96">
        <v>4000</v>
      </c>
      <c r="P90" s="96">
        <v>4000</v>
      </c>
      <c r="Q90" s="96">
        <v>4000</v>
      </c>
      <c r="R90" s="96">
        <v>4000</v>
      </c>
      <c r="S90" s="96">
        <v>4000</v>
      </c>
      <c r="T90" s="96">
        <v>4000</v>
      </c>
      <c r="U90" s="227" t="s">
        <v>4183</v>
      </c>
    </row>
    <row r="91" spans="1:21">
      <c r="A91" s="161"/>
      <c r="B91" s="493"/>
      <c r="C91" s="170" t="s">
        <v>4100</v>
      </c>
      <c r="D91" s="95"/>
      <c r="E91" s="95"/>
      <c r="F91" s="95"/>
      <c r="G91" s="95"/>
      <c r="H91" s="162">
        <f>8000*50%</f>
        <v>4000</v>
      </c>
      <c r="I91" s="96">
        <f>8000*75%</f>
        <v>6000</v>
      </c>
      <c r="J91" s="96">
        <f>8000*90%</f>
        <v>7200</v>
      </c>
      <c r="K91" s="96">
        <v>8000</v>
      </c>
      <c r="L91" s="96">
        <v>8000</v>
      </c>
      <c r="M91" s="96">
        <v>8000</v>
      </c>
      <c r="N91" s="96">
        <v>8000</v>
      </c>
      <c r="O91" s="96">
        <v>8000</v>
      </c>
      <c r="P91" s="96">
        <v>8000</v>
      </c>
      <c r="Q91" s="96">
        <v>8000</v>
      </c>
      <c r="R91" s="96">
        <v>8000</v>
      </c>
      <c r="S91" s="96">
        <v>8000</v>
      </c>
      <c r="T91" s="96">
        <v>8000</v>
      </c>
      <c r="U91" s="227" t="s">
        <v>4181</v>
      </c>
    </row>
    <row r="92" spans="1:21" hidden="1">
      <c r="A92" s="161"/>
      <c r="B92" s="494"/>
      <c r="C92" s="170"/>
      <c r="D92" s="95"/>
      <c r="E92" s="95"/>
      <c r="F92" s="95"/>
      <c r="G92" s="95"/>
      <c r="H92" s="96"/>
      <c r="I92" s="96"/>
      <c r="J92" s="96"/>
      <c r="K92" s="162"/>
      <c r="L92" s="96"/>
      <c r="M92" s="96"/>
      <c r="N92" s="96"/>
      <c r="O92" s="96"/>
      <c r="P92" s="96"/>
      <c r="Q92" s="96"/>
      <c r="R92" s="96"/>
      <c r="S92" s="96"/>
      <c r="T92" s="96"/>
      <c r="U92" s="155"/>
    </row>
    <row r="93" spans="1:21" ht="25.5">
      <c r="A93" s="161"/>
      <c r="B93" s="494"/>
      <c r="C93" s="170" t="s">
        <v>4138</v>
      </c>
      <c r="D93" s="95"/>
      <c r="E93" s="95"/>
      <c r="F93" s="95"/>
      <c r="G93" s="95"/>
      <c r="H93" s="390">
        <f>0.5*K93</f>
        <v>2850</v>
      </c>
      <c r="I93" s="390">
        <f>0.75*K93</f>
        <v>4275</v>
      </c>
      <c r="J93" s="390">
        <f>0.9*K93</f>
        <v>5130</v>
      </c>
      <c r="K93" s="162">
        <v>5700</v>
      </c>
      <c r="L93" s="96">
        <f t="shared" ref="L93:T93" si="42">K93</f>
        <v>5700</v>
      </c>
      <c r="M93" s="96">
        <f t="shared" si="42"/>
        <v>5700</v>
      </c>
      <c r="N93" s="96">
        <f t="shared" si="42"/>
        <v>5700</v>
      </c>
      <c r="O93" s="96">
        <f t="shared" si="42"/>
        <v>5700</v>
      </c>
      <c r="P93" s="96">
        <f t="shared" si="42"/>
        <v>5700</v>
      </c>
      <c r="Q93" s="96">
        <f t="shared" si="42"/>
        <v>5700</v>
      </c>
      <c r="R93" s="96">
        <f t="shared" si="42"/>
        <v>5700</v>
      </c>
      <c r="S93" s="96">
        <f t="shared" si="42"/>
        <v>5700</v>
      </c>
      <c r="T93" s="96">
        <f t="shared" si="42"/>
        <v>5700</v>
      </c>
      <c r="U93" s="155" t="s">
        <v>4186</v>
      </c>
    </row>
    <row r="94" spans="1:21">
      <c r="A94" s="161"/>
      <c r="B94" s="495"/>
      <c r="C94" s="170"/>
      <c r="D94" s="95"/>
      <c r="E94" s="95"/>
      <c r="F94" s="95"/>
      <c r="G94" s="95"/>
      <c r="H94" s="496" t="s">
        <v>4131</v>
      </c>
      <c r="I94" s="497"/>
      <c r="J94" s="497"/>
      <c r="K94" s="497"/>
      <c r="L94" s="497"/>
      <c r="M94" s="497"/>
      <c r="N94" s="497"/>
      <c r="O94" s="497"/>
      <c r="P94" s="497"/>
      <c r="Q94" s="497"/>
      <c r="R94" s="497"/>
      <c r="S94" s="497"/>
      <c r="T94" s="497"/>
    </row>
    <row r="95" spans="1:21">
      <c r="A95" s="161"/>
      <c r="B95" s="492" t="s">
        <v>4142</v>
      </c>
      <c r="C95" s="170" t="s">
        <v>4098</v>
      </c>
      <c r="D95" s="95"/>
      <c r="E95" s="95"/>
      <c r="F95" s="95"/>
      <c r="G95" s="95"/>
      <c r="H95" s="96">
        <v>80</v>
      </c>
      <c r="I95" s="96">
        <f>H95*(1+$X$7)</f>
        <v>84</v>
      </c>
      <c r="J95" s="96">
        <f t="shared" ref="J95:T95" si="43">I95*(1+$X$7)</f>
        <v>88.2</v>
      </c>
      <c r="K95" s="96">
        <f t="shared" si="43"/>
        <v>92.610000000000014</v>
      </c>
      <c r="L95" s="96">
        <f t="shared" si="43"/>
        <v>97.240500000000011</v>
      </c>
      <c r="M95" s="96">
        <f t="shared" si="43"/>
        <v>102.10252500000001</v>
      </c>
      <c r="N95" s="96">
        <f t="shared" si="43"/>
        <v>107.20765125000003</v>
      </c>
      <c r="O95" s="96">
        <f t="shared" si="43"/>
        <v>112.56803381250003</v>
      </c>
      <c r="P95" s="96">
        <f t="shared" si="43"/>
        <v>118.19643550312504</v>
      </c>
      <c r="Q95" s="96">
        <f t="shared" si="43"/>
        <v>124.1062572782813</v>
      </c>
      <c r="R95" s="96">
        <f t="shared" si="43"/>
        <v>130.31157014219536</v>
      </c>
      <c r="S95" s="96">
        <f t="shared" si="43"/>
        <v>136.82714864930514</v>
      </c>
      <c r="T95" s="96">
        <f t="shared" si="43"/>
        <v>143.6685060817704</v>
      </c>
    </row>
    <row r="96" spans="1:21" hidden="1">
      <c r="A96" s="161"/>
      <c r="B96" s="493"/>
      <c r="C96" s="170"/>
      <c r="D96" s="95"/>
      <c r="E96" s="95"/>
      <c r="F96" s="95"/>
      <c r="G96" s="95"/>
      <c r="H96" s="96"/>
      <c r="I96" s="96">
        <f t="shared" ref="I96:T96" si="44">H96*(1+$X$13)</f>
        <v>0</v>
      </c>
      <c r="J96" s="96">
        <f t="shared" si="44"/>
        <v>0</v>
      </c>
      <c r="K96" s="96">
        <f t="shared" si="44"/>
        <v>0</v>
      </c>
      <c r="L96" s="96">
        <f t="shared" si="44"/>
        <v>0</v>
      </c>
      <c r="M96" s="96">
        <f t="shared" si="44"/>
        <v>0</v>
      </c>
      <c r="N96" s="96">
        <f t="shared" si="44"/>
        <v>0</v>
      </c>
      <c r="O96" s="96">
        <f t="shared" si="44"/>
        <v>0</v>
      </c>
      <c r="P96" s="96">
        <f t="shared" si="44"/>
        <v>0</v>
      </c>
      <c r="Q96" s="96">
        <f t="shared" si="44"/>
        <v>0</v>
      </c>
      <c r="R96" s="96">
        <f t="shared" si="44"/>
        <v>0</v>
      </c>
      <c r="S96" s="96">
        <f t="shared" si="44"/>
        <v>0</v>
      </c>
      <c r="T96" s="96">
        <f t="shared" si="44"/>
        <v>0</v>
      </c>
    </row>
    <row r="97" spans="1:21">
      <c r="A97" s="161"/>
      <c r="B97" s="493"/>
      <c r="C97" s="170" t="s">
        <v>4099</v>
      </c>
      <c r="D97" s="95"/>
      <c r="E97" s="95"/>
      <c r="F97" s="95"/>
      <c r="G97" s="95"/>
      <c r="H97" s="96">
        <v>2500</v>
      </c>
      <c r="I97" s="96">
        <f>H97*(1+$X$7)</f>
        <v>2625</v>
      </c>
      <c r="J97" s="96">
        <f t="shared" ref="J97:T97" si="45">I97*(1+$X$7)</f>
        <v>2756.25</v>
      </c>
      <c r="K97" s="96">
        <f t="shared" si="45"/>
        <v>2894.0625</v>
      </c>
      <c r="L97" s="96">
        <f t="shared" si="45"/>
        <v>3038.765625</v>
      </c>
      <c r="M97" s="96">
        <f t="shared" si="45"/>
        <v>3190.7039062500003</v>
      </c>
      <c r="N97" s="96">
        <f t="shared" si="45"/>
        <v>3350.2391015625003</v>
      </c>
      <c r="O97" s="96">
        <f t="shared" si="45"/>
        <v>3517.7510566406254</v>
      </c>
      <c r="P97" s="96">
        <f t="shared" si="45"/>
        <v>3693.6386094726568</v>
      </c>
      <c r="Q97" s="96">
        <f t="shared" si="45"/>
        <v>3878.32053994629</v>
      </c>
      <c r="R97" s="96">
        <f t="shared" si="45"/>
        <v>4072.2365669436044</v>
      </c>
      <c r="S97" s="96">
        <f t="shared" si="45"/>
        <v>4275.8483952907845</v>
      </c>
      <c r="T97" s="96">
        <f t="shared" si="45"/>
        <v>4489.6408150553243</v>
      </c>
    </row>
    <row r="98" spans="1:21">
      <c r="A98" s="161"/>
      <c r="B98" s="493"/>
      <c r="C98" s="170" t="s">
        <v>4182</v>
      </c>
      <c r="D98" s="95"/>
      <c r="E98" s="95"/>
      <c r="F98" s="95"/>
      <c r="G98" s="95"/>
      <c r="H98" s="389">
        <f>360</f>
        <v>360</v>
      </c>
      <c r="I98" s="96">
        <f t="shared" ref="I98:T98" si="46">H98*(1+$X$13)</f>
        <v>386.28</v>
      </c>
      <c r="J98" s="96">
        <f t="shared" si="46"/>
        <v>414.47843999999998</v>
      </c>
      <c r="K98" s="96">
        <f t="shared" si="46"/>
        <v>444.73536611999998</v>
      </c>
      <c r="L98" s="96">
        <f t="shared" si="46"/>
        <v>477.20104784675993</v>
      </c>
      <c r="M98" s="96">
        <f t="shared" si="46"/>
        <v>512.03672433957342</v>
      </c>
      <c r="N98" s="96">
        <f t="shared" si="46"/>
        <v>549.41540521636227</v>
      </c>
      <c r="O98" s="96">
        <f t="shared" si="46"/>
        <v>589.52272979715667</v>
      </c>
      <c r="P98" s="96">
        <f t="shared" si="46"/>
        <v>632.5578890723491</v>
      </c>
      <c r="Q98" s="96">
        <f t="shared" si="46"/>
        <v>678.73461497463052</v>
      </c>
      <c r="R98" s="96">
        <f t="shared" si="46"/>
        <v>728.28224186777857</v>
      </c>
      <c r="S98" s="96">
        <f t="shared" si="46"/>
        <v>781.44684552412639</v>
      </c>
      <c r="T98" s="96">
        <f t="shared" si="46"/>
        <v>838.4924652473876</v>
      </c>
      <c r="U98" s="436"/>
    </row>
    <row r="99" spans="1:21">
      <c r="A99" s="161"/>
      <c r="B99" s="493"/>
      <c r="C99" s="170" t="s">
        <v>4100</v>
      </c>
      <c r="D99" s="95"/>
      <c r="E99" s="95"/>
      <c r="F99" s="95"/>
      <c r="G99" s="95"/>
      <c r="H99" s="96">
        <v>30</v>
      </c>
      <c r="I99" s="96">
        <f>H99*(1+$X$7)</f>
        <v>31.5</v>
      </c>
      <c r="J99" s="96">
        <f t="shared" ref="J99:T99" si="47">I99*(1+$X$7)</f>
        <v>33.075000000000003</v>
      </c>
      <c r="K99" s="96">
        <f t="shared" si="47"/>
        <v>34.728750000000005</v>
      </c>
      <c r="L99" s="96">
        <f t="shared" si="47"/>
        <v>36.465187500000006</v>
      </c>
      <c r="M99" s="96">
        <f t="shared" si="47"/>
        <v>38.288446875000005</v>
      </c>
      <c r="N99" s="96">
        <f t="shared" si="47"/>
        <v>40.20286921875001</v>
      </c>
      <c r="O99" s="96">
        <f t="shared" si="47"/>
        <v>42.213012679687509</v>
      </c>
      <c r="P99" s="96">
        <f t="shared" si="47"/>
        <v>44.323663313671886</v>
      </c>
      <c r="Q99" s="96">
        <f t="shared" si="47"/>
        <v>46.539846479355482</v>
      </c>
      <c r="R99" s="96">
        <f t="shared" si="47"/>
        <v>48.866838803323262</v>
      </c>
      <c r="S99" s="96">
        <f t="shared" si="47"/>
        <v>51.310180743489425</v>
      </c>
      <c r="T99" s="96">
        <f t="shared" si="47"/>
        <v>53.875689780663897</v>
      </c>
    </row>
    <row r="100" spans="1:21" hidden="1">
      <c r="A100" s="161"/>
      <c r="B100" s="494"/>
      <c r="C100" s="170"/>
      <c r="D100" s="95"/>
      <c r="E100" s="95"/>
      <c r="F100" s="95"/>
      <c r="G100" s="95"/>
      <c r="H100" s="96"/>
      <c r="I100" s="96">
        <f t="shared" ref="I100:T100" si="48">H100*(1+$X$13)</f>
        <v>0</v>
      </c>
      <c r="J100" s="96">
        <f t="shared" si="48"/>
        <v>0</v>
      </c>
      <c r="K100" s="96">
        <f t="shared" si="48"/>
        <v>0</v>
      </c>
      <c r="L100" s="96">
        <f t="shared" si="48"/>
        <v>0</v>
      </c>
      <c r="M100" s="96">
        <f t="shared" si="48"/>
        <v>0</v>
      </c>
      <c r="N100" s="96">
        <f t="shared" si="48"/>
        <v>0</v>
      </c>
      <c r="O100" s="96">
        <f t="shared" si="48"/>
        <v>0</v>
      </c>
      <c r="P100" s="96">
        <f t="shared" si="48"/>
        <v>0</v>
      </c>
      <c r="Q100" s="96">
        <f t="shared" si="48"/>
        <v>0</v>
      </c>
      <c r="R100" s="96">
        <f t="shared" si="48"/>
        <v>0</v>
      </c>
      <c r="S100" s="96">
        <f t="shared" si="48"/>
        <v>0</v>
      </c>
      <c r="T100" s="96">
        <f t="shared" si="48"/>
        <v>0</v>
      </c>
      <c r="U100" s="388">
        <v>1</v>
      </c>
    </row>
    <row r="101" spans="1:21" ht="25.5">
      <c r="A101" s="161"/>
      <c r="B101" s="494"/>
      <c r="C101" s="170" t="s">
        <v>4138</v>
      </c>
      <c r="D101" s="95"/>
      <c r="E101" s="95"/>
      <c r="F101" s="95"/>
      <c r="G101" s="95"/>
      <c r="H101" s="96">
        <v>67.5</v>
      </c>
      <c r="I101" s="96">
        <f t="shared" ref="I101:T101" si="49">H101*(1+$X$13)</f>
        <v>72.427499999999995</v>
      </c>
      <c r="J101" s="96">
        <f t="shared" si="49"/>
        <v>77.714707499999989</v>
      </c>
      <c r="K101" s="96">
        <f t="shared" si="49"/>
        <v>83.387881147499982</v>
      </c>
      <c r="L101" s="96">
        <f t="shared" si="49"/>
        <v>89.475196471267481</v>
      </c>
      <c r="M101" s="96">
        <f t="shared" si="49"/>
        <v>96.006885813669996</v>
      </c>
      <c r="N101" s="96">
        <f t="shared" si="49"/>
        <v>103.0153884780679</v>
      </c>
      <c r="O101" s="96">
        <f t="shared" si="49"/>
        <v>110.53551183696686</v>
      </c>
      <c r="P101" s="96">
        <f t="shared" si="49"/>
        <v>118.60460420106544</v>
      </c>
      <c r="Q101" s="96">
        <f t="shared" si="49"/>
        <v>127.26274030774321</v>
      </c>
      <c r="R101" s="96">
        <f t="shared" si="49"/>
        <v>136.55292035020847</v>
      </c>
      <c r="S101" s="96">
        <f t="shared" si="49"/>
        <v>146.52128353577368</v>
      </c>
      <c r="T101" s="96">
        <f t="shared" si="49"/>
        <v>157.21733723388516</v>
      </c>
    </row>
    <row r="102" spans="1:21">
      <c r="A102" s="161"/>
      <c r="B102" s="495"/>
      <c r="C102" s="170"/>
      <c r="D102" s="95"/>
      <c r="E102" s="95"/>
      <c r="F102" s="95"/>
      <c r="G102" s="95"/>
      <c r="H102" s="496" t="s">
        <v>4132</v>
      </c>
      <c r="I102" s="497"/>
      <c r="J102" s="497"/>
      <c r="K102" s="497"/>
      <c r="L102" s="497"/>
      <c r="M102" s="497"/>
      <c r="N102" s="497"/>
      <c r="O102" s="497"/>
      <c r="P102" s="497"/>
      <c r="Q102" s="497"/>
      <c r="R102" s="497"/>
      <c r="S102" s="497"/>
      <c r="T102" s="497"/>
    </row>
    <row r="103" spans="1:21">
      <c r="A103" s="161"/>
      <c r="B103" s="492" t="s">
        <v>4135</v>
      </c>
      <c r="C103" s="170" t="s">
        <v>4098</v>
      </c>
      <c r="D103" s="95"/>
      <c r="E103" s="95"/>
      <c r="F103" s="95"/>
      <c r="G103" s="95"/>
      <c r="H103" s="96">
        <f t="shared" ref="H103:H109" si="50">H87*H95</f>
        <v>280000</v>
      </c>
      <c r="I103" s="96">
        <f t="shared" ref="I103:T103" si="51">I87*I95</f>
        <v>441000</v>
      </c>
      <c r="J103" s="96">
        <f t="shared" si="51"/>
        <v>555660</v>
      </c>
      <c r="K103" s="96">
        <f t="shared" si="51"/>
        <v>648270.00000000012</v>
      </c>
      <c r="L103" s="96">
        <f t="shared" si="51"/>
        <v>680683.50000000012</v>
      </c>
      <c r="M103" s="96">
        <f t="shared" si="51"/>
        <v>714717.67500000005</v>
      </c>
      <c r="N103" s="96">
        <f t="shared" si="51"/>
        <v>750453.5587500002</v>
      </c>
      <c r="O103" s="96">
        <f t="shared" si="51"/>
        <v>787976.23668750026</v>
      </c>
      <c r="P103" s="96">
        <f t="shared" si="51"/>
        <v>827375.04852187529</v>
      </c>
      <c r="Q103" s="96">
        <f t="shared" si="51"/>
        <v>868743.80094796908</v>
      </c>
      <c r="R103" s="96">
        <f t="shared" si="51"/>
        <v>912180.99099536752</v>
      </c>
      <c r="S103" s="96">
        <f t="shared" si="51"/>
        <v>957790.04054513597</v>
      </c>
      <c r="T103" s="96">
        <f t="shared" si="51"/>
        <v>1005679.5425723928</v>
      </c>
    </row>
    <row r="104" spans="1:21" hidden="1">
      <c r="A104" s="161"/>
      <c r="B104" s="493"/>
      <c r="C104" s="170"/>
      <c r="D104" s="95"/>
      <c r="E104" s="95"/>
      <c r="F104" s="95"/>
      <c r="G104" s="95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</row>
    <row r="105" spans="1:21">
      <c r="A105" s="161"/>
      <c r="B105" s="493"/>
      <c r="C105" s="170" t="s">
        <v>4099</v>
      </c>
      <c r="D105" s="95"/>
      <c r="E105" s="95"/>
      <c r="F105" s="95"/>
      <c r="G105" s="95"/>
      <c r="H105" s="96">
        <f t="shared" si="50"/>
        <v>625000</v>
      </c>
      <c r="I105" s="96">
        <f t="shared" ref="I105:T105" si="52">I89*I97</f>
        <v>984375</v>
      </c>
      <c r="J105" s="96">
        <f t="shared" si="52"/>
        <v>1240312.5</v>
      </c>
      <c r="K105" s="96">
        <f t="shared" si="52"/>
        <v>1447031.25</v>
      </c>
      <c r="L105" s="96">
        <f t="shared" si="52"/>
        <v>1519382.8125</v>
      </c>
      <c r="M105" s="96">
        <f t="shared" si="52"/>
        <v>1595351.9531250002</v>
      </c>
      <c r="N105" s="96">
        <f t="shared" si="52"/>
        <v>1675119.5507812502</v>
      </c>
      <c r="O105" s="96">
        <f t="shared" si="52"/>
        <v>1758875.5283203127</v>
      </c>
      <c r="P105" s="96">
        <f t="shared" si="52"/>
        <v>1846819.3047363283</v>
      </c>
      <c r="Q105" s="96">
        <f t="shared" si="52"/>
        <v>1939160.2699731449</v>
      </c>
      <c r="R105" s="96">
        <f t="shared" si="52"/>
        <v>2036118.2834718022</v>
      </c>
      <c r="S105" s="96">
        <f t="shared" si="52"/>
        <v>2137924.1976453923</v>
      </c>
      <c r="T105" s="96">
        <f t="shared" si="52"/>
        <v>2244820.4075276623</v>
      </c>
    </row>
    <row r="106" spans="1:21">
      <c r="A106" s="161"/>
      <c r="B106" s="493"/>
      <c r="C106" s="170" t="s">
        <v>4182</v>
      </c>
      <c r="D106" s="95"/>
      <c r="E106" s="95"/>
      <c r="F106" s="95"/>
      <c r="G106" s="95"/>
      <c r="H106" s="390">
        <f t="shared" si="50"/>
        <v>720000</v>
      </c>
      <c r="I106" s="96">
        <f t="shared" ref="I106:T106" si="53">I90*I98</f>
        <v>1158840</v>
      </c>
      <c r="J106" s="96">
        <f t="shared" si="53"/>
        <v>1492122.3839999998</v>
      </c>
      <c r="K106" s="96">
        <f t="shared" si="53"/>
        <v>1778941.4644799998</v>
      </c>
      <c r="L106" s="96">
        <f t="shared" si="53"/>
        <v>1908804.1913870398</v>
      </c>
      <c r="M106" s="96">
        <f t="shared" si="53"/>
        <v>2048146.8973582936</v>
      </c>
      <c r="N106" s="96">
        <f t="shared" si="53"/>
        <v>2197661.6208654493</v>
      </c>
      <c r="O106" s="96">
        <f t="shared" si="53"/>
        <v>2358090.9191886266</v>
      </c>
      <c r="P106" s="96">
        <f t="shared" si="53"/>
        <v>2530231.5562893962</v>
      </c>
      <c r="Q106" s="96">
        <f t="shared" si="53"/>
        <v>2714938.4598985221</v>
      </c>
      <c r="R106" s="96">
        <f t="shared" si="53"/>
        <v>2913128.9674711144</v>
      </c>
      <c r="S106" s="96">
        <f t="shared" si="53"/>
        <v>3125787.3820965057</v>
      </c>
      <c r="T106" s="96">
        <f t="shared" si="53"/>
        <v>3353969.8609895506</v>
      </c>
    </row>
    <row r="107" spans="1:21">
      <c r="A107" s="161"/>
      <c r="B107" s="493"/>
      <c r="C107" s="170" t="s">
        <v>4100</v>
      </c>
      <c r="D107" s="95"/>
      <c r="E107" s="95"/>
      <c r="F107" s="95"/>
      <c r="G107" s="95"/>
      <c r="H107" s="390">
        <f t="shared" si="50"/>
        <v>120000</v>
      </c>
      <c r="I107" s="96">
        <f t="shared" ref="I107:T107" si="54">I91*I99</f>
        <v>189000</v>
      </c>
      <c r="J107" s="96">
        <f t="shared" si="54"/>
        <v>238140.00000000003</v>
      </c>
      <c r="K107" s="96">
        <f t="shared" si="54"/>
        <v>277830.00000000006</v>
      </c>
      <c r="L107" s="96">
        <f t="shared" si="54"/>
        <v>291721.50000000006</v>
      </c>
      <c r="M107" s="96">
        <f t="shared" si="54"/>
        <v>306307.57500000007</v>
      </c>
      <c r="N107" s="96">
        <f t="shared" si="54"/>
        <v>321622.9537500001</v>
      </c>
      <c r="O107" s="96">
        <f t="shared" si="54"/>
        <v>337704.1014375001</v>
      </c>
      <c r="P107" s="96">
        <f t="shared" si="54"/>
        <v>354589.30650937511</v>
      </c>
      <c r="Q107" s="96">
        <f t="shared" si="54"/>
        <v>372318.77183484385</v>
      </c>
      <c r="R107" s="96">
        <f t="shared" si="54"/>
        <v>390934.7104265861</v>
      </c>
      <c r="S107" s="96">
        <f t="shared" si="54"/>
        <v>410481.44594791543</v>
      </c>
      <c r="T107" s="96">
        <f t="shared" si="54"/>
        <v>431005.51824531116</v>
      </c>
    </row>
    <row r="108" spans="1:21" hidden="1">
      <c r="A108" s="161"/>
      <c r="B108" s="498"/>
      <c r="C108" s="170"/>
      <c r="D108" s="95"/>
      <c r="E108" s="95"/>
      <c r="F108" s="95"/>
      <c r="G108" s="95"/>
      <c r="H108" s="390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</row>
    <row r="109" spans="1:21" ht="25.5">
      <c r="B109" s="495"/>
      <c r="C109" s="170" t="s">
        <v>4138</v>
      </c>
      <c r="D109" s="95"/>
      <c r="E109" s="95"/>
      <c r="F109" s="95"/>
      <c r="G109" s="95"/>
      <c r="H109" s="390">
        <f t="shared" si="50"/>
        <v>192375</v>
      </c>
      <c r="I109" s="96">
        <f t="shared" ref="I109:T109" si="55">I93*I101</f>
        <v>309627.5625</v>
      </c>
      <c r="J109" s="96">
        <f t="shared" si="55"/>
        <v>398676.44947499991</v>
      </c>
      <c r="K109" s="96">
        <f t="shared" si="55"/>
        <v>475310.92254074989</v>
      </c>
      <c r="L109" s="96">
        <f t="shared" si="55"/>
        <v>510008.61988622462</v>
      </c>
      <c r="M109" s="96">
        <f t="shared" si="55"/>
        <v>547239.24913791893</v>
      </c>
      <c r="N109" s="96">
        <f t="shared" si="55"/>
        <v>587187.71432498703</v>
      </c>
      <c r="O109" s="96">
        <f t="shared" si="55"/>
        <v>630052.41747071117</v>
      </c>
      <c r="P109" s="96">
        <f t="shared" si="55"/>
        <v>676046.24394607299</v>
      </c>
      <c r="Q109" s="96">
        <f t="shared" si="55"/>
        <v>725397.61975413631</v>
      </c>
      <c r="R109" s="96">
        <f t="shared" si="55"/>
        <v>778351.64599618828</v>
      </c>
      <c r="S109" s="96">
        <f t="shared" si="55"/>
        <v>835171.31615391001</v>
      </c>
      <c r="T109" s="96">
        <f t="shared" si="55"/>
        <v>896138.82223314536</v>
      </c>
    </row>
    <row r="111" spans="1:21">
      <c r="C111" s="114" t="s">
        <v>4171</v>
      </c>
    </row>
    <row r="112" spans="1:21" s="114" customFormat="1" ht="25.5">
      <c r="C112" s="412" t="s">
        <v>4185</v>
      </c>
      <c r="D112" s="415"/>
      <c r="E112" s="231"/>
      <c r="F112" s="231"/>
      <c r="G112" s="416"/>
      <c r="H112" s="413">
        <f>H61+H83+H109</f>
        <v>2467125</v>
      </c>
      <c r="I112" s="413">
        <f t="shared" ref="I112:T112" si="56">I61+I83+I109</f>
        <v>3970837.6874999995</v>
      </c>
      <c r="J112" s="413">
        <f t="shared" si="56"/>
        <v>5112850.6064249994</v>
      </c>
      <c r="K112" s="413">
        <f t="shared" si="56"/>
        <v>6095654.1118822489</v>
      </c>
      <c r="L112" s="413">
        <f t="shared" si="56"/>
        <v>6540636.8620496523</v>
      </c>
      <c r="M112" s="413">
        <f t="shared" si="56"/>
        <v>7018103.3529792763</v>
      </c>
      <c r="N112" s="413">
        <f t="shared" si="56"/>
        <v>7530424.8977467641</v>
      </c>
      <c r="O112" s="413">
        <f t="shared" si="56"/>
        <v>8080145.9152822774</v>
      </c>
      <c r="P112" s="413">
        <f t="shared" si="56"/>
        <v>8669996.5670978837</v>
      </c>
      <c r="Q112" s="413">
        <f t="shared" si="56"/>
        <v>9302906.3164960276</v>
      </c>
      <c r="R112" s="413">
        <f t="shared" si="56"/>
        <v>9982018.4776002392</v>
      </c>
      <c r="S112" s="413">
        <f t="shared" si="56"/>
        <v>10710705.826465057</v>
      </c>
      <c r="T112" s="413">
        <f t="shared" si="56"/>
        <v>11492587.351797005</v>
      </c>
    </row>
    <row r="113" spans="3:20" s="114" customFormat="1">
      <c r="C113" s="412" t="s">
        <v>4172</v>
      </c>
      <c r="D113" s="417"/>
      <c r="E113" s="414"/>
      <c r="F113" s="414"/>
      <c r="G113" s="418"/>
      <c r="H113" s="413">
        <f>H63+H64+H80+H82+H103+H104+H105+H107</f>
        <v>4907500</v>
      </c>
      <c r="I113" s="232">
        <f>I63+I64+I80+I82+I103+I104+I105+I107</f>
        <v>7800187.5</v>
      </c>
      <c r="J113" s="232">
        <f t="shared" ref="J113:T113" si="57">J63+J64+J80+J82+J103+J104+J105+J107</f>
        <v>9828236.25</v>
      </c>
      <c r="K113" s="232">
        <f t="shared" si="57"/>
        <v>11466275.625</v>
      </c>
      <c r="L113" s="232">
        <f t="shared" si="57"/>
        <v>12039589.40625</v>
      </c>
      <c r="M113" s="232">
        <f t="shared" si="57"/>
        <v>12641568.876562502</v>
      </c>
      <c r="N113" s="232">
        <f t="shared" si="57"/>
        <v>13273647.320390625</v>
      </c>
      <c r="O113" s="232">
        <f t="shared" si="57"/>
        <v>13937329.686410157</v>
      </c>
      <c r="P113" s="232">
        <f t="shared" si="57"/>
        <v>14634196.170730665</v>
      </c>
      <c r="Q113" s="232">
        <f t="shared" si="57"/>
        <v>15365905.979267204</v>
      </c>
      <c r="R113" s="232">
        <f t="shared" si="57"/>
        <v>16134201.278230561</v>
      </c>
      <c r="S113" s="232">
        <f t="shared" si="57"/>
        <v>16940911.34214209</v>
      </c>
      <c r="T113" s="232">
        <f t="shared" si="57"/>
        <v>17787956.909249194</v>
      </c>
    </row>
    <row r="114" spans="3:20" ht="25.5">
      <c r="C114" s="412" t="s">
        <v>4184</v>
      </c>
      <c r="D114" s="419"/>
      <c r="E114" s="420"/>
      <c r="F114" s="420"/>
      <c r="G114" s="421"/>
      <c r="H114" s="413">
        <f>H62+H81+H106</f>
        <v>3330000</v>
      </c>
      <c r="I114" s="413">
        <f t="shared" ref="I114:T114" si="58">I62+I81+I106</f>
        <v>5359635</v>
      </c>
      <c r="J114" s="413">
        <f t="shared" si="58"/>
        <v>6901066.0259999987</v>
      </c>
      <c r="K114" s="413">
        <f t="shared" si="58"/>
        <v>8227604.2732199989</v>
      </c>
      <c r="L114" s="413">
        <f t="shared" si="58"/>
        <v>8828219.3851650599</v>
      </c>
      <c r="M114" s="413">
        <f t="shared" si="58"/>
        <v>9472679.4002821073</v>
      </c>
      <c r="N114" s="413">
        <f t="shared" si="58"/>
        <v>10164184.996502701</v>
      </c>
      <c r="O114" s="413">
        <f t="shared" si="58"/>
        <v>10906170.501247399</v>
      </c>
      <c r="P114" s="413">
        <f t="shared" si="58"/>
        <v>11702320.947838459</v>
      </c>
      <c r="Q114" s="413">
        <f t="shared" si="58"/>
        <v>12556590.377030665</v>
      </c>
      <c r="R114" s="413">
        <f t="shared" si="58"/>
        <v>13473221.474553905</v>
      </c>
      <c r="S114" s="413">
        <f t="shared" si="58"/>
        <v>14456766.642196339</v>
      </c>
      <c r="T114" s="413">
        <f t="shared" si="58"/>
        <v>15512110.607076669</v>
      </c>
    </row>
  </sheetData>
  <mergeCells count="51">
    <mergeCell ref="H79:T79"/>
    <mergeCell ref="H86:T86"/>
    <mergeCell ref="H94:T94"/>
    <mergeCell ref="H102:T102"/>
    <mergeCell ref="B87:B94"/>
    <mergeCell ref="B95:B102"/>
    <mergeCell ref="B80:B83"/>
    <mergeCell ref="H50:T50"/>
    <mergeCell ref="H55:T55"/>
    <mergeCell ref="H60:T60"/>
    <mergeCell ref="H67:T67"/>
    <mergeCell ref="H73:T73"/>
    <mergeCell ref="B11:C11"/>
    <mergeCell ref="B1:C1"/>
    <mergeCell ref="V11:X1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30:B30"/>
    <mergeCell ref="A31:B31"/>
    <mergeCell ref="A32:B32"/>
    <mergeCell ref="B24:C24"/>
    <mergeCell ref="B25:C25"/>
    <mergeCell ref="B26:C26"/>
    <mergeCell ref="B27:C27"/>
    <mergeCell ref="B28:C28"/>
    <mergeCell ref="B29:C29"/>
    <mergeCell ref="B103:B109"/>
    <mergeCell ref="B51:B54"/>
    <mergeCell ref="B56:B59"/>
    <mergeCell ref="B61:B64"/>
    <mergeCell ref="B68:B71"/>
    <mergeCell ref="B74:B77"/>
  </mergeCells>
  <phoneticPr fontId="48" type="noConversion"/>
  <pageMargins left="0" right="0" top="0" bottom="0" header="0" footer="0"/>
  <pageSetup paperSize="0" orientation="portrait" horizontalDpi="300" verticalDpi="300"/>
  <rowBreaks count="32" manualBreakCount="32">
    <brk id="1" max="16383" man="1"/>
    <brk id="2" max="16383" man="1"/>
    <brk id="3" max="16383" man="1"/>
    <brk id="4" max="16383" man="1"/>
    <brk id="5" max="16383" man="1"/>
    <brk id="6" max="16383" man="1"/>
    <brk id="7" max="16383" man="1"/>
    <brk id="8" max="16383" man="1"/>
    <brk id="9" max="16383" man="1"/>
    <brk id="10" max="16383" man="1"/>
    <brk id="11" max="16383" man="1"/>
    <brk id="12" max="16383" man="1"/>
    <brk id="13" max="16383" man="1"/>
    <brk id="14" max="16383" man="1"/>
    <brk id="15" max="16383" man="1"/>
    <brk id="16" max="16383" man="1"/>
    <brk id="17" max="16383" man="1"/>
    <brk id="18" max="16383" man="1"/>
    <brk id="19" max="16383" man="1"/>
    <brk id="20" max="16383" man="1"/>
    <brk id="21" max="16383" man="1"/>
    <brk id="22" max="16383" man="1"/>
    <brk id="23" max="16383" man="1"/>
    <brk id="24" max="16383" man="1"/>
    <brk id="25" max="16383" man="1"/>
    <brk id="26" max="16383" man="1"/>
    <brk id="27" max="16383" man="1"/>
    <brk id="28" max="16383" man="1"/>
    <brk id="29" max="16383" man="1"/>
    <brk id="30" max="16383" man="1"/>
    <brk id="31" max="16383" man="1"/>
    <brk id="3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2:S36"/>
  <sheetViews>
    <sheetView showGridLines="0" zoomScaleNormal="100" workbookViewId="0">
      <selection activeCell="K23" sqref="K23"/>
    </sheetView>
  </sheetViews>
  <sheetFormatPr defaultColWidth="8.85546875" defaultRowHeight="12.75"/>
  <cols>
    <col min="1" max="1" width="27.28515625" style="118" bestFit="1" customWidth="1"/>
    <col min="2" max="2" width="11.28515625" style="118" customWidth="1"/>
    <col min="3" max="3" width="14" style="118" bestFit="1" customWidth="1"/>
    <col min="4" max="4" width="8.42578125" style="118" customWidth="1"/>
    <col min="5" max="5" width="8.28515625" style="118" customWidth="1"/>
    <col min="6" max="6" width="7.7109375" style="118" customWidth="1"/>
    <col min="7" max="7" width="12.140625" style="118" customWidth="1"/>
    <col min="8" max="8" width="11.42578125" style="118" customWidth="1"/>
    <col min="9" max="9" width="12" style="118" bestFit="1" customWidth="1"/>
    <col min="10" max="10" width="14.42578125" style="118" customWidth="1"/>
    <col min="11" max="11" width="14.42578125" style="118" bestFit="1" customWidth="1"/>
    <col min="12" max="12" width="12" style="118" bestFit="1" customWidth="1"/>
    <col min="13" max="13" width="13.7109375" style="118" customWidth="1"/>
    <col min="14" max="15" width="12" style="118" bestFit="1" customWidth="1"/>
    <col min="16" max="16" width="19.7109375" style="118" bestFit="1" customWidth="1"/>
    <col min="17" max="17" width="16" style="118" bestFit="1" customWidth="1"/>
    <col min="18" max="18" width="18.7109375" style="118" customWidth="1"/>
    <col min="19" max="19" width="16" style="118" bestFit="1" customWidth="1"/>
    <col min="20" max="16384" width="8.85546875" style="118"/>
  </cols>
  <sheetData>
    <row r="2" spans="1:19">
      <c r="A2" s="235" t="s">
        <v>4146</v>
      </c>
    </row>
    <row r="3" spans="1:19" ht="75.75" customHeight="1">
      <c r="A3" s="585" t="s">
        <v>4102</v>
      </c>
      <c r="B3" s="587" t="s">
        <v>4103</v>
      </c>
      <c r="C3" s="587" t="s">
        <v>4104</v>
      </c>
      <c r="D3" s="589" t="s">
        <v>4105</v>
      </c>
      <c r="E3" s="590"/>
      <c r="F3" s="590"/>
      <c r="G3" s="591"/>
      <c r="H3" s="575">
        <v>2021</v>
      </c>
      <c r="I3" s="575"/>
      <c r="J3" s="575"/>
      <c r="K3" s="575"/>
      <c r="L3" s="575">
        <v>2022</v>
      </c>
      <c r="M3" s="575"/>
      <c r="N3" s="575"/>
      <c r="O3" s="575"/>
      <c r="P3" s="575">
        <v>2023</v>
      </c>
      <c r="Q3" s="575"/>
      <c r="R3" s="575"/>
      <c r="S3" s="575"/>
    </row>
    <row r="4" spans="1:19" ht="45.95" customHeight="1">
      <c r="A4" s="586"/>
      <c r="B4" s="588"/>
      <c r="C4" s="588"/>
      <c r="D4" s="236">
        <v>2020</v>
      </c>
      <c r="E4" s="236">
        <v>2021</v>
      </c>
      <c r="F4" s="236">
        <v>2022</v>
      </c>
      <c r="G4" s="236">
        <v>2023</v>
      </c>
      <c r="H4" s="237" t="s">
        <v>4106</v>
      </c>
      <c r="I4" s="237" t="s">
        <v>4107</v>
      </c>
      <c r="J4" s="237" t="s">
        <v>4108</v>
      </c>
      <c r="K4" s="237" t="s">
        <v>4109</v>
      </c>
      <c r="L4" s="237" t="s">
        <v>4106</v>
      </c>
      <c r="M4" s="237" t="s">
        <v>4107</v>
      </c>
      <c r="N4" s="237" t="s">
        <v>4108</v>
      </c>
      <c r="O4" s="237" t="s">
        <v>4109</v>
      </c>
      <c r="P4" s="237" t="s">
        <v>4106</v>
      </c>
      <c r="Q4" s="237" t="s">
        <v>4107</v>
      </c>
      <c r="R4" s="237" t="s">
        <v>4108</v>
      </c>
      <c r="S4" s="237" t="s">
        <v>4109</v>
      </c>
    </row>
    <row r="5" spans="1:19" hidden="1">
      <c r="A5" s="576" t="s">
        <v>4110</v>
      </c>
      <c r="B5" s="579" t="s">
        <v>4111</v>
      </c>
      <c r="C5" s="582">
        <f>SUM(D5:G6)</f>
        <v>3.4000000000000004</v>
      </c>
      <c r="D5" s="582">
        <v>0</v>
      </c>
      <c r="E5" s="582">
        <f>SUM(H5:K5)</f>
        <v>0.1</v>
      </c>
      <c r="F5" s="582">
        <f>SUM(L5:O5)</f>
        <v>1.35</v>
      </c>
      <c r="G5" s="582">
        <f>SUM(P5:S5)</f>
        <v>1.95</v>
      </c>
      <c r="H5" s="238" t="s">
        <v>4112</v>
      </c>
      <c r="I5" s="239" t="s">
        <v>4112</v>
      </c>
      <c r="J5" s="239" t="s">
        <v>4112</v>
      </c>
      <c r="K5" s="238">
        <v>0.1</v>
      </c>
      <c r="L5" s="238">
        <v>0.35</v>
      </c>
      <c r="M5" s="238">
        <f>1</f>
        <v>1</v>
      </c>
      <c r="N5" s="238">
        <v>0</v>
      </c>
      <c r="O5" s="238">
        <v>0</v>
      </c>
      <c r="P5" s="238">
        <v>0.65</v>
      </c>
      <c r="Q5" s="238">
        <v>0.3</v>
      </c>
      <c r="R5" s="238">
        <v>1</v>
      </c>
      <c r="S5" s="240"/>
    </row>
    <row r="6" spans="1:19" ht="15" hidden="1" customHeight="1">
      <c r="A6" s="577"/>
      <c r="B6" s="580"/>
      <c r="C6" s="583"/>
      <c r="D6" s="583"/>
      <c r="E6" s="583"/>
      <c r="F6" s="583"/>
      <c r="G6" s="583"/>
      <c r="H6" s="241" t="s">
        <v>4112</v>
      </c>
      <c r="I6" s="242" t="s">
        <v>4112</v>
      </c>
      <c r="J6" s="242" t="s">
        <v>4112</v>
      </c>
      <c r="K6" s="243" t="s">
        <v>4113</v>
      </c>
      <c r="L6" s="564" t="s">
        <v>4155</v>
      </c>
      <c r="M6" s="565"/>
      <c r="N6" s="564" t="s">
        <v>4173</v>
      </c>
      <c r="O6" s="584"/>
      <c r="P6" s="243" t="s">
        <v>4156</v>
      </c>
      <c r="Q6" s="564" t="s">
        <v>4145</v>
      </c>
      <c r="R6" s="565"/>
      <c r="S6" s="240"/>
    </row>
    <row r="7" spans="1:19" hidden="1">
      <c r="A7" s="578"/>
      <c r="B7" s="581"/>
      <c r="C7" s="550" t="s">
        <v>4114</v>
      </c>
      <c r="D7" s="551"/>
      <c r="E7" s="551"/>
      <c r="F7" s="551"/>
      <c r="G7" s="552"/>
      <c r="H7" s="241" t="s">
        <v>4112</v>
      </c>
      <c r="I7" s="242" t="s">
        <v>4112</v>
      </c>
      <c r="J7" s="240" t="s">
        <v>4112</v>
      </c>
      <c r="K7" s="244"/>
      <c r="L7" s="244"/>
      <c r="M7" s="244"/>
      <c r="N7" s="244"/>
      <c r="O7" s="245">
        <v>0.5</v>
      </c>
      <c r="P7" s="244"/>
      <c r="Q7" s="245">
        <v>1</v>
      </c>
      <c r="R7" s="244"/>
      <c r="S7" s="244"/>
    </row>
    <row r="8" spans="1:19" ht="15" customHeight="1">
      <c r="A8" s="566" t="s">
        <v>4196</v>
      </c>
      <c r="B8" s="569" t="s">
        <v>4116</v>
      </c>
      <c r="C8" s="556">
        <f t="shared" ref="C8" si="0">SUM(D8:G9)</f>
        <v>5.1920000000000002</v>
      </c>
      <c r="D8" s="553">
        <v>0</v>
      </c>
      <c r="E8" s="553">
        <f>H8+I8+J8+K8</f>
        <v>0.69200000000000006</v>
      </c>
      <c r="F8" s="553">
        <f>L8+M8+N8+O8</f>
        <v>2.2999999999999998</v>
      </c>
      <c r="G8" s="553">
        <f>P8+Q8+R8+S8</f>
        <v>2.2000000000000002</v>
      </c>
      <c r="H8" s="246"/>
      <c r="I8" s="247"/>
      <c r="J8" s="405"/>
      <c r="K8" s="405">
        <f>0.042+0.65</f>
        <v>0.69200000000000006</v>
      </c>
      <c r="L8" s="405">
        <v>1</v>
      </c>
      <c r="M8" s="405">
        <v>1.3</v>
      </c>
      <c r="N8" s="405"/>
      <c r="O8" s="405"/>
      <c r="P8" s="405">
        <v>1.1000000000000001</v>
      </c>
      <c r="Q8" s="405">
        <v>1.1000000000000001</v>
      </c>
      <c r="R8" s="247"/>
      <c r="S8" s="248"/>
    </row>
    <row r="9" spans="1:19" ht="57.95" customHeight="1">
      <c r="A9" s="567"/>
      <c r="B9" s="570"/>
      <c r="C9" s="549"/>
      <c r="D9" s="554"/>
      <c r="E9" s="554"/>
      <c r="F9" s="554"/>
      <c r="G9" s="554"/>
      <c r="H9" s="249"/>
      <c r="I9" s="250"/>
      <c r="J9" s="251"/>
      <c r="K9" s="251" t="s">
        <v>4191</v>
      </c>
      <c r="L9" s="252" t="s">
        <v>4118</v>
      </c>
      <c r="M9" s="253" t="s">
        <v>4145</v>
      </c>
      <c r="N9" s="560"/>
      <c r="O9" s="561"/>
      <c r="P9" s="558" t="s">
        <v>4119</v>
      </c>
      <c r="Q9" s="559"/>
      <c r="R9" s="248"/>
      <c r="S9" s="248"/>
    </row>
    <row r="10" spans="1:19" ht="20.100000000000001" hidden="1" customHeight="1">
      <c r="A10" s="568"/>
      <c r="B10" s="571"/>
      <c r="C10" s="572" t="s">
        <v>4114</v>
      </c>
      <c r="D10" s="573"/>
      <c r="E10" s="573"/>
      <c r="F10" s="573"/>
      <c r="G10" s="574"/>
      <c r="H10" s="249"/>
      <c r="I10" s="251"/>
      <c r="J10" s="251"/>
      <c r="K10" s="252"/>
      <c r="L10" s="252"/>
      <c r="M10" s="252"/>
      <c r="N10" s="254">
        <v>0.5</v>
      </c>
      <c r="O10" s="254"/>
      <c r="P10" s="254"/>
      <c r="Q10" s="254">
        <v>1</v>
      </c>
      <c r="R10" s="252"/>
      <c r="S10" s="248"/>
    </row>
    <row r="11" spans="1:19" ht="15" customHeight="1">
      <c r="A11" s="540" t="s">
        <v>4197</v>
      </c>
      <c r="B11" s="543" t="s">
        <v>4116</v>
      </c>
      <c r="C11" s="546">
        <f>SUM(D11:G12)</f>
        <v>2.3920000000000003</v>
      </c>
      <c r="D11" s="546">
        <v>0</v>
      </c>
      <c r="E11" s="546">
        <f>K11</f>
        <v>4.2000000000000003E-2</v>
      </c>
      <c r="F11" s="546">
        <f>N11+O11</f>
        <v>0.65</v>
      </c>
      <c r="G11" s="546">
        <f>P11+Q11</f>
        <v>1.7000000000000002</v>
      </c>
      <c r="H11" s="255"/>
      <c r="I11" s="255"/>
      <c r="J11" s="255"/>
      <c r="K11" s="406">
        <v>4.2000000000000003E-2</v>
      </c>
      <c r="L11" s="406"/>
      <c r="M11" s="406"/>
      <c r="N11" s="406">
        <v>0.15</v>
      </c>
      <c r="O11" s="406">
        <v>0.5</v>
      </c>
      <c r="P11" s="406">
        <v>1.1000000000000001</v>
      </c>
      <c r="Q11" s="405">
        <v>0.6</v>
      </c>
      <c r="R11" s="256"/>
      <c r="S11" s="256"/>
    </row>
    <row r="12" spans="1:19" ht="38.1" customHeight="1">
      <c r="A12" s="541"/>
      <c r="B12" s="544"/>
      <c r="C12" s="557"/>
      <c r="D12" s="547"/>
      <c r="E12" s="547"/>
      <c r="F12" s="547"/>
      <c r="G12" s="547"/>
      <c r="H12" s="257"/>
      <c r="I12" s="257"/>
      <c r="J12" s="257"/>
      <c r="K12" s="258" t="s">
        <v>4117</v>
      </c>
      <c r="L12" s="555"/>
      <c r="M12" s="555"/>
      <c r="N12" s="562" t="s">
        <v>4152</v>
      </c>
      <c r="O12" s="563"/>
      <c r="P12" s="562" t="s">
        <v>4119</v>
      </c>
      <c r="Q12" s="563"/>
      <c r="R12" s="256"/>
      <c r="S12" s="256"/>
    </row>
    <row r="13" spans="1:19" hidden="1">
      <c r="A13" s="542"/>
      <c r="B13" s="545"/>
      <c r="C13" s="531" t="s">
        <v>4114</v>
      </c>
      <c r="D13" s="532"/>
      <c r="E13" s="532"/>
      <c r="F13" s="532"/>
      <c r="G13" s="533"/>
      <c r="H13" s="257"/>
      <c r="I13" s="257"/>
      <c r="J13" s="257"/>
      <c r="K13" s="258"/>
      <c r="L13" s="256"/>
      <c r="M13" s="254">
        <v>0.5</v>
      </c>
      <c r="N13" s="245"/>
      <c r="O13" s="245"/>
      <c r="P13" s="245">
        <v>1</v>
      </c>
      <c r="Q13" s="256"/>
      <c r="R13" s="256"/>
      <c r="S13" s="256"/>
    </row>
    <row r="14" spans="1:19" ht="15" customHeight="1">
      <c r="A14" s="534" t="s">
        <v>4198</v>
      </c>
      <c r="B14" s="536" t="s">
        <v>4116</v>
      </c>
      <c r="C14" s="548">
        <f>SUM(D14:G15)</f>
        <v>7.1920000000000002</v>
      </c>
      <c r="D14" s="538">
        <v>0</v>
      </c>
      <c r="E14" s="538">
        <f>K14</f>
        <v>4.2000000000000003E-2</v>
      </c>
      <c r="F14" s="538">
        <f>L14+M14+N14+O14</f>
        <v>2.15</v>
      </c>
      <c r="G14" s="538">
        <f>P14+Q14+R14</f>
        <v>5</v>
      </c>
      <c r="H14" s="238"/>
      <c r="I14" s="238"/>
      <c r="J14" s="238"/>
      <c r="K14" s="407">
        <v>4.2000000000000003E-2</v>
      </c>
      <c r="L14" s="407">
        <v>0.4</v>
      </c>
      <c r="M14" s="407">
        <v>1.1000000000000001</v>
      </c>
      <c r="N14" s="407">
        <v>0.15</v>
      </c>
      <c r="O14" s="407">
        <v>0.5</v>
      </c>
      <c r="P14" s="407">
        <v>1.7</v>
      </c>
      <c r="Q14" s="407">
        <v>1.1000000000000001</v>
      </c>
      <c r="R14" s="407">
        <v>2.2000000000000002</v>
      </c>
      <c r="S14" s="259"/>
    </row>
    <row r="15" spans="1:19" ht="45" customHeight="1">
      <c r="A15" s="534"/>
      <c r="B15" s="536"/>
      <c r="C15" s="549"/>
      <c r="D15" s="539"/>
      <c r="E15" s="539"/>
      <c r="F15" s="539"/>
      <c r="G15" s="539"/>
      <c r="H15" s="260"/>
      <c r="I15" s="260"/>
      <c r="J15" s="260"/>
      <c r="K15" s="261" t="s">
        <v>4117</v>
      </c>
      <c r="L15" s="527" t="s">
        <v>4151</v>
      </c>
      <c r="M15" s="527"/>
      <c r="N15" s="527" t="s">
        <v>4152</v>
      </c>
      <c r="O15" s="527"/>
      <c r="P15" s="262" t="s">
        <v>4153</v>
      </c>
      <c r="Q15" s="262" t="s">
        <v>4154</v>
      </c>
      <c r="R15" s="262" t="s">
        <v>4121</v>
      </c>
      <c r="S15" s="259"/>
    </row>
    <row r="16" spans="1:19" hidden="1">
      <c r="A16" s="535"/>
      <c r="B16" s="537"/>
      <c r="C16" s="528" t="s">
        <v>4114</v>
      </c>
      <c r="D16" s="529"/>
      <c r="E16" s="529"/>
      <c r="F16" s="529"/>
      <c r="G16" s="530"/>
      <c r="H16" s="263"/>
      <c r="I16" s="263"/>
      <c r="J16" s="263"/>
      <c r="K16" s="264"/>
      <c r="L16" s="264"/>
      <c r="M16" s="265"/>
      <c r="N16" s="265"/>
      <c r="O16" s="265"/>
      <c r="P16" s="266">
        <v>1</v>
      </c>
      <c r="Q16" s="265"/>
      <c r="R16" s="265"/>
      <c r="S16" s="265"/>
    </row>
    <row r="17" spans="1:19" s="268" customFormat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</row>
    <row r="18" spans="1:19">
      <c r="B18" s="271" t="s">
        <v>4136</v>
      </c>
      <c r="C18" s="410">
        <f>C8+C11+C14</f>
        <v>14.776</v>
      </c>
      <c r="D18" s="410">
        <f>D8+D11+D14</f>
        <v>0</v>
      </c>
      <c r="E18" s="410">
        <f t="shared" ref="E18:G18" si="1">E8+E11+E14</f>
        <v>0.77600000000000013</v>
      </c>
      <c r="F18" s="410">
        <f t="shared" si="1"/>
        <v>5.0999999999999996</v>
      </c>
      <c r="G18" s="410">
        <f t="shared" si="1"/>
        <v>8.9</v>
      </c>
      <c r="J18" s="269"/>
      <c r="K18" s="269"/>
      <c r="L18" s="269"/>
      <c r="M18" s="269"/>
      <c r="N18" s="269"/>
      <c r="O18" s="269"/>
      <c r="P18" s="269"/>
      <c r="Q18" s="269"/>
    </row>
    <row r="19" spans="1:19">
      <c r="K19" s="269"/>
      <c r="O19" s="269"/>
      <c r="S19" s="269"/>
    </row>
    <row r="20" spans="1:19">
      <c r="B20" s="272" t="s">
        <v>1070</v>
      </c>
      <c r="C20" s="408">
        <f>C18*70%</f>
        <v>10.3432</v>
      </c>
      <c r="D20" s="409"/>
      <c r="E20" s="409">
        <f>E18*70%</f>
        <v>0.54320000000000002</v>
      </c>
      <c r="F20" s="409">
        <f t="shared" ref="F20:G20" si="2">F18*70%</f>
        <v>3.5699999999999994</v>
      </c>
      <c r="G20" s="409">
        <f t="shared" si="2"/>
        <v>6.2299999999999995</v>
      </c>
    </row>
    <row r="21" spans="1:19" ht="25.5">
      <c r="B21" s="272" t="s">
        <v>4077</v>
      </c>
      <c r="C21" s="408">
        <f>C18*30%</f>
        <v>4.4327999999999994</v>
      </c>
      <c r="D21" s="409"/>
      <c r="E21" s="409">
        <f>E18-E20</f>
        <v>0.23280000000000012</v>
      </c>
      <c r="F21" s="409">
        <f t="shared" ref="F21:G21" si="3">F18-F20</f>
        <v>1.5300000000000002</v>
      </c>
      <c r="G21" s="409">
        <f t="shared" si="3"/>
        <v>2.6700000000000008</v>
      </c>
      <c r="K21" s="448" t="s">
        <v>4200</v>
      </c>
    </row>
    <row r="22" spans="1:19">
      <c r="K22" s="447">
        <f>K11*1000000</f>
        <v>42000</v>
      </c>
      <c r="L22" s="447">
        <f t="shared" ref="L22:Q22" si="4">L11*1000000</f>
        <v>0</v>
      </c>
      <c r="M22" s="447">
        <f t="shared" si="4"/>
        <v>0</v>
      </c>
      <c r="N22" s="447">
        <f t="shared" si="4"/>
        <v>150000</v>
      </c>
      <c r="O22" s="447">
        <f t="shared" si="4"/>
        <v>500000</v>
      </c>
      <c r="P22" s="447">
        <f t="shared" si="4"/>
        <v>1100000</v>
      </c>
      <c r="Q22" s="447">
        <f t="shared" si="4"/>
        <v>600000</v>
      </c>
      <c r="R22" s="447"/>
      <c r="S22" s="447">
        <f>SUM(K22:R22)</f>
        <v>2392000</v>
      </c>
    </row>
    <row r="23" spans="1:19">
      <c r="K23" s="447"/>
      <c r="L23" s="447"/>
      <c r="M23" s="447"/>
      <c r="N23" s="447"/>
      <c r="O23" s="447"/>
      <c r="P23" s="447"/>
      <c r="Q23" s="447"/>
      <c r="R23" s="447"/>
      <c r="S23" s="447"/>
    </row>
    <row r="24" spans="1:19">
      <c r="K24" s="447"/>
      <c r="L24" s="447"/>
      <c r="M24" s="447"/>
      <c r="N24" s="447"/>
      <c r="O24" s="447"/>
      <c r="P24" s="447"/>
      <c r="Q24" s="447"/>
      <c r="R24" s="447"/>
      <c r="S24" s="447"/>
    </row>
    <row r="25" spans="1:19">
      <c r="K25" s="447">
        <f>1.23*K22</f>
        <v>51660</v>
      </c>
      <c r="L25" s="447">
        <f t="shared" ref="L25:Q25" si="5">1.23*L22</f>
        <v>0</v>
      </c>
      <c r="M25" s="447">
        <f t="shared" si="5"/>
        <v>0</v>
      </c>
      <c r="N25" s="447">
        <f t="shared" si="5"/>
        <v>184500</v>
      </c>
      <c r="O25" s="447">
        <f t="shared" si="5"/>
        <v>615000</v>
      </c>
      <c r="P25" s="447">
        <f t="shared" si="5"/>
        <v>1353000</v>
      </c>
      <c r="Q25" s="447">
        <f t="shared" si="5"/>
        <v>738000</v>
      </c>
      <c r="R25" s="447"/>
      <c r="S25" s="447">
        <f>SUM(K25:R25)</f>
        <v>2942160</v>
      </c>
    </row>
    <row r="26" spans="1:19">
      <c r="K26" s="447"/>
      <c r="L26" s="447"/>
      <c r="M26" s="447"/>
      <c r="N26" s="447"/>
      <c r="O26" s="447"/>
      <c r="P26" s="447"/>
      <c r="Q26" s="447"/>
      <c r="R26" s="447"/>
      <c r="S26" s="447"/>
    </row>
    <row r="27" spans="1:19">
      <c r="K27" s="447"/>
      <c r="L27" s="447"/>
      <c r="M27" s="447"/>
      <c r="N27" s="447"/>
      <c r="O27" s="447"/>
      <c r="P27" s="447"/>
      <c r="Q27" s="447"/>
      <c r="R27" s="447"/>
      <c r="S27" s="447">
        <f>S25-S22</f>
        <v>550160</v>
      </c>
    </row>
    <row r="28" spans="1:19">
      <c r="K28" s="447">
        <f>0.7*K22</f>
        <v>29399.999999999996</v>
      </c>
      <c r="L28" s="447">
        <f t="shared" ref="L28:Q28" si="6">0.7*L22</f>
        <v>0</v>
      </c>
      <c r="M28" s="447">
        <f t="shared" si="6"/>
        <v>0</v>
      </c>
      <c r="N28" s="447">
        <f t="shared" si="6"/>
        <v>105000</v>
      </c>
      <c r="O28" s="447">
        <f t="shared" si="6"/>
        <v>350000</v>
      </c>
      <c r="P28" s="447">
        <f t="shared" si="6"/>
        <v>770000</v>
      </c>
      <c r="Q28" s="447">
        <f t="shared" si="6"/>
        <v>420000</v>
      </c>
      <c r="R28" s="447"/>
      <c r="S28" s="447">
        <f>0.7*S22</f>
        <v>1674400</v>
      </c>
    </row>
    <row r="29" spans="1:19">
      <c r="K29" s="447"/>
      <c r="L29" s="447"/>
      <c r="M29" s="447"/>
      <c r="N29" s="447"/>
      <c r="O29" s="447"/>
      <c r="P29" s="447"/>
      <c r="Q29" s="447"/>
      <c r="R29" s="447"/>
      <c r="S29" s="447"/>
    </row>
    <row r="30" spans="1:19">
      <c r="K30" s="447">
        <f>K22-K28</f>
        <v>12600.000000000004</v>
      </c>
      <c r="L30" s="447">
        <f t="shared" ref="L30:Q30" si="7">L22-L28</f>
        <v>0</v>
      </c>
      <c r="M30" s="447">
        <f t="shared" si="7"/>
        <v>0</v>
      </c>
      <c r="N30" s="447">
        <f t="shared" si="7"/>
        <v>45000</v>
      </c>
      <c r="O30" s="447">
        <f t="shared" si="7"/>
        <v>150000</v>
      </c>
      <c r="P30" s="447">
        <f t="shared" si="7"/>
        <v>330000</v>
      </c>
      <c r="Q30" s="447">
        <f t="shared" si="7"/>
        <v>180000</v>
      </c>
      <c r="R30" s="447"/>
      <c r="S30" s="447">
        <f>SUM(K30:Q30)</f>
        <v>717600</v>
      </c>
    </row>
    <row r="31" spans="1:19">
      <c r="K31" s="447"/>
      <c r="L31" s="447"/>
      <c r="M31" s="447"/>
      <c r="N31" s="447"/>
      <c r="O31" s="447"/>
      <c r="P31" s="447"/>
      <c r="Q31" s="447"/>
      <c r="R31" s="447"/>
      <c r="S31" s="447"/>
    </row>
    <row r="32" spans="1:19">
      <c r="K32" s="447">
        <f>0.23*K22</f>
        <v>9660</v>
      </c>
      <c r="L32" s="447">
        <f t="shared" ref="L32:Q32" si="8">0.23*L22</f>
        <v>0</v>
      </c>
      <c r="M32" s="447">
        <f t="shared" si="8"/>
        <v>0</v>
      </c>
      <c r="N32" s="447">
        <f t="shared" si="8"/>
        <v>34500</v>
      </c>
      <c r="O32" s="447">
        <f t="shared" si="8"/>
        <v>115000</v>
      </c>
      <c r="P32" s="447">
        <f t="shared" si="8"/>
        <v>253000</v>
      </c>
      <c r="Q32" s="447">
        <f t="shared" si="8"/>
        <v>138000</v>
      </c>
      <c r="R32" s="447"/>
      <c r="S32" s="447">
        <f t="shared" ref="S32" si="9">SUM(K32:Q32)</f>
        <v>550160</v>
      </c>
    </row>
    <row r="33" spans="11:19">
      <c r="K33" s="447"/>
      <c r="L33" s="447"/>
      <c r="M33" s="447"/>
      <c r="N33" s="447"/>
      <c r="O33" s="447"/>
      <c r="P33" s="447"/>
      <c r="Q33" s="447"/>
      <c r="R33" s="447"/>
      <c r="S33" s="447"/>
    </row>
    <row r="34" spans="11:19">
      <c r="K34" s="447"/>
      <c r="L34" s="447"/>
      <c r="M34" s="447"/>
      <c r="N34" s="447"/>
      <c r="O34" s="447"/>
      <c r="P34" s="447"/>
      <c r="Q34" s="447"/>
      <c r="R34" s="447"/>
      <c r="S34" s="447"/>
    </row>
    <row r="35" spans="11:19">
      <c r="K35" s="447"/>
      <c r="L35" s="447"/>
      <c r="M35" s="447"/>
      <c r="N35" s="447"/>
      <c r="O35" s="447"/>
      <c r="P35" s="447"/>
      <c r="Q35" s="447"/>
      <c r="R35" s="447"/>
      <c r="S35" s="447"/>
    </row>
    <row r="36" spans="11:19">
      <c r="K36" s="447"/>
      <c r="L36" s="447"/>
      <c r="M36" s="447"/>
      <c r="N36" s="447"/>
      <c r="O36" s="447"/>
      <c r="P36" s="447"/>
      <c r="Q36" s="447"/>
      <c r="R36" s="447"/>
      <c r="S36" s="447"/>
    </row>
  </sheetData>
  <mergeCells count="49">
    <mergeCell ref="P3:S3"/>
    <mergeCell ref="A5:A7"/>
    <mergeCell ref="B5:B7"/>
    <mergeCell ref="C5:C6"/>
    <mergeCell ref="D5:D6"/>
    <mergeCell ref="E5:E6"/>
    <mergeCell ref="F5:F6"/>
    <mergeCell ref="G5:G6"/>
    <mergeCell ref="L6:M6"/>
    <mergeCell ref="N6:O6"/>
    <mergeCell ref="A3:A4"/>
    <mergeCell ref="B3:B4"/>
    <mergeCell ref="C3:C4"/>
    <mergeCell ref="D3:G3"/>
    <mergeCell ref="H3:K3"/>
    <mergeCell ref="L3:O3"/>
    <mergeCell ref="A8:A10"/>
    <mergeCell ref="B8:B10"/>
    <mergeCell ref="D8:D9"/>
    <mergeCell ref="E8:E9"/>
    <mergeCell ref="F8:F9"/>
    <mergeCell ref="C10:G10"/>
    <mergeCell ref="P9:Q9"/>
    <mergeCell ref="N9:O9"/>
    <mergeCell ref="N12:O12"/>
    <mergeCell ref="P12:Q12"/>
    <mergeCell ref="Q6:R6"/>
    <mergeCell ref="C7:G7"/>
    <mergeCell ref="G8:G9"/>
    <mergeCell ref="G11:G12"/>
    <mergeCell ref="L12:M12"/>
    <mergeCell ref="C8:C9"/>
    <mergeCell ref="C11:C12"/>
    <mergeCell ref="N15:O15"/>
    <mergeCell ref="C16:G16"/>
    <mergeCell ref="L15:M15"/>
    <mergeCell ref="C13:G13"/>
    <mergeCell ref="A14:A16"/>
    <mergeCell ref="B14:B16"/>
    <mergeCell ref="D14:D15"/>
    <mergeCell ref="E14:E15"/>
    <mergeCell ref="F14:F15"/>
    <mergeCell ref="G14:G15"/>
    <mergeCell ref="A11:A13"/>
    <mergeCell ref="B11:B13"/>
    <mergeCell ref="D11:D12"/>
    <mergeCell ref="E11:E12"/>
    <mergeCell ref="F11:F12"/>
    <mergeCell ref="C14:C1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B1:M2790"/>
  <sheetViews>
    <sheetView showGridLines="0" zoomScaleNormal="100" workbookViewId="0">
      <selection activeCell="C16" sqref="C16"/>
    </sheetView>
  </sheetViews>
  <sheetFormatPr defaultColWidth="8.85546875" defaultRowHeight="12.75"/>
  <cols>
    <col min="1" max="1" width="5.140625" style="200" customWidth="1"/>
    <col min="2" max="2" width="32.85546875" style="200" bestFit="1" customWidth="1"/>
    <col min="3" max="3" width="19" style="200" customWidth="1"/>
    <col min="4" max="4" width="14.140625" style="200" customWidth="1"/>
    <col min="5" max="6" width="18.28515625" style="200" customWidth="1"/>
    <col min="7" max="7" width="22.42578125" style="200" customWidth="1"/>
    <col min="8" max="8" width="1.85546875" style="200" customWidth="1"/>
    <col min="9" max="9" width="31.85546875" style="200" bestFit="1" customWidth="1"/>
    <col min="10" max="10" width="12.42578125" style="200" customWidth="1"/>
    <col min="11" max="11" width="15.85546875" style="200" customWidth="1"/>
    <col min="12" max="12" width="1.42578125" style="200" customWidth="1"/>
    <col min="13" max="13" width="20.28515625" style="200" bestFit="1" customWidth="1"/>
    <col min="14" max="15" width="8.85546875" style="200"/>
    <col min="16" max="16" width="10.140625" style="200" bestFit="1" customWidth="1"/>
    <col min="17" max="258" width="8.85546875" style="200"/>
    <col min="259" max="259" width="13.85546875" style="200" customWidth="1"/>
    <col min="260" max="260" width="19" style="200" customWidth="1"/>
    <col min="261" max="261" width="14.140625" style="200" customWidth="1"/>
    <col min="262" max="262" width="18.28515625" style="200" customWidth="1"/>
    <col min="263" max="263" width="22.42578125" style="200" customWidth="1"/>
    <col min="264" max="264" width="8.85546875" style="200"/>
    <col min="265" max="265" width="13.28515625" style="200" customWidth="1"/>
    <col min="266" max="266" width="12.42578125" style="200" customWidth="1"/>
    <col min="267" max="267" width="15.85546875" style="200" customWidth="1"/>
    <col min="268" max="268" width="8.85546875" style="200"/>
    <col min="269" max="269" width="21.7109375" style="200" bestFit="1" customWidth="1"/>
    <col min="270" max="271" width="8.85546875" style="200"/>
    <col min="272" max="272" width="10.140625" style="200" bestFit="1" customWidth="1"/>
    <col min="273" max="514" width="8.85546875" style="200"/>
    <col min="515" max="515" width="13.85546875" style="200" customWidth="1"/>
    <col min="516" max="516" width="19" style="200" customWidth="1"/>
    <col min="517" max="517" width="14.140625" style="200" customWidth="1"/>
    <col min="518" max="518" width="18.28515625" style="200" customWidth="1"/>
    <col min="519" max="519" width="22.42578125" style="200" customWidth="1"/>
    <col min="520" max="520" width="8.85546875" style="200"/>
    <col min="521" max="521" width="13.28515625" style="200" customWidth="1"/>
    <col min="522" max="522" width="12.42578125" style="200" customWidth="1"/>
    <col min="523" max="523" width="15.85546875" style="200" customWidth="1"/>
    <col min="524" max="524" width="8.85546875" style="200"/>
    <col min="525" max="525" width="21.7109375" style="200" bestFit="1" customWidth="1"/>
    <col min="526" max="527" width="8.85546875" style="200"/>
    <col min="528" max="528" width="10.140625" style="200" bestFit="1" customWidth="1"/>
    <col min="529" max="770" width="8.85546875" style="200"/>
    <col min="771" max="771" width="13.85546875" style="200" customWidth="1"/>
    <col min="772" max="772" width="19" style="200" customWidth="1"/>
    <col min="773" max="773" width="14.140625" style="200" customWidth="1"/>
    <col min="774" max="774" width="18.28515625" style="200" customWidth="1"/>
    <col min="775" max="775" width="22.42578125" style="200" customWidth="1"/>
    <col min="776" max="776" width="8.85546875" style="200"/>
    <col min="777" max="777" width="13.28515625" style="200" customWidth="1"/>
    <col min="778" max="778" width="12.42578125" style="200" customWidth="1"/>
    <col min="779" max="779" width="15.85546875" style="200" customWidth="1"/>
    <col min="780" max="780" width="8.85546875" style="200"/>
    <col min="781" max="781" width="21.7109375" style="200" bestFit="1" customWidth="1"/>
    <col min="782" max="783" width="8.85546875" style="200"/>
    <col min="784" max="784" width="10.140625" style="200" bestFit="1" customWidth="1"/>
    <col min="785" max="1026" width="8.85546875" style="200"/>
    <col min="1027" max="1027" width="13.85546875" style="200" customWidth="1"/>
    <col min="1028" max="1028" width="19" style="200" customWidth="1"/>
    <col min="1029" max="1029" width="14.140625" style="200" customWidth="1"/>
    <col min="1030" max="1030" width="18.28515625" style="200" customWidth="1"/>
    <col min="1031" max="1031" width="22.42578125" style="200" customWidth="1"/>
    <col min="1032" max="1032" width="8.85546875" style="200"/>
    <col min="1033" max="1033" width="13.28515625" style="200" customWidth="1"/>
    <col min="1034" max="1034" width="12.42578125" style="200" customWidth="1"/>
    <col min="1035" max="1035" width="15.85546875" style="200" customWidth="1"/>
    <col min="1036" max="1036" width="8.85546875" style="200"/>
    <col min="1037" max="1037" width="21.7109375" style="200" bestFit="1" customWidth="1"/>
    <col min="1038" max="1039" width="8.85546875" style="200"/>
    <col min="1040" max="1040" width="10.140625" style="200" bestFit="1" customWidth="1"/>
    <col min="1041" max="1282" width="8.85546875" style="200"/>
    <col min="1283" max="1283" width="13.85546875" style="200" customWidth="1"/>
    <col min="1284" max="1284" width="19" style="200" customWidth="1"/>
    <col min="1285" max="1285" width="14.140625" style="200" customWidth="1"/>
    <col min="1286" max="1286" width="18.28515625" style="200" customWidth="1"/>
    <col min="1287" max="1287" width="22.42578125" style="200" customWidth="1"/>
    <col min="1288" max="1288" width="8.85546875" style="200"/>
    <col min="1289" max="1289" width="13.28515625" style="200" customWidth="1"/>
    <col min="1290" max="1290" width="12.42578125" style="200" customWidth="1"/>
    <col min="1291" max="1291" width="15.85546875" style="200" customWidth="1"/>
    <col min="1292" max="1292" width="8.85546875" style="200"/>
    <col min="1293" max="1293" width="21.7109375" style="200" bestFit="1" customWidth="1"/>
    <col min="1294" max="1295" width="8.85546875" style="200"/>
    <col min="1296" max="1296" width="10.140625" style="200" bestFit="1" customWidth="1"/>
    <col min="1297" max="1538" width="8.85546875" style="200"/>
    <col min="1539" max="1539" width="13.85546875" style="200" customWidth="1"/>
    <col min="1540" max="1540" width="19" style="200" customWidth="1"/>
    <col min="1541" max="1541" width="14.140625" style="200" customWidth="1"/>
    <col min="1542" max="1542" width="18.28515625" style="200" customWidth="1"/>
    <col min="1543" max="1543" width="22.42578125" style="200" customWidth="1"/>
    <col min="1544" max="1544" width="8.85546875" style="200"/>
    <col min="1545" max="1545" width="13.28515625" style="200" customWidth="1"/>
    <col min="1546" max="1546" width="12.42578125" style="200" customWidth="1"/>
    <col min="1547" max="1547" width="15.85546875" style="200" customWidth="1"/>
    <col min="1548" max="1548" width="8.85546875" style="200"/>
    <col min="1549" max="1549" width="21.7109375" style="200" bestFit="1" customWidth="1"/>
    <col min="1550" max="1551" width="8.85546875" style="200"/>
    <col min="1552" max="1552" width="10.140625" style="200" bestFit="1" customWidth="1"/>
    <col min="1553" max="1794" width="8.85546875" style="200"/>
    <col min="1795" max="1795" width="13.85546875" style="200" customWidth="1"/>
    <col min="1796" max="1796" width="19" style="200" customWidth="1"/>
    <col min="1797" max="1797" width="14.140625" style="200" customWidth="1"/>
    <col min="1798" max="1798" width="18.28515625" style="200" customWidth="1"/>
    <col min="1799" max="1799" width="22.42578125" style="200" customWidth="1"/>
    <col min="1800" max="1800" width="8.85546875" style="200"/>
    <col min="1801" max="1801" width="13.28515625" style="200" customWidth="1"/>
    <col min="1802" max="1802" width="12.42578125" style="200" customWidth="1"/>
    <col min="1803" max="1803" width="15.85546875" style="200" customWidth="1"/>
    <col min="1804" max="1804" width="8.85546875" style="200"/>
    <col min="1805" max="1805" width="21.7109375" style="200" bestFit="1" customWidth="1"/>
    <col min="1806" max="1807" width="8.85546875" style="200"/>
    <col min="1808" max="1808" width="10.140625" style="200" bestFit="1" customWidth="1"/>
    <col min="1809" max="2050" width="8.85546875" style="200"/>
    <col min="2051" max="2051" width="13.85546875" style="200" customWidth="1"/>
    <col min="2052" max="2052" width="19" style="200" customWidth="1"/>
    <col min="2053" max="2053" width="14.140625" style="200" customWidth="1"/>
    <col min="2054" max="2054" width="18.28515625" style="200" customWidth="1"/>
    <col min="2055" max="2055" width="22.42578125" style="200" customWidth="1"/>
    <col min="2056" max="2056" width="8.85546875" style="200"/>
    <col min="2057" max="2057" width="13.28515625" style="200" customWidth="1"/>
    <col min="2058" max="2058" width="12.42578125" style="200" customWidth="1"/>
    <col min="2059" max="2059" width="15.85546875" style="200" customWidth="1"/>
    <col min="2060" max="2060" width="8.85546875" style="200"/>
    <col min="2061" max="2061" width="21.7109375" style="200" bestFit="1" customWidth="1"/>
    <col min="2062" max="2063" width="8.85546875" style="200"/>
    <col min="2064" max="2064" width="10.140625" style="200" bestFit="1" customWidth="1"/>
    <col min="2065" max="2306" width="8.85546875" style="200"/>
    <col min="2307" max="2307" width="13.85546875" style="200" customWidth="1"/>
    <col min="2308" max="2308" width="19" style="200" customWidth="1"/>
    <col min="2309" max="2309" width="14.140625" style="200" customWidth="1"/>
    <col min="2310" max="2310" width="18.28515625" style="200" customWidth="1"/>
    <col min="2311" max="2311" width="22.42578125" style="200" customWidth="1"/>
    <col min="2312" max="2312" width="8.85546875" style="200"/>
    <col min="2313" max="2313" width="13.28515625" style="200" customWidth="1"/>
    <col min="2314" max="2314" width="12.42578125" style="200" customWidth="1"/>
    <col min="2315" max="2315" width="15.85546875" style="200" customWidth="1"/>
    <col min="2316" max="2316" width="8.85546875" style="200"/>
    <col min="2317" max="2317" width="21.7109375" style="200" bestFit="1" customWidth="1"/>
    <col min="2318" max="2319" width="8.85546875" style="200"/>
    <col min="2320" max="2320" width="10.140625" style="200" bestFit="1" customWidth="1"/>
    <col min="2321" max="2562" width="8.85546875" style="200"/>
    <col min="2563" max="2563" width="13.85546875" style="200" customWidth="1"/>
    <col min="2564" max="2564" width="19" style="200" customWidth="1"/>
    <col min="2565" max="2565" width="14.140625" style="200" customWidth="1"/>
    <col min="2566" max="2566" width="18.28515625" style="200" customWidth="1"/>
    <col min="2567" max="2567" width="22.42578125" style="200" customWidth="1"/>
    <col min="2568" max="2568" width="8.85546875" style="200"/>
    <col min="2569" max="2569" width="13.28515625" style="200" customWidth="1"/>
    <col min="2570" max="2570" width="12.42578125" style="200" customWidth="1"/>
    <col min="2571" max="2571" width="15.85546875" style="200" customWidth="1"/>
    <col min="2572" max="2572" width="8.85546875" style="200"/>
    <col min="2573" max="2573" width="21.7109375" style="200" bestFit="1" customWidth="1"/>
    <col min="2574" max="2575" width="8.85546875" style="200"/>
    <col min="2576" max="2576" width="10.140625" style="200" bestFit="1" customWidth="1"/>
    <col min="2577" max="2818" width="8.85546875" style="200"/>
    <col min="2819" max="2819" width="13.85546875" style="200" customWidth="1"/>
    <col min="2820" max="2820" width="19" style="200" customWidth="1"/>
    <col min="2821" max="2821" width="14.140625" style="200" customWidth="1"/>
    <col min="2822" max="2822" width="18.28515625" style="200" customWidth="1"/>
    <col min="2823" max="2823" width="22.42578125" style="200" customWidth="1"/>
    <col min="2824" max="2824" width="8.85546875" style="200"/>
    <col min="2825" max="2825" width="13.28515625" style="200" customWidth="1"/>
    <col min="2826" max="2826" width="12.42578125" style="200" customWidth="1"/>
    <col min="2827" max="2827" width="15.85546875" style="200" customWidth="1"/>
    <col min="2828" max="2828" width="8.85546875" style="200"/>
    <col min="2829" max="2829" width="21.7109375" style="200" bestFit="1" customWidth="1"/>
    <col min="2830" max="2831" width="8.85546875" style="200"/>
    <col min="2832" max="2832" width="10.140625" style="200" bestFit="1" customWidth="1"/>
    <col min="2833" max="3074" width="8.85546875" style="200"/>
    <col min="3075" max="3075" width="13.85546875" style="200" customWidth="1"/>
    <col min="3076" max="3076" width="19" style="200" customWidth="1"/>
    <col min="3077" max="3077" width="14.140625" style="200" customWidth="1"/>
    <col min="3078" max="3078" width="18.28515625" style="200" customWidth="1"/>
    <col min="3079" max="3079" width="22.42578125" style="200" customWidth="1"/>
    <col min="3080" max="3080" width="8.85546875" style="200"/>
    <col min="3081" max="3081" width="13.28515625" style="200" customWidth="1"/>
    <col min="3082" max="3082" width="12.42578125" style="200" customWidth="1"/>
    <col min="3083" max="3083" width="15.85546875" style="200" customWidth="1"/>
    <col min="3084" max="3084" width="8.85546875" style="200"/>
    <col min="3085" max="3085" width="21.7109375" style="200" bestFit="1" customWidth="1"/>
    <col min="3086" max="3087" width="8.85546875" style="200"/>
    <col min="3088" max="3088" width="10.140625" style="200" bestFit="1" customWidth="1"/>
    <col min="3089" max="3330" width="8.85546875" style="200"/>
    <col min="3331" max="3331" width="13.85546875" style="200" customWidth="1"/>
    <col min="3332" max="3332" width="19" style="200" customWidth="1"/>
    <col min="3333" max="3333" width="14.140625" style="200" customWidth="1"/>
    <col min="3334" max="3334" width="18.28515625" style="200" customWidth="1"/>
    <col min="3335" max="3335" width="22.42578125" style="200" customWidth="1"/>
    <col min="3336" max="3336" width="8.85546875" style="200"/>
    <col min="3337" max="3337" width="13.28515625" style="200" customWidth="1"/>
    <col min="3338" max="3338" width="12.42578125" style="200" customWidth="1"/>
    <col min="3339" max="3339" width="15.85546875" style="200" customWidth="1"/>
    <col min="3340" max="3340" width="8.85546875" style="200"/>
    <col min="3341" max="3341" width="21.7109375" style="200" bestFit="1" customWidth="1"/>
    <col min="3342" max="3343" width="8.85546875" style="200"/>
    <col min="3344" max="3344" width="10.140625" style="200" bestFit="1" customWidth="1"/>
    <col min="3345" max="3586" width="8.85546875" style="200"/>
    <col min="3587" max="3587" width="13.85546875" style="200" customWidth="1"/>
    <col min="3588" max="3588" width="19" style="200" customWidth="1"/>
    <col min="3589" max="3589" width="14.140625" style="200" customWidth="1"/>
    <col min="3590" max="3590" width="18.28515625" style="200" customWidth="1"/>
    <col min="3591" max="3591" width="22.42578125" style="200" customWidth="1"/>
    <col min="3592" max="3592" width="8.85546875" style="200"/>
    <col min="3593" max="3593" width="13.28515625" style="200" customWidth="1"/>
    <col min="3594" max="3594" width="12.42578125" style="200" customWidth="1"/>
    <col min="3595" max="3595" width="15.85546875" style="200" customWidth="1"/>
    <col min="3596" max="3596" width="8.85546875" style="200"/>
    <col min="3597" max="3597" width="21.7109375" style="200" bestFit="1" customWidth="1"/>
    <col min="3598" max="3599" width="8.85546875" style="200"/>
    <col min="3600" max="3600" width="10.140625" style="200" bestFit="1" customWidth="1"/>
    <col min="3601" max="3842" width="8.85546875" style="200"/>
    <col min="3843" max="3843" width="13.85546875" style="200" customWidth="1"/>
    <col min="3844" max="3844" width="19" style="200" customWidth="1"/>
    <col min="3845" max="3845" width="14.140625" style="200" customWidth="1"/>
    <col min="3846" max="3846" width="18.28515625" style="200" customWidth="1"/>
    <col min="3847" max="3847" width="22.42578125" style="200" customWidth="1"/>
    <col min="3848" max="3848" width="8.85546875" style="200"/>
    <col min="3849" max="3849" width="13.28515625" style="200" customWidth="1"/>
    <col min="3850" max="3850" width="12.42578125" style="200" customWidth="1"/>
    <col min="3851" max="3851" width="15.85546875" style="200" customWidth="1"/>
    <col min="3852" max="3852" width="8.85546875" style="200"/>
    <col min="3853" max="3853" width="21.7109375" style="200" bestFit="1" customWidth="1"/>
    <col min="3854" max="3855" width="8.85546875" style="200"/>
    <col min="3856" max="3856" width="10.140625" style="200" bestFit="1" customWidth="1"/>
    <col min="3857" max="4098" width="8.85546875" style="200"/>
    <col min="4099" max="4099" width="13.85546875" style="200" customWidth="1"/>
    <col min="4100" max="4100" width="19" style="200" customWidth="1"/>
    <col min="4101" max="4101" width="14.140625" style="200" customWidth="1"/>
    <col min="4102" max="4102" width="18.28515625" style="200" customWidth="1"/>
    <col min="4103" max="4103" width="22.42578125" style="200" customWidth="1"/>
    <col min="4104" max="4104" width="8.85546875" style="200"/>
    <col min="4105" max="4105" width="13.28515625" style="200" customWidth="1"/>
    <col min="4106" max="4106" width="12.42578125" style="200" customWidth="1"/>
    <col min="4107" max="4107" width="15.85546875" style="200" customWidth="1"/>
    <col min="4108" max="4108" width="8.85546875" style="200"/>
    <col min="4109" max="4109" width="21.7109375" style="200" bestFit="1" customWidth="1"/>
    <col min="4110" max="4111" width="8.85546875" style="200"/>
    <col min="4112" max="4112" width="10.140625" style="200" bestFit="1" customWidth="1"/>
    <col min="4113" max="4354" width="8.85546875" style="200"/>
    <col min="4355" max="4355" width="13.85546875" style="200" customWidth="1"/>
    <col min="4356" max="4356" width="19" style="200" customWidth="1"/>
    <col min="4357" max="4357" width="14.140625" style="200" customWidth="1"/>
    <col min="4358" max="4358" width="18.28515625" style="200" customWidth="1"/>
    <col min="4359" max="4359" width="22.42578125" style="200" customWidth="1"/>
    <col min="4360" max="4360" width="8.85546875" style="200"/>
    <col min="4361" max="4361" width="13.28515625" style="200" customWidth="1"/>
    <col min="4362" max="4362" width="12.42578125" style="200" customWidth="1"/>
    <col min="4363" max="4363" width="15.85546875" style="200" customWidth="1"/>
    <col min="4364" max="4364" width="8.85546875" style="200"/>
    <col min="4365" max="4365" width="21.7109375" style="200" bestFit="1" customWidth="1"/>
    <col min="4366" max="4367" width="8.85546875" style="200"/>
    <col min="4368" max="4368" width="10.140625" style="200" bestFit="1" customWidth="1"/>
    <col min="4369" max="4610" width="8.85546875" style="200"/>
    <col min="4611" max="4611" width="13.85546875" style="200" customWidth="1"/>
    <col min="4612" max="4612" width="19" style="200" customWidth="1"/>
    <col min="4613" max="4613" width="14.140625" style="200" customWidth="1"/>
    <col min="4614" max="4614" width="18.28515625" style="200" customWidth="1"/>
    <col min="4615" max="4615" width="22.42578125" style="200" customWidth="1"/>
    <col min="4616" max="4616" width="8.85546875" style="200"/>
    <col min="4617" max="4617" width="13.28515625" style="200" customWidth="1"/>
    <col min="4618" max="4618" width="12.42578125" style="200" customWidth="1"/>
    <col min="4619" max="4619" width="15.85546875" style="200" customWidth="1"/>
    <col min="4620" max="4620" width="8.85546875" style="200"/>
    <col min="4621" max="4621" width="21.7109375" style="200" bestFit="1" customWidth="1"/>
    <col min="4622" max="4623" width="8.85546875" style="200"/>
    <col min="4624" max="4624" width="10.140625" style="200" bestFit="1" customWidth="1"/>
    <col min="4625" max="4866" width="8.85546875" style="200"/>
    <col min="4867" max="4867" width="13.85546875" style="200" customWidth="1"/>
    <col min="4868" max="4868" width="19" style="200" customWidth="1"/>
    <col min="4869" max="4869" width="14.140625" style="200" customWidth="1"/>
    <col min="4870" max="4870" width="18.28515625" style="200" customWidth="1"/>
    <col min="4871" max="4871" width="22.42578125" style="200" customWidth="1"/>
    <col min="4872" max="4872" width="8.85546875" style="200"/>
    <col min="4873" max="4873" width="13.28515625" style="200" customWidth="1"/>
    <col min="4874" max="4874" width="12.42578125" style="200" customWidth="1"/>
    <col min="4875" max="4875" width="15.85546875" style="200" customWidth="1"/>
    <col min="4876" max="4876" width="8.85546875" style="200"/>
    <col min="4877" max="4877" width="21.7109375" style="200" bestFit="1" customWidth="1"/>
    <col min="4878" max="4879" width="8.85546875" style="200"/>
    <col min="4880" max="4880" width="10.140625" style="200" bestFit="1" customWidth="1"/>
    <col min="4881" max="5122" width="8.85546875" style="200"/>
    <col min="5123" max="5123" width="13.85546875" style="200" customWidth="1"/>
    <col min="5124" max="5124" width="19" style="200" customWidth="1"/>
    <col min="5125" max="5125" width="14.140625" style="200" customWidth="1"/>
    <col min="5126" max="5126" width="18.28515625" style="200" customWidth="1"/>
    <col min="5127" max="5127" width="22.42578125" style="200" customWidth="1"/>
    <col min="5128" max="5128" width="8.85546875" style="200"/>
    <col min="5129" max="5129" width="13.28515625" style="200" customWidth="1"/>
    <col min="5130" max="5130" width="12.42578125" style="200" customWidth="1"/>
    <col min="5131" max="5131" width="15.85546875" style="200" customWidth="1"/>
    <col min="5132" max="5132" width="8.85546875" style="200"/>
    <col min="5133" max="5133" width="21.7109375" style="200" bestFit="1" customWidth="1"/>
    <col min="5134" max="5135" width="8.85546875" style="200"/>
    <col min="5136" max="5136" width="10.140625" style="200" bestFit="1" customWidth="1"/>
    <col min="5137" max="5378" width="8.85546875" style="200"/>
    <col min="5379" max="5379" width="13.85546875" style="200" customWidth="1"/>
    <col min="5380" max="5380" width="19" style="200" customWidth="1"/>
    <col min="5381" max="5381" width="14.140625" style="200" customWidth="1"/>
    <col min="5382" max="5382" width="18.28515625" style="200" customWidth="1"/>
    <col min="5383" max="5383" width="22.42578125" style="200" customWidth="1"/>
    <col min="5384" max="5384" width="8.85546875" style="200"/>
    <col min="5385" max="5385" width="13.28515625" style="200" customWidth="1"/>
    <col min="5386" max="5386" width="12.42578125" style="200" customWidth="1"/>
    <col min="5387" max="5387" width="15.85546875" style="200" customWidth="1"/>
    <col min="5388" max="5388" width="8.85546875" style="200"/>
    <col min="5389" max="5389" width="21.7109375" style="200" bestFit="1" customWidth="1"/>
    <col min="5390" max="5391" width="8.85546875" style="200"/>
    <col min="5392" max="5392" width="10.140625" style="200" bestFit="1" customWidth="1"/>
    <col min="5393" max="5634" width="8.85546875" style="200"/>
    <col min="5635" max="5635" width="13.85546875" style="200" customWidth="1"/>
    <col min="5636" max="5636" width="19" style="200" customWidth="1"/>
    <col min="5637" max="5637" width="14.140625" style="200" customWidth="1"/>
    <col min="5638" max="5638" width="18.28515625" style="200" customWidth="1"/>
    <col min="5639" max="5639" width="22.42578125" style="200" customWidth="1"/>
    <col min="5640" max="5640" width="8.85546875" style="200"/>
    <col min="5641" max="5641" width="13.28515625" style="200" customWidth="1"/>
    <col min="5642" max="5642" width="12.42578125" style="200" customWidth="1"/>
    <col min="5643" max="5643" width="15.85546875" style="200" customWidth="1"/>
    <col min="5644" max="5644" width="8.85546875" style="200"/>
    <col min="5645" max="5645" width="21.7109375" style="200" bestFit="1" customWidth="1"/>
    <col min="5646" max="5647" width="8.85546875" style="200"/>
    <col min="5648" max="5648" width="10.140625" style="200" bestFit="1" customWidth="1"/>
    <col min="5649" max="5890" width="8.85546875" style="200"/>
    <col min="5891" max="5891" width="13.85546875" style="200" customWidth="1"/>
    <col min="5892" max="5892" width="19" style="200" customWidth="1"/>
    <col min="5893" max="5893" width="14.140625" style="200" customWidth="1"/>
    <col min="5894" max="5894" width="18.28515625" style="200" customWidth="1"/>
    <col min="5895" max="5895" width="22.42578125" style="200" customWidth="1"/>
    <col min="5896" max="5896" width="8.85546875" style="200"/>
    <col min="5897" max="5897" width="13.28515625" style="200" customWidth="1"/>
    <col min="5898" max="5898" width="12.42578125" style="200" customWidth="1"/>
    <col min="5899" max="5899" width="15.85546875" style="200" customWidth="1"/>
    <col min="5900" max="5900" width="8.85546875" style="200"/>
    <col min="5901" max="5901" width="21.7109375" style="200" bestFit="1" customWidth="1"/>
    <col min="5902" max="5903" width="8.85546875" style="200"/>
    <col min="5904" max="5904" width="10.140625" style="200" bestFit="1" customWidth="1"/>
    <col min="5905" max="6146" width="8.85546875" style="200"/>
    <col min="6147" max="6147" width="13.85546875" style="200" customWidth="1"/>
    <col min="6148" max="6148" width="19" style="200" customWidth="1"/>
    <col min="6149" max="6149" width="14.140625" style="200" customWidth="1"/>
    <col min="6150" max="6150" width="18.28515625" style="200" customWidth="1"/>
    <col min="6151" max="6151" width="22.42578125" style="200" customWidth="1"/>
    <col min="6152" max="6152" width="8.85546875" style="200"/>
    <col min="6153" max="6153" width="13.28515625" style="200" customWidth="1"/>
    <col min="6154" max="6154" width="12.42578125" style="200" customWidth="1"/>
    <col min="6155" max="6155" width="15.85546875" style="200" customWidth="1"/>
    <col min="6156" max="6156" width="8.85546875" style="200"/>
    <col min="6157" max="6157" width="21.7109375" style="200" bestFit="1" customWidth="1"/>
    <col min="6158" max="6159" width="8.85546875" style="200"/>
    <col min="6160" max="6160" width="10.140625" style="200" bestFit="1" customWidth="1"/>
    <col min="6161" max="6402" width="8.85546875" style="200"/>
    <col min="6403" max="6403" width="13.85546875" style="200" customWidth="1"/>
    <col min="6404" max="6404" width="19" style="200" customWidth="1"/>
    <col min="6405" max="6405" width="14.140625" style="200" customWidth="1"/>
    <col min="6406" max="6406" width="18.28515625" style="200" customWidth="1"/>
    <col min="6407" max="6407" width="22.42578125" style="200" customWidth="1"/>
    <col min="6408" max="6408" width="8.85546875" style="200"/>
    <col min="6409" max="6409" width="13.28515625" style="200" customWidth="1"/>
    <col min="6410" max="6410" width="12.42578125" style="200" customWidth="1"/>
    <col min="6411" max="6411" width="15.85546875" style="200" customWidth="1"/>
    <col min="6412" max="6412" width="8.85546875" style="200"/>
    <col min="6413" max="6413" width="21.7109375" style="200" bestFit="1" customWidth="1"/>
    <col min="6414" max="6415" width="8.85546875" style="200"/>
    <col min="6416" max="6416" width="10.140625" style="200" bestFit="1" customWidth="1"/>
    <col min="6417" max="6658" width="8.85546875" style="200"/>
    <col min="6659" max="6659" width="13.85546875" style="200" customWidth="1"/>
    <col min="6660" max="6660" width="19" style="200" customWidth="1"/>
    <col min="6661" max="6661" width="14.140625" style="200" customWidth="1"/>
    <col min="6662" max="6662" width="18.28515625" style="200" customWidth="1"/>
    <col min="6663" max="6663" width="22.42578125" style="200" customWidth="1"/>
    <col min="6664" max="6664" width="8.85546875" style="200"/>
    <col min="6665" max="6665" width="13.28515625" style="200" customWidth="1"/>
    <col min="6666" max="6666" width="12.42578125" style="200" customWidth="1"/>
    <col min="6667" max="6667" width="15.85546875" style="200" customWidth="1"/>
    <col min="6668" max="6668" width="8.85546875" style="200"/>
    <col min="6669" max="6669" width="21.7109375" style="200" bestFit="1" customWidth="1"/>
    <col min="6670" max="6671" width="8.85546875" style="200"/>
    <col min="6672" max="6672" width="10.140625" style="200" bestFit="1" customWidth="1"/>
    <col min="6673" max="6914" width="8.85546875" style="200"/>
    <col min="6915" max="6915" width="13.85546875" style="200" customWidth="1"/>
    <col min="6916" max="6916" width="19" style="200" customWidth="1"/>
    <col min="6917" max="6917" width="14.140625" style="200" customWidth="1"/>
    <col min="6918" max="6918" width="18.28515625" style="200" customWidth="1"/>
    <col min="6919" max="6919" width="22.42578125" style="200" customWidth="1"/>
    <col min="6920" max="6920" width="8.85546875" style="200"/>
    <col min="6921" max="6921" width="13.28515625" style="200" customWidth="1"/>
    <col min="6922" max="6922" width="12.42578125" style="200" customWidth="1"/>
    <col min="6923" max="6923" width="15.85546875" style="200" customWidth="1"/>
    <col min="6924" max="6924" width="8.85546875" style="200"/>
    <col min="6925" max="6925" width="21.7109375" style="200" bestFit="1" customWidth="1"/>
    <col min="6926" max="6927" width="8.85546875" style="200"/>
    <col min="6928" max="6928" width="10.140625" style="200" bestFit="1" customWidth="1"/>
    <col min="6929" max="7170" width="8.85546875" style="200"/>
    <col min="7171" max="7171" width="13.85546875" style="200" customWidth="1"/>
    <col min="7172" max="7172" width="19" style="200" customWidth="1"/>
    <col min="7173" max="7173" width="14.140625" style="200" customWidth="1"/>
    <col min="7174" max="7174" width="18.28515625" style="200" customWidth="1"/>
    <col min="7175" max="7175" width="22.42578125" style="200" customWidth="1"/>
    <col min="7176" max="7176" width="8.85546875" style="200"/>
    <col min="7177" max="7177" width="13.28515625" style="200" customWidth="1"/>
    <col min="7178" max="7178" width="12.42578125" style="200" customWidth="1"/>
    <col min="7179" max="7179" width="15.85546875" style="200" customWidth="1"/>
    <col min="7180" max="7180" width="8.85546875" style="200"/>
    <col min="7181" max="7181" width="21.7109375" style="200" bestFit="1" customWidth="1"/>
    <col min="7182" max="7183" width="8.85546875" style="200"/>
    <col min="7184" max="7184" width="10.140625" style="200" bestFit="1" customWidth="1"/>
    <col min="7185" max="7426" width="8.85546875" style="200"/>
    <col min="7427" max="7427" width="13.85546875" style="200" customWidth="1"/>
    <col min="7428" max="7428" width="19" style="200" customWidth="1"/>
    <col min="7429" max="7429" width="14.140625" style="200" customWidth="1"/>
    <col min="7430" max="7430" width="18.28515625" style="200" customWidth="1"/>
    <col min="7431" max="7431" width="22.42578125" style="200" customWidth="1"/>
    <col min="7432" max="7432" width="8.85546875" style="200"/>
    <col min="7433" max="7433" width="13.28515625" style="200" customWidth="1"/>
    <col min="7434" max="7434" width="12.42578125" style="200" customWidth="1"/>
    <col min="7435" max="7435" width="15.85546875" style="200" customWidth="1"/>
    <col min="7436" max="7436" width="8.85546875" style="200"/>
    <col min="7437" max="7437" width="21.7109375" style="200" bestFit="1" customWidth="1"/>
    <col min="7438" max="7439" width="8.85546875" style="200"/>
    <col min="7440" max="7440" width="10.140625" style="200" bestFit="1" customWidth="1"/>
    <col min="7441" max="7682" width="8.85546875" style="200"/>
    <col min="7683" max="7683" width="13.85546875" style="200" customWidth="1"/>
    <col min="7684" max="7684" width="19" style="200" customWidth="1"/>
    <col min="7685" max="7685" width="14.140625" style="200" customWidth="1"/>
    <col min="7686" max="7686" width="18.28515625" style="200" customWidth="1"/>
    <col min="7687" max="7687" width="22.42578125" style="200" customWidth="1"/>
    <col min="7688" max="7688" width="8.85546875" style="200"/>
    <col min="7689" max="7689" width="13.28515625" style="200" customWidth="1"/>
    <col min="7690" max="7690" width="12.42578125" style="200" customWidth="1"/>
    <col min="7691" max="7691" width="15.85546875" style="200" customWidth="1"/>
    <col min="7692" max="7692" width="8.85546875" style="200"/>
    <col min="7693" max="7693" width="21.7109375" style="200" bestFit="1" customWidth="1"/>
    <col min="7694" max="7695" width="8.85546875" style="200"/>
    <col min="7696" max="7696" width="10.140625" style="200" bestFit="1" customWidth="1"/>
    <col min="7697" max="7938" width="8.85546875" style="200"/>
    <col min="7939" max="7939" width="13.85546875" style="200" customWidth="1"/>
    <col min="7940" max="7940" width="19" style="200" customWidth="1"/>
    <col min="7941" max="7941" width="14.140625" style="200" customWidth="1"/>
    <col min="7942" max="7942" width="18.28515625" style="200" customWidth="1"/>
    <col min="7943" max="7943" width="22.42578125" style="200" customWidth="1"/>
    <col min="7944" max="7944" width="8.85546875" style="200"/>
    <col min="7945" max="7945" width="13.28515625" style="200" customWidth="1"/>
    <col min="7946" max="7946" width="12.42578125" style="200" customWidth="1"/>
    <col min="7947" max="7947" width="15.85546875" style="200" customWidth="1"/>
    <col min="7948" max="7948" width="8.85546875" style="200"/>
    <col min="7949" max="7949" width="21.7109375" style="200" bestFit="1" customWidth="1"/>
    <col min="7950" max="7951" width="8.85546875" style="200"/>
    <col min="7952" max="7952" width="10.140625" style="200" bestFit="1" customWidth="1"/>
    <col min="7953" max="8194" width="8.85546875" style="200"/>
    <col min="8195" max="8195" width="13.85546875" style="200" customWidth="1"/>
    <col min="8196" max="8196" width="19" style="200" customWidth="1"/>
    <col min="8197" max="8197" width="14.140625" style="200" customWidth="1"/>
    <col min="8198" max="8198" width="18.28515625" style="200" customWidth="1"/>
    <col min="8199" max="8199" width="22.42578125" style="200" customWidth="1"/>
    <col min="8200" max="8200" width="8.85546875" style="200"/>
    <col min="8201" max="8201" width="13.28515625" style="200" customWidth="1"/>
    <col min="8202" max="8202" width="12.42578125" style="200" customWidth="1"/>
    <col min="8203" max="8203" width="15.85546875" style="200" customWidth="1"/>
    <col min="8204" max="8204" width="8.85546875" style="200"/>
    <col min="8205" max="8205" width="21.7109375" style="200" bestFit="1" customWidth="1"/>
    <col min="8206" max="8207" width="8.85546875" style="200"/>
    <col min="8208" max="8208" width="10.140625" style="200" bestFit="1" customWidth="1"/>
    <col min="8209" max="8450" width="8.85546875" style="200"/>
    <col min="8451" max="8451" width="13.85546875" style="200" customWidth="1"/>
    <col min="8452" max="8452" width="19" style="200" customWidth="1"/>
    <col min="8453" max="8453" width="14.140625" style="200" customWidth="1"/>
    <col min="8454" max="8454" width="18.28515625" style="200" customWidth="1"/>
    <col min="8455" max="8455" width="22.42578125" style="200" customWidth="1"/>
    <col min="8456" max="8456" width="8.85546875" style="200"/>
    <col min="8457" max="8457" width="13.28515625" style="200" customWidth="1"/>
    <col min="8458" max="8458" width="12.42578125" style="200" customWidth="1"/>
    <col min="8459" max="8459" width="15.85546875" style="200" customWidth="1"/>
    <col min="8460" max="8460" width="8.85546875" style="200"/>
    <col min="8461" max="8461" width="21.7109375" style="200" bestFit="1" customWidth="1"/>
    <col min="8462" max="8463" width="8.85546875" style="200"/>
    <col min="8464" max="8464" width="10.140625" style="200" bestFit="1" customWidth="1"/>
    <col min="8465" max="8706" width="8.85546875" style="200"/>
    <col min="8707" max="8707" width="13.85546875" style="200" customWidth="1"/>
    <col min="8708" max="8708" width="19" style="200" customWidth="1"/>
    <col min="8709" max="8709" width="14.140625" style="200" customWidth="1"/>
    <col min="8710" max="8710" width="18.28515625" style="200" customWidth="1"/>
    <col min="8711" max="8711" width="22.42578125" style="200" customWidth="1"/>
    <col min="8712" max="8712" width="8.85546875" style="200"/>
    <col min="8713" max="8713" width="13.28515625" style="200" customWidth="1"/>
    <col min="8714" max="8714" width="12.42578125" style="200" customWidth="1"/>
    <col min="8715" max="8715" width="15.85546875" style="200" customWidth="1"/>
    <col min="8716" max="8716" width="8.85546875" style="200"/>
    <col min="8717" max="8717" width="21.7109375" style="200" bestFit="1" customWidth="1"/>
    <col min="8718" max="8719" width="8.85546875" style="200"/>
    <col min="8720" max="8720" width="10.140625" style="200" bestFit="1" customWidth="1"/>
    <col min="8721" max="8962" width="8.85546875" style="200"/>
    <col min="8963" max="8963" width="13.85546875" style="200" customWidth="1"/>
    <col min="8964" max="8964" width="19" style="200" customWidth="1"/>
    <col min="8965" max="8965" width="14.140625" style="200" customWidth="1"/>
    <col min="8966" max="8966" width="18.28515625" style="200" customWidth="1"/>
    <col min="8967" max="8967" width="22.42578125" style="200" customWidth="1"/>
    <col min="8968" max="8968" width="8.85546875" style="200"/>
    <col min="8969" max="8969" width="13.28515625" style="200" customWidth="1"/>
    <col min="8970" max="8970" width="12.42578125" style="200" customWidth="1"/>
    <col min="8971" max="8971" width="15.85546875" style="200" customWidth="1"/>
    <col min="8972" max="8972" width="8.85546875" style="200"/>
    <col min="8973" max="8973" width="21.7109375" style="200" bestFit="1" customWidth="1"/>
    <col min="8974" max="8975" width="8.85546875" style="200"/>
    <col min="8976" max="8976" width="10.140625" style="200" bestFit="1" customWidth="1"/>
    <col min="8977" max="9218" width="8.85546875" style="200"/>
    <col min="9219" max="9219" width="13.85546875" style="200" customWidth="1"/>
    <col min="9220" max="9220" width="19" style="200" customWidth="1"/>
    <col min="9221" max="9221" width="14.140625" style="200" customWidth="1"/>
    <col min="9222" max="9222" width="18.28515625" style="200" customWidth="1"/>
    <col min="9223" max="9223" width="22.42578125" style="200" customWidth="1"/>
    <col min="9224" max="9224" width="8.85546875" style="200"/>
    <col min="9225" max="9225" width="13.28515625" style="200" customWidth="1"/>
    <col min="9226" max="9226" width="12.42578125" style="200" customWidth="1"/>
    <col min="9227" max="9227" width="15.85546875" style="200" customWidth="1"/>
    <col min="9228" max="9228" width="8.85546875" style="200"/>
    <col min="9229" max="9229" width="21.7109375" style="200" bestFit="1" customWidth="1"/>
    <col min="9230" max="9231" width="8.85546875" style="200"/>
    <col min="9232" max="9232" width="10.140625" style="200" bestFit="1" customWidth="1"/>
    <col min="9233" max="9474" width="8.85546875" style="200"/>
    <col min="9475" max="9475" width="13.85546875" style="200" customWidth="1"/>
    <col min="9476" max="9476" width="19" style="200" customWidth="1"/>
    <col min="9477" max="9477" width="14.140625" style="200" customWidth="1"/>
    <col min="9478" max="9478" width="18.28515625" style="200" customWidth="1"/>
    <col min="9479" max="9479" width="22.42578125" style="200" customWidth="1"/>
    <col min="9480" max="9480" width="8.85546875" style="200"/>
    <col min="9481" max="9481" width="13.28515625" style="200" customWidth="1"/>
    <col min="9482" max="9482" width="12.42578125" style="200" customWidth="1"/>
    <col min="9483" max="9483" width="15.85546875" style="200" customWidth="1"/>
    <col min="9484" max="9484" width="8.85546875" style="200"/>
    <col min="9485" max="9485" width="21.7109375" style="200" bestFit="1" customWidth="1"/>
    <col min="9486" max="9487" width="8.85546875" style="200"/>
    <col min="9488" max="9488" width="10.140625" style="200" bestFit="1" customWidth="1"/>
    <col min="9489" max="9730" width="8.85546875" style="200"/>
    <col min="9731" max="9731" width="13.85546875" style="200" customWidth="1"/>
    <col min="9732" max="9732" width="19" style="200" customWidth="1"/>
    <col min="9733" max="9733" width="14.140625" style="200" customWidth="1"/>
    <col min="9734" max="9734" width="18.28515625" style="200" customWidth="1"/>
    <col min="9735" max="9735" width="22.42578125" style="200" customWidth="1"/>
    <col min="9736" max="9736" width="8.85546875" style="200"/>
    <col min="9737" max="9737" width="13.28515625" style="200" customWidth="1"/>
    <col min="9738" max="9738" width="12.42578125" style="200" customWidth="1"/>
    <col min="9739" max="9739" width="15.85546875" style="200" customWidth="1"/>
    <col min="9740" max="9740" width="8.85546875" style="200"/>
    <col min="9741" max="9741" width="21.7109375" style="200" bestFit="1" customWidth="1"/>
    <col min="9742" max="9743" width="8.85546875" style="200"/>
    <col min="9744" max="9744" width="10.140625" style="200" bestFit="1" customWidth="1"/>
    <col min="9745" max="9986" width="8.85546875" style="200"/>
    <col min="9987" max="9987" width="13.85546875" style="200" customWidth="1"/>
    <col min="9988" max="9988" width="19" style="200" customWidth="1"/>
    <col min="9989" max="9989" width="14.140625" style="200" customWidth="1"/>
    <col min="9990" max="9990" width="18.28515625" style="200" customWidth="1"/>
    <col min="9991" max="9991" width="22.42578125" style="200" customWidth="1"/>
    <col min="9992" max="9992" width="8.85546875" style="200"/>
    <col min="9993" max="9993" width="13.28515625" style="200" customWidth="1"/>
    <col min="9994" max="9994" width="12.42578125" style="200" customWidth="1"/>
    <col min="9995" max="9995" width="15.85546875" style="200" customWidth="1"/>
    <col min="9996" max="9996" width="8.85546875" style="200"/>
    <col min="9997" max="9997" width="21.7109375" style="200" bestFit="1" customWidth="1"/>
    <col min="9998" max="9999" width="8.85546875" style="200"/>
    <col min="10000" max="10000" width="10.140625" style="200" bestFit="1" customWidth="1"/>
    <col min="10001" max="10242" width="8.85546875" style="200"/>
    <col min="10243" max="10243" width="13.85546875" style="200" customWidth="1"/>
    <col min="10244" max="10244" width="19" style="200" customWidth="1"/>
    <col min="10245" max="10245" width="14.140625" style="200" customWidth="1"/>
    <col min="10246" max="10246" width="18.28515625" style="200" customWidth="1"/>
    <col min="10247" max="10247" width="22.42578125" style="200" customWidth="1"/>
    <col min="10248" max="10248" width="8.85546875" style="200"/>
    <col min="10249" max="10249" width="13.28515625" style="200" customWidth="1"/>
    <col min="10250" max="10250" width="12.42578125" style="200" customWidth="1"/>
    <col min="10251" max="10251" width="15.85546875" style="200" customWidth="1"/>
    <col min="10252" max="10252" width="8.85546875" style="200"/>
    <col min="10253" max="10253" width="21.7109375" style="200" bestFit="1" customWidth="1"/>
    <col min="10254" max="10255" width="8.85546875" style="200"/>
    <col min="10256" max="10256" width="10.140625" style="200" bestFit="1" customWidth="1"/>
    <col min="10257" max="10498" width="8.85546875" style="200"/>
    <col min="10499" max="10499" width="13.85546875" style="200" customWidth="1"/>
    <col min="10500" max="10500" width="19" style="200" customWidth="1"/>
    <col min="10501" max="10501" width="14.140625" style="200" customWidth="1"/>
    <col min="10502" max="10502" width="18.28515625" style="200" customWidth="1"/>
    <col min="10503" max="10503" width="22.42578125" style="200" customWidth="1"/>
    <col min="10504" max="10504" width="8.85546875" style="200"/>
    <col min="10505" max="10505" width="13.28515625" style="200" customWidth="1"/>
    <col min="10506" max="10506" width="12.42578125" style="200" customWidth="1"/>
    <col min="10507" max="10507" width="15.85546875" style="200" customWidth="1"/>
    <col min="10508" max="10508" width="8.85546875" style="200"/>
    <col min="10509" max="10509" width="21.7109375" style="200" bestFit="1" customWidth="1"/>
    <col min="10510" max="10511" width="8.85546875" style="200"/>
    <col min="10512" max="10512" width="10.140625" style="200" bestFit="1" customWidth="1"/>
    <col min="10513" max="10754" width="8.85546875" style="200"/>
    <col min="10755" max="10755" width="13.85546875" style="200" customWidth="1"/>
    <col min="10756" max="10756" width="19" style="200" customWidth="1"/>
    <col min="10757" max="10757" width="14.140625" style="200" customWidth="1"/>
    <col min="10758" max="10758" width="18.28515625" style="200" customWidth="1"/>
    <col min="10759" max="10759" width="22.42578125" style="200" customWidth="1"/>
    <col min="10760" max="10760" width="8.85546875" style="200"/>
    <col min="10761" max="10761" width="13.28515625" style="200" customWidth="1"/>
    <col min="10762" max="10762" width="12.42578125" style="200" customWidth="1"/>
    <col min="10763" max="10763" width="15.85546875" style="200" customWidth="1"/>
    <col min="10764" max="10764" width="8.85546875" style="200"/>
    <col min="10765" max="10765" width="21.7109375" style="200" bestFit="1" customWidth="1"/>
    <col min="10766" max="10767" width="8.85546875" style="200"/>
    <col min="10768" max="10768" width="10.140625" style="200" bestFit="1" customWidth="1"/>
    <col min="10769" max="11010" width="8.85546875" style="200"/>
    <col min="11011" max="11011" width="13.85546875" style="200" customWidth="1"/>
    <col min="11012" max="11012" width="19" style="200" customWidth="1"/>
    <col min="11013" max="11013" width="14.140625" style="200" customWidth="1"/>
    <col min="11014" max="11014" width="18.28515625" style="200" customWidth="1"/>
    <col min="11015" max="11015" width="22.42578125" style="200" customWidth="1"/>
    <col min="11016" max="11016" width="8.85546875" style="200"/>
    <col min="11017" max="11017" width="13.28515625" style="200" customWidth="1"/>
    <col min="11018" max="11018" width="12.42578125" style="200" customWidth="1"/>
    <col min="11019" max="11019" width="15.85546875" style="200" customWidth="1"/>
    <col min="11020" max="11020" width="8.85546875" style="200"/>
    <col min="11021" max="11021" width="21.7109375" style="200" bestFit="1" customWidth="1"/>
    <col min="11022" max="11023" width="8.85546875" style="200"/>
    <col min="11024" max="11024" width="10.140625" style="200" bestFit="1" customWidth="1"/>
    <col min="11025" max="11266" width="8.85546875" style="200"/>
    <col min="11267" max="11267" width="13.85546875" style="200" customWidth="1"/>
    <col min="11268" max="11268" width="19" style="200" customWidth="1"/>
    <col min="11269" max="11269" width="14.140625" style="200" customWidth="1"/>
    <col min="11270" max="11270" width="18.28515625" style="200" customWidth="1"/>
    <col min="11271" max="11271" width="22.42578125" style="200" customWidth="1"/>
    <col min="11272" max="11272" width="8.85546875" style="200"/>
    <col min="11273" max="11273" width="13.28515625" style="200" customWidth="1"/>
    <col min="11274" max="11274" width="12.42578125" style="200" customWidth="1"/>
    <col min="11275" max="11275" width="15.85546875" style="200" customWidth="1"/>
    <col min="11276" max="11276" width="8.85546875" style="200"/>
    <col min="11277" max="11277" width="21.7109375" style="200" bestFit="1" customWidth="1"/>
    <col min="11278" max="11279" width="8.85546875" style="200"/>
    <col min="11280" max="11280" width="10.140625" style="200" bestFit="1" customWidth="1"/>
    <col min="11281" max="11522" width="8.85546875" style="200"/>
    <col min="11523" max="11523" width="13.85546875" style="200" customWidth="1"/>
    <col min="11524" max="11524" width="19" style="200" customWidth="1"/>
    <col min="11525" max="11525" width="14.140625" style="200" customWidth="1"/>
    <col min="11526" max="11526" width="18.28515625" style="200" customWidth="1"/>
    <col min="11527" max="11527" width="22.42578125" style="200" customWidth="1"/>
    <col min="11528" max="11528" width="8.85546875" style="200"/>
    <col min="11529" max="11529" width="13.28515625" style="200" customWidth="1"/>
    <col min="11530" max="11530" width="12.42578125" style="200" customWidth="1"/>
    <col min="11531" max="11531" width="15.85546875" style="200" customWidth="1"/>
    <col min="11532" max="11532" width="8.85546875" style="200"/>
    <col min="11533" max="11533" width="21.7109375" style="200" bestFit="1" customWidth="1"/>
    <col min="11534" max="11535" width="8.85546875" style="200"/>
    <col min="11536" max="11536" width="10.140625" style="200" bestFit="1" customWidth="1"/>
    <col min="11537" max="11778" width="8.85546875" style="200"/>
    <col min="11779" max="11779" width="13.85546875" style="200" customWidth="1"/>
    <col min="11780" max="11780" width="19" style="200" customWidth="1"/>
    <col min="11781" max="11781" width="14.140625" style="200" customWidth="1"/>
    <col min="11782" max="11782" width="18.28515625" style="200" customWidth="1"/>
    <col min="11783" max="11783" width="22.42578125" style="200" customWidth="1"/>
    <col min="11784" max="11784" width="8.85546875" style="200"/>
    <col min="11785" max="11785" width="13.28515625" style="200" customWidth="1"/>
    <col min="11786" max="11786" width="12.42578125" style="200" customWidth="1"/>
    <col min="11787" max="11787" width="15.85546875" style="200" customWidth="1"/>
    <col min="11788" max="11788" width="8.85546875" style="200"/>
    <col min="11789" max="11789" width="21.7109375" style="200" bestFit="1" customWidth="1"/>
    <col min="11790" max="11791" width="8.85546875" style="200"/>
    <col min="11792" max="11792" width="10.140625" style="200" bestFit="1" customWidth="1"/>
    <col min="11793" max="12034" width="8.85546875" style="200"/>
    <col min="12035" max="12035" width="13.85546875" style="200" customWidth="1"/>
    <col min="12036" max="12036" width="19" style="200" customWidth="1"/>
    <col min="12037" max="12037" width="14.140625" style="200" customWidth="1"/>
    <col min="12038" max="12038" width="18.28515625" style="200" customWidth="1"/>
    <col min="12039" max="12039" width="22.42578125" style="200" customWidth="1"/>
    <col min="12040" max="12040" width="8.85546875" style="200"/>
    <col min="12041" max="12041" width="13.28515625" style="200" customWidth="1"/>
    <col min="12042" max="12042" width="12.42578125" style="200" customWidth="1"/>
    <col min="12043" max="12043" width="15.85546875" style="200" customWidth="1"/>
    <col min="12044" max="12044" width="8.85546875" style="200"/>
    <col min="12045" max="12045" width="21.7109375" style="200" bestFit="1" customWidth="1"/>
    <col min="12046" max="12047" width="8.85546875" style="200"/>
    <col min="12048" max="12048" width="10.140625" style="200" bestFit="1" customWidth="1"/>
    <col min="12049" max="12290" width="8.85546875" style="200"/>
    <col min="12291" max="12291" width="13.85546875" style="200" customWidth="1"/>
    <col min="12292" max="12292" width="19" style="200" customWidth="1"/>
    <col min="12293" max="12293" width="14.140625" style="200" customWidth="1"/>
    <col min="12294" max="12294" width="18.28515625" style="200" customWidth="1"/>
    <col min="12295" max="12295" width="22.42578125" style="200" customWidth="1"/>
    <col min="12296" max="12296" width="8.85546875" style="200"/>
    <col min="12297" max="12297" width="13.28515625" style="200" customWidth="1"/>
    <col min="12298" max="12298" width="12.42578125" style="200" customWidth="1"/>
    <col min="12299" max="12299" width="15.85546875" style="200" customWidth="1"/>
    <col min="12300" max="12300" width="8.85546875" style="200"/>
    <col min="12301" max="12301" width="21.7109375" style="200" bestFit="1" customWidth="1"/>
    <col min="12302" max="12303" width="8.85546875" style="200"/>
    <col min="12304" max="12304" width="10.140625" style="200" bestFit="1" customWidth="1"/>
    <col min="12305" max="12546" width="8.85546875" style="200"/>
    <col min="12547" max="12547" width="13.85546875" style="200" customWidth="1"/>
    <col min="12548" max="12548" width="19" style="200" customWidth="1"/>
    <col min="12549" max="12549" width="14.140625" style="200" customWidth="1"/>
    <col min="12550" max="12550" width="18.28515625" style="200" customWidth="1"/>
    <col min="12551" max="12551" width="22.42578125" style="200" customWidth="1"/>
    <col min="12552" max="12552" width="8.85546875" style="200"/>
    <col min="12553" max="12553" width="13.28515625" style="200" customWidth="1"/>
    <col min="12554" max="12554" width="12.42578125" style="200" customWidth="1"/>
    <col min="12555" max="12555" width="15.85546875" style="200" customWidth="1"/>
    <col min="12556" max="12556" width="8.85546875" style="200"/>
    <col min="12557" max="12557" width="21.7109375" style="200" bestFit="1" customWidth="1"/>
    <col min="12558" max="12559" width="8.85546875" style="200"/>
    <col min="12560" max="12560" width="10.140625" style="200" bestFit="1" customWidth="1"/>
    <col min="12561" max="12802" width="8.85546875" style="200"/>
    <col min="12803" max="12803" width="13.85546875" style="200" customWidth="1"/>
    <col min="12804" max="12804" width="19" style="200" customWidth="1"/>
    <col min="12805" max="12805" width="14.140625" style="200" customWidth="1"/>
    <col min="12806" max="12806" width="18.28515625" style="200" customWidth="1"/>
    <col min="12807" max="12807" width="22.42578125" style="200" customWidth="1"/>
    <col min="12808" max="12808" width="8.85546875" style="200"/>
    <col min="12809" max="12809" width="13.28515625" style="200" customWidth="1"/>
    <col min="12810" max="12810" width="12.42578125" style="200" customWidth="1"/>
    <col min="12811" max="12811" width="15.85546875" style="200" customWidth="1"/>
    <col min="12812" max="12812" width="8.85546875" style="200"/>
    <col min="12813" max="12813" width="21.7109375" style="200" bestFit="1" customWidth="1"/>
    <col min="12814" max="12815" width="8.85546875" style="200"/>
    <col min="12816" max="12816" width="10.140625" style="200" bestFit="1" customWidth="1"/>
    <col min="12817" max="13058" width="8.85546875" style="200"/>
    <col min="13059" max="13059" width="13.85546875" style="200" customWidth="1"/>
    <col min="13060" max="13060" width="19" style="200" customWidth="1"/>
    <col min="13061" max="13061" width="14.140625" style="200" customWidth="1"/>
    <col min="13062" max="13062" width="18.28515625" style="200" customWidth="1"/>
    <col min="13063" max="13063" width="22.42578125" style="200" customWidth="1"/>
    <col min="13064" max="13064" width="8.85546875" style="200"/>
    <col min="13065" max="13065" width="13.28515625" style="200" customWidth="1"/>
    <col min="13066" max="13066" width="12.42578125" style="200" customWidth="1"/>
    <col min="13067" max="13067" width="15.85546875" style="200" customWidth="1"/>
    <col min="13068" max="13068" width="8.85546875" style="200"/>
    <col min="13069" max="13069" width="21.7109375" style="200" bestFit="1" customWidth="1"/>
    <col min="13070" max="13071" width="8.85546875" style="200"/>
    <col min="13072" max="13072" width="10.140625" style="200" bestFit="1" customWidth="1"/>
    <col min="13073" max="13314" width="8.85546875" style="200"/>
    <col min="13315" max="13315" width="13.85546875" style="200" customWidth="1"/>
    <col min="13316" max="13316" width="19" style="200" customWidth="1"/>
    <col min="13317" max="13317" width="14.140625" style="200" customWidth="1"/>
    <col min="13318" max="13318" width="18.28515625" style="200" customWidth="1"/>
    <col min="13319" max="13319" width="22.42578125" style="200" customWidth="1"/>
    <col min="13320" max="13320" width="8.85546875" style="200"/>
    <col min="13321" max="13321" width="13.28515625" style="200" customWidth="1"/>
    <col min="13322" max="13322" width="12.42578125" style="200" customWidth="1"/>
    <col min="13323" max="13323" width="15.85546875" style="200" customWidth="1"/>
    <col min="13324" max="13324" width="8.85546875" style="200"/>
    <col min="13325" max="13325" width="21.7109375" style="200" bestFit="1" customWidth="1"/>
    <col min="13326" max="13327" width="8.85546875" style="200"/>
    <col min="13328" max="13328" width="10.140625" style="200" bestFit="1" customWidth="1"/>
    <col min="13329" max="13570" width="8.85546875" style="200"/>
    <col min="13571" max="13571" width="13.85546875" style="200" customWidth="1"/>
    <col min="13572" max="13572" width="19" style="200" customWidth="1"/>
    <col min="13573" max="13573" width="14.140625" style="200" customWidth="1"/>
    <col min="13574" max="13574" width="18.28515625" style="200" customWidth="1"/>
    <col min="13575" max="13575" width="22.42578125" style="200" customWidth="1"/>
    <col min="13576" max="13576" width="8.85546875" style="200"/>
    <col min="13577" max="13577" width="13.28515625" style="200" customWidth="1"/>
    <col min="13578" max="13578" width="12.42578125" style="200" customWidth="1"/>
    <col min="13579" max="13579" width="15.85546875" style="200" customWidth="1"/>
    <col min="13580" max="13580" width="8.85546875" style="200"/>
    <col min="13581" max="13581" width="21.7109375" style="200" bestFit="1" customWidth="1"/>
    <col min="13582" max="13583" width="8.85546875" style="200"/>
    <col min="13584" max="13584" width="10.140625" style="200" bestFit="1" customWidth="1"/>
    <col min="13585" max="13826" width="8.85546875" style="200"/>
    <col min="13827" max="13827" width="13.85546875" style="200" customWidth="1"/>
    <col min="13828" max="13828" width="19" style="200" customWidth="1"/>
    <col min="13829" max="13829" width="14.140625" style="200" customWidth="1"/>
    <col min="13830" max="13830" width="18.28515625" style="200" customWidth="1"/>
    <col min="13831" max="13831" width="22.42578125" style="200" customWidth="1"/>
    <col min="13832" max="13832" width="8.85546875" style="200"/>
    <col min="13833" max="13833" width="13.28515625" style="200" customWidth="1"/>
    <col min="13834" max="13834" width="12.42578125" style="200" customWidth="1"/>
    <col min="13835" max="13835" width="15.85546875" style="200" customWidth="1"/>
    <col min="13836" max="13836" width="8.85546875" style="200"/>
    <col min="13837" max="13837" width="21.7109375" style="200" bestFit="1" customWidth="1"/>
    <col min="13838" max="13839" width="8.85546875" style="200"/>
    <col min="13840" max="13840" width="10.140625" style="200" bestFit="1" customWidth="1"/>
    <col min="13841" max="14082" width="8.85546875" style="200"/>
    <col min="14083" max="14083" width="13.85546875" style="200" customWidth="1"/>
    <col min="14084" max="14084" width="19" style="200" customWidth="1"/>
    <col min="14085" max="14085" width="14.140625" style="200" customWidth="1"/>
    <col min="14086" max="14086" width="18.28515625" style="200" customWidth="1"/>
    <col min="14087" max="14087" width="22.42578125" style="200" customWidth="1"/>
    <col min="14088" max="14088" width="8.85546875" style="200"/>
    <col min="14089" max="14089" width="13.28515625" style="200" customWidth="1"/>
    <col min="14090" max="14090" width="12.42578125" style="200" customWidth="1"/>
    <col min="14091" max="14091" width="15.85546875" style="200" customWidth="1"/>
    <col min="14092" max="14092" width="8.85546875" style="200"/>
    <col min="14093" max="14093" width="21.7109375" style="200" bestFit="1" customWidth="1"/>
    <col min="14094" max="14095" width="8.85546875" style="200"/>
    <col min="14096" max="14096" width="10.140625" style="200" bestFit="1" customWidth="1"/>
    <col min="14097" max="14338" width="8.85546875" style="200"/>
    <col min="14339" max="14339" width="13.85546875" style="200" customWidth="1"/>
    <col min="14340" max="14340" width="19" style="200" customWidth="1"/>
    <col min="14341" max="14341" width="14.140625" style="200" customWidth="1"/>
    <col min="14342" max="14342" width="18.28515625" style="200" customWidth="1"/>
    <col min="14343" max="14343" width="22.42578125" style="200" customWidth="1"/>
    <col min="14344" max="14344" width="8.85546875" style="200"/>
    <col min="14345" max="14345" width="13.28515625" style="200" customWidth="1"/>
    <col min="14346" max="14346" width="12.42578125" style="200" customWidth="1"/>
    <col min="14347" max="14347" width="15.85546875" style="200" customWidth="1"/>
    <col min="14348" max="14348" width="8.85546875" style="200"/>
    <col min="14349" max="14349" width="21.7109375" style="200" bestFit="1" customWidth="1"/>
    <col min="14350" max="14351" width="8.85546875" style="200"/>
    <col min="14352" max="14352" width="10.140625" style="200" bestFit="1" customWidth="1"/>
    <col min="14353" max="14594" width="8.85546875" style="200"/>
    <col min="14595" max="14595" width="13.85546875" style="200" customWidth="1"/>
    <col min="14596" max="14596" width="19" style="200" customWidth="1"/>
    <col min="14597" max="14597" width="14.140625" style="200" customWidth="1"/>
    <col min="14598" max="14598" width="18.28515625" style="200" customWidth="1"/>
    <col min="14599" max="14599" width="22.42578125" style="200" customWidth="1"/>
    <col min="14600" max="14600" width="8.85546875" style="200"/>
    <col min="14601" max="14601" width="13.28515625" style="200" customWidth="1"/>
    <col min="14602" max="14602" width="12.42578125" style="200" customWidth="1"/>
    <col min="14603" max="14603" width="15.85546875" style="200" customWidth="1"/>
    <col min="14604" max="14604" width="8.85546875" style="200"/>
    <col min="14605" max="14605" width="21.7109375" style="200" bestFit="1" customWidth="1"/>
    <col min="14606" max="14607" width="8.85546875" style="200"/>
    <col min="14608" max="14608" width="10.140625" style="200" bestFit="1" customWidth="1"/>
    <col min="14609" max="14850" width="8.85546875" style="200"/>
    <col min="14851" max="14851" width="13.85546875" style="200" customWidth="1"/>
    <col min="14852" max="14852" width="19" style="200" customWidth="1"/>
    <col min="14853" max="14853" width="14.140625" style="200" customWidth="1"/>
    <col min="14854" max="14854" width="18.28515625" style="200" customWidth="1"/>
    <col min="14855" max="14855" width="22.42578125" style="200" customWidth="1"/>
    <col min="14856" max="14856" width="8.85546875" style="200"/>
    <col min="14857" max="14857" width="13.28515625" style="200" customWidth="1"/>
    <col min="14858" max="14858" width="12.42578125" style="200" customWidth="1"/>
    <col min="14859" max="14859" width="15.85546875" style="200" customWidth="1"/>
    <col min="14860" max="14860" width="8.85546875" style="200"/>
    <col min="14861" max="14861" width="21.7109375" style="200" bestFit="1" customWidth="1"/>
    <col min="14862" max="14863" width="8.85546875" style="200"/>
    <col min="14864" max="14864" width="10.140625" style="200" bestFit="1" customWidth="1"/>
    <col min="14865" max="15106" width="8.85546875" style="200"/>
    <col min="15107" max="15107" width="13.85546875" style="200" customWidth="1"/>
    <col min="15108" max="15108" width="19" style="200" customWidth="1"/>
    <col min="15109" max="15109" width="14.140625" style="200" customWidth="1"/>
    <col min="15110" max="15110" width="18.28515625" style="200" customWidth="1"/>
    <col min="15111" max="15111" width="22.42578125" style="200" customWidth="1"/>
    <col min="15112" max="15112" width="8.85546875" style="200"/>
    <col min="15113" max="15113" width="13.28515625" style="200" customWidth="1"/>
    <col min="15114" max="15114" width="12.42578125" style="200" customWidth="1"/>
    <col min="15115" max="15115" width="15.85546875" style="200" customWidth="1"/>
    <col min="15116" max="15116" width="8.85546875" style="200"/>
    <col min="15117" max="15117" width="21.7109375" style="200" bestFit="1" customWidth="1"/>
    <col min="15118" max="15119" width="8.85546875" style="200"/>
    <col min="15120" max="15120" width="10.140625" style="200" bestFit="1" customWidth="1"/>
    <col min="15121" max="15362" width="8.85546875" style="200"/>
    <col min="15363" max="15363" width="13.85546875" style="200" customWidth="1"/>
    <col min="15364" max="15364" width="19" style="200" customWidth="1"/>
    <col min="15365" max="15365" width="14.140625" style="200" customWidth="1"/>
    <col min="15366" max="15366" width="18.28515625" style="200" customWidth="1"/>
    <col min="15367" max="15367" width="22.42578125" style="200" customWidth="1"/>
    <col min="15368" max="15368" width="8.85546875" style="200"/>
    <col min="15369" max="15369" width="13.28515625" style="200" customWidth="1"/>
    <col min="15370" max="15370" width="12.42578125" style="200" customWidth="1"/>
    <col min="15371" max="15371" width="15.85546875" style="200" customWidth="1"/>
    <col min="15372" max="15372" width="8.85546875" style="200"/>
    <col min="15373" max="15373" width="21.7109375" style="200" bestFit="1" customWidth="1"/>
    <col min="15374" max="15375" width="8.85546875" style="200"/>
    <col min="15376" max="15376" width="10.140625" style="200" bestFit="1" customWidth="1"/>
    <col min="15377" max="15618" width="8.85546875" style="200"/>
    <col min="15619" max="15619" width="13.85546875" style="200" customWidth="1"/>
    <col min="15620" max="15620" width="19" style="200" customWidth="1"/>
    <col min="15621" max="15621" width="14.140625" style="200" customWidth="1"/>
    <col min="15622" max="15622" width="18.28515625" style="200" customWidth="1"/>
    <col min="15623" max="15623" width="22.42578125" style="200" customWidth="1"/>
    <col min="15624" max="15624" width="8.85546875" style="200"/>
    <col min="15625" max="15625" width="13.28515625" style="200" customWidth="1"/>
    <col min="15626" max="15626" width="12.42578125" style="200" customWidth="1"/>
    <col min="15627" max="15627" width="15.85546875" style="200" customWidth="1"/>
    <col min="15628" max="15628" width="8.85546875" style="200"/>
    <col min="15629" max="15629" width="21.7109375" style="200" bestFit="1" customWidth="1"/>
    <col min="15630" max="15631" width="8.85546875" style="200"/>
    <col min="15632" max="15632" width="10.140625" style="200" bestFit="1" customWidth="1"/>
    <col min="15633" max="15874" width="8.85546875" style="200"/>
    <col min="15875" max="15875" width="13.85546875" style="200" customWidth="1"/>
    <col min="15876" max="15876" width="19" style="200" customWidth="1"/>
    <col min="15877" max="15877" width="14.140625" style="200" customWidth="1"/>
    <col min="15878" max="15878" width="18.28515625" style="200" customWidth="1"/>
    <col min="15879" max="15879" width="22.42578125" style="200" customWidth="1"/>
    <col min="15880" max="15880" width="8.85546875" style="200"/>
    <col min="15881" max="15881" width="13.28515625" style="200" customWidth="1"/>
    <col min="15882" max="15882" width="12.42578125" style="200" customWidth="1"/>
    <col min="15883" max="15883" width="15.85546875" style="200" customWidth="1"/>
    <col min="15884" max="15884" width="8.85546875" style="200"/>
    <col min="15885" max="15885" width="21.7109375" style="200" bestFit="1" customWidth="1"/>
    <col min="15886" max="15887" width="8.85546875" style="200"/>
    <col min="15888" max="15888" width="10.140625" style="200" bestFit="1" customWidth="1"/>
    <col min="15889" max="16130" width="8.85546875" style="200"/>
    <col min="16131" max="16131" width="13.85546875" style="200" customWidth="1"/>
    <col min="16132" max="16132" width="19" style="200" customWidth="1"/>
    <col min="16133" max="16133" width="14.140625" style="200" customWidth="1"/>
    <col min="16134" max="16134" width="18.28515625" style="200" customWidth="1"/>
    <col min="16135" max="16135" width="22.42578125" style="200" customWidth="1"/>
    <col min="16136" max="16136" width="8.85546875" style="200"/>
    <col min="16137" max="16137" width="13.28515625" style="200" customWidth="1"/>
    <col min="16138" max="16138" width="12.42578125" style="200" customWidth="1"/>
    <col min="16139" max="16139" width="15.85546875" style="200" customWidth="1"/>
    <col min="16140" max="16140" width="8.85546875" style="200"/>
    <col min="16141" max="16141" width="21.7109375" style="200" bestFit="1" customWidth="1"/>
    <col min="16142" max="16143" width="8.85546875" style="200"/>
    <col min="16144" max="16144" width="10.140625" style="200" bestFit="1" customWidth="1"/>
    <col min="16145" max="16384" width="8.85546875" style="200"/>
  </cols>
  <sheetData>
    <row r="1" spans="2:13" ht="12.6" customHeight="1"/>
    <row r="3" spans="2:13">
      <c r="B3" s="215" t="s">
        <v>1071</v>
      </c>
      <c r="C3" s="215" t="s">
        <v>1070</v>
      </c>
      <c r="D3" s="215" t="s">
        <v>1072</v>
      </c>
      <c r="E3" s="215" t="s">
        <v>1073</v>
      </c>
      <c r="F3" s="215" t="s">
        <v>1074</v>
      </c>
      <c r="G3" s="215" t="s">
        <v>1075</v>
      </c>
      <c r="H3" s="201"/>
      <c r="I3" s="202"/>
    </row>
    <row r="4" spans="2:13" ht="15" customHeight="1">
      <c r="B4" s="216">
        <v>44227</v>
      </c>
      <c r="C4" s="217"/>
      <c r="D4" s="217"/>
      <c r="E4" s="217"/>
      <c r="F4" s="217"/>
      <c r="G4" s="217"/>
      <c r="I4" s="512" t="s">
        <v>1076</v>
      </c>
      <c r="J4" s="512"/>
    </row>
    <row r="5" spans="2:13">
      <c r="B5" s="218">
        <v>44255</v>
      </c>
      <c r="C5" s="217"/>
      <c r="D5" s="217"/>
      <c r="E5" s="217"/>
      <c r="F5" s="217"/>
      <c r="G5" s="217"/>
      <c r="I5" s="222" t="s">
        <v>1077</v>
      </c>
      <c r="J5" s="217">
        <f>'Projekt 2-4 - majątek'!C20*1000000</f>
        <v>10343200</v>
      </c>
    </row>
    <row r="6" spans="2:13">
      <c r="B6" s="216">
        <v>44286</v>
      </c>
      <c r="C6" s="217"/>
      <c r="D6" s="217"/>
      <c r="E6" s="217"/>
      <c r="F6" s="217"/>
      <c r="G6" s="217"/>
      <c r="I6" s="222" t="s">
        <v>1078</v>
      </c>
      <c r="J6" s="223">
        <v>0.02</v>
      </c>
      <c r="K6" s="203"/>
    </row>
    <row r="7" spans="2:13">
      <c r="B7" s="218">
        <v>44316</v>
      </c>
      <c r="C7" s="217"/>
      <c r="D7" s="217"/>
      <c r="E7" s="217"/>
      <c r="F7" s="217"/>
      <c r="G7" s="217"/>
      <c r="I7" s="222" t="s">
        <v>1079</v>
      </c>
      <c r="J7" s="217">
        <v>0</v>
      </c>
      <c r="K7" s="204"/>
    </row>
    <row r="8" spans="2:13">
      <c r="B8" s="216">
        <v>44347</v>
      </c>
      <c r="C8" s="217"/>
      <c r="D8" s="217"/>
      <c r="E8" s="217"/>
      <c r="F8" s="217"/>
      <c r="G8" s="217"/>
      <c r="I8" s="222" t="s">
        <v>1080</v>
      </c>
      <c r="J8" s="217">
        <f>12*15</f>
        <v>180</v>
      </c>
    </row>
    <row r="9" spans="2:13">
      <c r="B9" s="218">
        <v>44377</v>
      </c>
      <c r="C9" s="217"/>
      <c r="D9" s="217"/>
      <c r="E9" s="217"/>
      <c r="F9" s="217"/>
      <c r="G9" s="217"/>
      <c r="H9" s="205"/>
      <c r="K9" s="206"/>
    </row>
    <row r="10" spans="2:13">
      <c r="B10" s="216">
        <v>44408</v>
      </c>
      <c r="C10" s="217"/>
      <c r="D10" s="217"/>
      <c r="E10" s="217"/>
      <c r="F10" s="217"/>
      <c r="G10" s="217"/>
      <c r="J10" s="206"/>
    </row>
    <row r="11" spans="2:13">
      <c r="B11" s="218">
        <v>44439</v>
      </c>
      <c r="C11" s="217"/>
      <c r="D11" s="217"/>
      <c r="E11" s="217"/>
      <c r="F11" s="217"/>
      <c r="G11" s="217"/>
    </row>
    <row r="12" spans="2:13">
      <c r="B12" s="216">
        <v>44469</v>
      </c>
      <c r="C12" s="217"/>
      <c r="D12" s="217"/>
      <c r="E12" s="217"/>
      <c r="F12" s="217"/>
      <c r="G12" s="217"/>
      <c r="J12" s="206"/>
    </row>
    <row r="13" spans="2:13">
      <c r="B13" s="218">
        <v>44500</v>
      </c>
      <c r="C13" s="217"/>
      <c r="D13" s="217"/>
      <c r="E13" s="217"/>
      <c r="F13" s="217"/>
      <c r="G13" s="217"/>
    </row>
    <row r="14" spans="2:13">
      <c r="B14" s="216">
        <v>44530</v>
      </c>
      <c r="C14" s="217">
        <f>'Projekt 2-4 - majątek'!E20*1000000</f>
        <v>543200</v>
      </c>
      <c r="D14" s="217"/>
      <c r="E14" s="217"/>
      <c r="F14" s="217"/>
      <c r="G14" s="217"/>
    </row>
    <row r="15" spans="2:13">
      <c r="B15" s="219">
        <v>44561</v>
      </c>
      <c r="C15" s="220">
        <f>C14</f>
        <v>543200</v>
      </c>
      <c r="D15" s="220">
        <v>0</v>
      </c>
      <c r="E15" s="220">
        <v>0</v>
      </c>
      <c r="F15" s="220">
        <f t="shared" ref="F15:F78" si="0">D15+E15</f>
        <v>0</v>
      </c>
      <c r="G15" s="220">
        <f t="shared" ref="G15:G78" si="1">C15-E15</f>
        <v>543200</v>
      </c>
      <c r="H15" s="213"/>
      <c r="I15" s="214">
        <f>SUM(D4:D15)</f>
        <v>0</v>
      </c>
      <c r="J15" s="214">
        <f>SUM(E4:E15)</f>
        <v>0</v>
      </c>
      <c r="K15" s="214">
        <f>I15+J15</f>
        <v>0</v>
      </c>
      <c r="M15" s="206"/>
    </row>
    <row r="16" spans="2:13">
      <c r="B16" s="216">
        <v>44592</v>
      </c>
      <c r="C16" s="217">
        <f>G15+'Projekt 2-4 - majątek'!F20*1000000</f>
        <v>4113199.9999999995</v>
      </c>
      <c r="D16" s="217">
        <f t="shared" ref="D16:D79" si="2">C16*$J$6/12</f>
        <v>6855.3333333333321</v>
      </c>
      <c r="E16" s="217">
        <f>$J$5/$J$8</f>
        <v>57462.222222222219</v>
      </c>
      <c r="F16" s="217">
        <f t="shared" si="0"/>
        <v>64317.555555555547</v>
      </c>
      <c r="G16" s="217">
        <f t="shared" si="1"/>
        <v>4055737.7777777775</v>
      </c>
    </row>
    <row r="17" spans="2:11">
      <c r="B17" s="218">
        <v>44620</v>
      </c>
      <c r="C17" s="217">
        <f>G16</f>
        <v>4055737.7777777775</v>
      </c>
      <c r="D17" s="217">
        <f t="shared" si="2"/>
        <v>6759.562962962963</v>
      </c>
      <c r="E17" s="217">
        <f t="shared" ref="E17:E27" si="3">$J$5/$J$8</f>
        <v>57462.222222222219</v>
      </c>
      <c r="F17" s="217">
        <f t="shared" si="0"/>
        <v>64221.785185185181</v>
      </c>
      <c r="G17" s="217">
        <f t="shared" si="1"/>
        <v>3998275.5555555555</v>
      </c>
    </row>
    <row r="18" spans="2:11">
      <c r="B18" s="216">
        <v>44651</v>
      </c>
      <c r="C18" s="217">
        <f t="shared" ref="C18:C26" si="4">G17</f>
        <v>3998275.5555555555</v>
      </c>
      <c r="D18" s="217">
        <f t="shared" si="2"/>
        <v>6663.7925925925929</v>
      </c>
      <c r="E18" s="217">
        <f t="shared" si="3"/>
        <v>57462.222222222219</v>
      </c>
      <c r="F18" s="217">
        <f t="shared" si="0"/>
        <v>64126.014814814815</v>
      </c>
      <c r="G18" s="217">
        <f t="shared" si="1"/>
        <v>3940813.3333333335</v>
      </c>
    </row>
    <row r="19" spans="2:11">
      <c r="B19" s="218">
        <v>44681</v>
      </c>
      <c r="C19" s="217">
        <f t="shared" si="4"/>
        <v>3940813.3333333335</v>
      </c>
      <c r="D19" s="217">
        <f t="shared" si="2"/>
        <v>6568.0222222222228</v>
      </c>
      <c r="E19" s="217">
        <f t="shared" si="3"/>
        <v>57462.222222222219</v>
      </c>
      <c r="F19" s="217">
        <f t="shared" si="0"/>
        <v>64030.244444444441</v>
      </c>
      <c r="G19" s="217">
        <f t="shared" si="1"/>
        <v>3883351.1111111115</v>
      </c>
    </row>
    <row r="20" spans="2:11">
      <c r="B20" s="216">
        <v>44712</v>
      </c>
      <c r="C20" s="217">
        <f t="shared" si="4"/>
        <v>3883351.1111111115</v>
      </c>
      <c r="D20" s="217">
        <f t="shared" si="2"/>
        <v>6472.2518518518527</v>
      </c>
      <c r="E20" s="217">
        <f t="shared" si="3"/>
        <v>57462.222222222219</v>
      </c>
      <c r="F20" s="217">
        <f t="shared" si="0"/>
        <v>63934.474074074074</v>
      </c>
      <c r="G20" s="217">
        <f t="shared" si="1"/>
        <v>3825888.8888888895</v>
      </c>
    </row>
    <row r="21" spans="2:11">
      <c r="B21" s="218">
        <v>44742</v>
      </c>
      <c r="C21" s="217">
        <f>G20</f>
        <v>3825888.8888888895</v>
      </c>
      <c r="D21" s="217">
        <f t="shared" si="2"/>
        <v>6376.4814814814827</v>
      </c>
      <c r="E21" s="217">
        <f t="shared" si="3"/>
        <v>57462.222222222219</v>
      </c>
      <c r="F21" s="217">
        <f t="shared" si="0"/>
        <v>63838.703703703701</v>
      </c>
      <c r="G21" s="217">
        <f t="shared" si="1"/>
        <v>3768426.6666666674</v>
      </c>
      <c r="H21" s="205"/>
      <c r="I21" s="206"/>
      <c r="J21" s="206"/>
      <c r="K21" s="206"/>
    </row>
    <row r="22" spans="2:11">
      <c r="B22" s="216">
        <v>44773</v>
      </c>
      <c r="C22" s="217">
        <f t="shared" si="4"/>
        <v>3768426.6666666674</v>
      </c>
      <c r="D22" s="217">
        <f t="shared" si="2"/>
        <v>6280.7111111111126</v>
      </c>
      <c r="E22" s="217">
        <f t="shared" si="3"/>
        <v>57462.222222222219</v>
      </c>
      <c r="F22" s="217">
        <f t="shared" si="0"/>
        <v>63742.933333333334</v>
      </c>
      <c r="G22" s="217">
        <f t="shared" si="1"/>
        <v>3710964.4444444454</v>
      </c>
    </row>
    <row r="23" spans="2:11">
      <c r="B23" s="218">
        <v>44804</v>
      </c>
      <c r="C23" s="217">
        <f t="shared" si="4"/>
        <v>3710964.4444444454</v>
      </c>
      <c r="D23" s="217">
        <f t="shared" si="2"/>
        <v>6184.9407407407425</v>
      </c>
      <c r="E23" s="217">
        <f t="shared" si="3"/>
        <v>57462.222222222219</v>
      </c>
      <c r="F23" s="217">
        <f t="shared" si="0"/>
        <v>63647.162962962961</v>
      </c>
      <c r="G23" s="217">
        <f t="shared" si="1"/>
        <v>3653502.2222222234</v>
      </c>
    </row>
    <row r="24" spans="2:11">
      <c r="B24" s="216">
        <v>44834</v>
      </c>
      <c r="C24" s="217">
        <f t="shared" si="4"/>
        <v>3653502.2222222234</v>
      </c>
      <c r="D24" s="217">
        <f t="shared" si="2"/>
        <v>6089.1703703703724</v>
      </c>
      <c r="E24" s="217">
        <f t="shared" si="3"/>
        <v>57462.222222222219</v>
      </c>
      <c r="F24" s="217">
        <f t="shared" si="0"/>
        <v>63551.392592592594</v>
      </c>
      <c r="G24" s="217">
        <f t="shared" si="1"/>
        <v>3596040.0000000014</v>
      </c>
    </row>
    <row r="25" spans="2:11">
      <c r="B25" s="218">
        <v>44865</v>
      </c>
      <c r="C25" s="217">
        <f t="shared" si="4"/>
        <v>3596040.0000000014</v>
      </c>
      <c r="D25" s="217">
        <f t="shared" si="2"/>
        <v>5993.4000000000024</v>
      </c>
      <c r="E25" s="217">
        <f t="shared" si="3"/>
        <v>57462.222222222219</v>
      </c>
      <c r="F25" s="217">
        <f t="shared" si="0"/>
        <v>63455.62222222222</v>
      </c>
      <c r="G25" s="217">
        <f t="shared" si="1"/>
        <v>3538577.7777777794</v>
      </c>
    </row>
    <row r="26" spans="2:11">
      <c r="B26" s="216">
        <v>44895</v>
      </c>
      <c r="C26" s="217">
        <f t="shared" si="4"/>
        <v>3538577.7777777794</v>
      </c>
      <c r="D26" s="217">
        <f t="shared" si="2"/>
        <v>5897.6296296296323</v>
      </c>
      <c r="E26" s="217">
        <f t="shared" si="3"/>
        <v>57462.222222222219</v>
      </c>
      <c r="F26" s="217">
        <f t="shared" si="0"/>
        <v>63359.851851851854</v>
      </c>
      <c r="G26" s="217">
        <f t="shared" si="1"/>
        <v>3481115.5555555574</v>
      </c>
    </row>
    <row r="27" spans="2:11">
      <c r="B27" s="219">
        <v>44926</v>
      </c>
      <c r="C27" s="220">
        <f>G26</f>
        <v>3481115.5555555574</v>
      </c>
      <c r="D27" s="220">
        <f t="shared" si="2"/>
        <v>5801.8592592592622</v>
      </c>
      <c r="E27" s="220">
        <f t="shared" si="3"/>
        <v>57462.222222222219</v>
      </c>
      <c r="F27" s="220">
        <f t="shared" si="0"/>
        <v>63264.08148148148</v>
      </c>
      <c r="G27" s="220">
        <f t="shared" si="1"/>
        <v>3423653.3333333354</v>
      </c>
      <c r="H27" s="213"/>
      <c r="I27" s="214">
        <f>SUM(D16:D27)</f>
        <v>75943.155555555568</v>
      </c>
      <c r="J27" s="214">
        <f>SUM(E16:E27)</f>
        <v>689546.66666666686</v>
      </c>
      <c r="K27" s="214">
        <f>I27+J27</f>
        <v>765489.82222222246</v>
      </c>
    </row>
    <row r="28" spans="2:11">
      <c r="B28" s="218">
        <v>44957</v>
      </c>
      <c r="C28" s="217">
        <f>G27+'Projekt 2-4 - majątek'!G20*1000000</f>
        <v>9653653.3333333358</v>
      </c>
      <c r="D28" s="217">
        <f t="shared" si="2"/>
        <v>16089.422222222225</v>
      </c>
      <c r="E28" s="217">
        <f>$J$5/$J$8</f>
        <v>57462.222222222219</v>
      </c>
      <c r="F28" s="217">
        <f t="shared" si="0"/>
        <v>73551.64444444445</v>
      </c>
      <c r="G28" s="217">
        <f t="shared" si="1"/>
        <v>9596191.1111111138</v>
      </c>
      <c r="I28" s="206"/>
      <c r="J28" s="206"/>
      <c r="K28" s="206"/>
    </row>
    <row r="29" spans="2:11">
      <c r="B29" s="216">
        <v>44985</v>
      </c>
      <c r="C29" s="217">
        <f t="shared" ref="C29:C92" si="5">G28</f>
        <v>9596191.1111111138</v>
      </c>
      <c r="D29" s="217">
        <f t="shared" si="2"/>
        <v>15993.651851851857</v>
      </c>
      <c r="E29" s="217">
        <f t="shared" ref="E29:E92" si="6">$J$5/$J$8</f>
        <v>57462.222222222219</v>
      </c>
      <c r="F29" s="217">
        <f t="shared" si="0"/>
        <v>73455.874074074076</v>
      </c>
      <c r="G29" s="217">
        <f t="shared" si="1"/>
        <v>9538728.8888888918</v>
      </c>
      <c r="I29" s="206"/>
      <c r="J29" s="206"/>
      <c r="K29" s="206"/>
    </row>
    <row r="30" spans="2:11">
      <c r="B30" s="218">
        <v>45016</v>
      </c>
      <c r="C30" s="217">
        <f t="shared" si="5"/>
        <v>9538728.8888888918</v>
      </c>
      <c r="D30" s="217">
        <f t="shared" si="2"/>
        <v>15897.881481481485</v>
      </c>
      <c r="E30" s="217">
        <f t="shared" si="6"/>
        <v>57462.222222222219</v>
      </c>
      <c r="F30" s="217">
        <f t="shared" si="0"/>
        <v>73360.103703703702</v>
      </c>
      <c r="G30" s="217">
        <f t="shared" si="1"/>
        <v>9481266.6666666698</v>
      </c>
      <c r="I30" s="206"/>
      <c r="J30" s="206"/>
      <c r="K30" s="206"/>
    </row>
    <row r="31" spans="2:11">
      <c r="B31" s="216">
        <v>45046</v>
      </c>
      <c r="C31" s="217">
        <f t="shared" si="5"/>
        <v>9481266.6666666698</v>
      </c>
      <c r="D31" s="217">
        <f t="shared" si="2"/>
        <v>15802.111111111117</v>
      </c>
      <c r="E31" s="217">
        <f t="shared" si="6"/>
        <v>57462.222222222219</v>
      </c>
      <c r="F31" s="217">
        <f t="shared" si="0"/>
        <v>73264.333333333343</v>
      </c>
      <c r="G31" s="217">
        <f t="shared" si="1"/>
        <v>9423804.4444444478</v>
      </c>
      <c r="I31" s="206"/>
      <c r="J31" s="206"/>
      <c r="K31" s="206"/>
    </row>
    <row r="32" spans="2:11">
      <c r="B32" s="218">
        <v>45077</v>
      </c>
      <c r="C32" s="217">
        <f t="shared" si="5"/>
        <v>9423804.4444444478</v>
      </c>
      <c r="D32" s="217">
        <f t="shared" si="2"/>
        <v>15706.340740740745</v>
      </c>
      <c r="E32" s="217">
        <f t="shared" si="6"/>
        <v>57462.222222222219</v>
      </c>
      <c r="F32" s="217">
        <f t="shared" si="0"/>
        <v>73168.562962962969</v>
      </c>
      <c r="G32" s="217">
        <f t="shared" si="1"/>
        <v>9366342.2222222257</v>
      </c>
      <c r="I32" s="206"/>
      <c r="J32" s="206"/>
      <c r="K32" s="206"/>
    </row>
    <row r="33" spans="2:11">
      <c r="B33" s="216">
        <v>45107</v>
      </c>
      <c r="C33" s="217">
        <f t="shared" si="5"/>
        <v>9366342.2222222257</v>
      </c>
      <c r="D33" s="217">
        <f t="shared" si="2"/>
        <v>15610.570370370377</v>
      </c>
      <c r="E33" s="217">
        <f t="shared" si="6"/>
        <v>57462.222222222219</v>
      </c>
      <c r="F33" s="217">
        <f t="shared" si="0"/>
        <v>73072.792592592596</v>
      </c>
      <c r="G33" s="217">
        <f t="shared" si="1"/>
        <v>9308880.0000000037</v>
      </c>
      <c r="I33" s="206"/>
      <c r="J33" s="206"/>
      <c r="K33" s="206"/>
    </row>
    <row r="34" spans="2:11">
      <c r="B34" s="218">
        <v>45138</v>
      </c>
      <c r="C34" s="217">
        <f t="shared" si="5"/>
        <v>9308880.0000000037</v>
      </c>
      <c r="D34" s="217">
        <f t="shared" si="2"/>
        <v>15514.800000000005</v>
      </c>
      <c r="E34" s="217">
        <f t="shared" si="6"/>
        <v>57462.222222222219</v>
      </c>
      <c r="F34" s="217">
        <f t="shared" si="0"/>
        <v>72977.022222222222</v>
      </c>
      <c r="G34" s="217">
        <f t="shared" si="1"/>
        <v>9251417.7777777817</v>
      </c>
      <c r="I34" s="206"/>
      <c r="J34" s="206"/>
      <c r="K34" s="206"/>
    </row>
    <row r="35" spans="2:11">
      <c r="B35" s="216">
        <v>45169</v>
      </c>
      <c r="C35" s="217">
        <f t="shared" si="5"/>
        <v>9251417.7777777817</v>
      </c>
      <c r="D35" s="217">
        <f t="shared" si="2"/>
        <v>15419.029629629636</v>
      </c>
      <c r="E35" s="217">
        <f t="shared" si="6"/>
        <v>57462.222222222219</v>
      </c>
      <c r="F35" s="217">
        <f t="shared" si="0"/>
        <v>72881.251851851848</v>
      </c>
      <c r="G35" s="217">
        <f t="shared" si="1"/>
        <v>9193955.5555555597</v>
      </c>
      <c r="I35" s="206"/>
      <c r="J35" s="206"/>
      <c r="K35" s="206"/>
    </row>
    <row r="36" spans="2:11">
      <c r="B36" s="218">
        <v>45199</v>
      </c>
      <c r="C36" s="217">
        <f t="shared" si="5"/>
        <v>9193955.5555555597</v>
      </c>
      <c r="D36" s="217">
        <f t="shared" si="2"/>
        <v>15323.259259259268</v>
      </c>
      <c r="E36" s="217">
        <f t="shared" si="6"/>
        <v>57462.222222222219</v>
      </c>
      <c r="F36" s="217">
        <f t="shared" si="0"/>
        <v>72785.481481481489</v>
      </c>
      <c r="G36" s="217">
        <f t="shared" si="1"/>
        <v>9136493.3333333377</v>
      </c>
      <c r="I36" s="206"/>
      <c r="J36" s="206"/>
      <c r="K36" s="206"/>
    </row>
    <row r="37" spans="2:11">
      <c r="B37" s="216">
        <v>45230</v>
      </c>
      <c r="C37" s="217">
        <f t="shared" si="5"/>
        <v>9136493.3333333377</v>
      </c>
      <c r="D37" s="217">
        <f t="shared" si="2"/>
        <v>15227.488888888896</v>
      </c>
      <c r="E37" s="217">
        <f t="shared" si="6"/>
        <v>57462.222222222219</v>
      </c>
      <c r="F37" s="217">
        <f t="shared" si="0"/>
        <v>72689.711111111115</v>
      </c>
      <c r="G37" s="217">
        <f t="shared" si="1"/>
        <v>9079031.1111111157</v>
      </c>
      <c r="I37" s="206"/>
      <c r="J37" s="206"/>
      <c r="K37" s="206"/>
    </row>
    <row r="38" spans="2:11">
      <c r="B38" s="218">
        <v>45260</v>
      </c>
      <c r="C38" s="217">
        <f t="shared" si="5"/>
        <v>9079031.1111111157</v>
      </c>
      <c r="D38" s="217">
        <f t="shared" si="2"/>
        <v>15131.718518518528</v>
      </c>
      <c r="E38" s="217">
        <f t="shared" si="6"/>
        <v>57462.222222222219</v>
      </c>
      <c r="F38" s="217">
        <f t="shared" si="0"/>
        <v>72593.940740740742</v>
      </c>
      <c r="G38" s="217">
        <f t="shared" si="1"/>
        <v>9021568.8888888936</v>
      </c>
      <c r="I38" s="206"/>
      <c r="J38" s="206"/>
      <c r="K38" s="206"/>
    </row>
    <row r="39" spans="2:11">
      <c r="B39" s="221">
        <v>45291</v>
      </c>
      <c r="C39" s="220">
        <f>G38</f>
        <v>9021568.8888888936</v>
      </c>
      <c r="D39" s="220">
        <f t="shared" si="2"/>
        <v>15035.948148148156</v>
      </c>
      <c r="E39" s="220">
        <f t="shared" si="6"/>
        <v>57462.222222222219</v>
      </c>
      <c r="F39" s="220">
        <f t="shared" si="0"/>
        <v>72498.170370370382</v>
      </c>
      <c r="G39" s="220">
        <f t="shared" si="1"/>
        <v>8964106.6666666716</v>
      </c>
      <c r="H39" s="213"/>
      <c r="I39" s="214">
        <f>SUM(D28:D39)</f>
        <v>186752.22222222231</v>
      </c>
      <c r="J39" s="214">
        <f>SUM(E28:E39)</f>
        <v>689546.66666666686</v>
      </c>
      <c r="K39" s="214">
        <f>I39+J39</f>
        <v>876298.88888888923</v>
      </c>
    </row>
    <row r="40" spans="2:11">
      <c r="B40" s="218">
        <v>45322</v>
      </c>
      <c r="C40" s="217">
        <f>G39</f>
        <v>8964106.6666666716</v>
      </c>
      <c r="D40" s="217">
        <f t="shared" si="2"/>
        <v>14940.177777777788</v>
      </c>
      <c r="E40" s="217">
        <f t="shared" si="6"/>
        <v>57462.222222222219</v>
      </c>
      <c r="F40" s="217">
        <f t="shared" si="0"/>
        <v>72402.400000000009</v>
      </c>
      <c r="G40" s="217">
        <f t="shared" si="1"/>
        <v>8906644.4444444496</v>
      </c>
      <c r="I40" s="206"/>
      <c r="J40" s="206"/>
      <c r="K40" s="206"/>
    </row>
    <row r="41" spans="2:11">
      <c r="B41" s="218">
        <v>45351</v>
      </c>
      <c r="C41" s="217">
        <f t="shared" si="5"/>
        <v>8906644.4444444496</v>
      </c>
      <c r="D41" s="217">
        <f t="shared" si="2"/>
        <v>14844.407407407416</v>
      </c>
      <c r="E41" s="217">
        <f t="shared" si="6"/>
        <v>57462.222222222219</v>
      </c>
      <c r="F41" s="217">
        <f t="shared" si="0"/>
        <v>72306.629629629635</v>
      </c>
      <c r="G41" s="217">
        <f t="shared" si="1"/>
        <v>8849182.2222222276</v>
      </c>
      <c r="I41" s="206"/>
      <c r="J41" s="206"/>
      <c r="K41" s="206"/>
    </row>
    <row r="42" spans="2:11">
      <c r="B42" s="216">
        <v>45382</v>
      </c>
      <c r="C42" s="217">
        <f t="shared" si="5"/>
        <v>8849182.2222222276</v>
      </c>
      <c r="D42" s="217">
        <f t="shared" si="2"/>
        <v>14748.637037037048</v>
      </c>
      <c r="E42" s="217">
        <f t="shared" si="6"/>
        <v>57462.222222222219</v>
      </c>
      <c r="F42" s="217">
        <f t="shared" si="0"/>
        <v>72210.859259259261</v>
      </c>
      <c r="G42" s="217">
        <f t="shared" si="1"/>
        <v>8791720.0000000056</v>
      </c>
      <c r="I42" s="206"/>
      <c r="J42" s="206"/>
      <c r="K42" s="206"/>
    </row>
    <row r="43" spans="2:11">
      <c r="B43" s="218">
        <v>45412</v>
      </c>
      <c r="C43" s="217">
        <f t="shared" si="5"/>
        <v>8791720.0000000056</v>
      </c>
      <c r="D43" s="217">
        <f t="shared" si="2"/>
        <v>14652.866666666676</v>
      </c>
      <c r="E43" s="217">
        <f t="shared" si="6"/>
        <v>57462.222222222219</v>
      </c>
      <c r="F43" s="217">
        <f t="shared" si="0"/>
        <v>72115.088888888888</v>
      </c>
      <c r="G43" s="217">
        <f t="shared" si="1"/>
        <v>8734257.7777777836</v>
      </c>
      <c r="I43" s="206"/>
      <c r="J43" s="206"/>
      <c r="K43" s="206"/>
    </row>
    <row r="44" spans="2:11">
      <c r="B44" s="216">
        <v>45443</v>
      </c>
      <c r="C44" s="217">
        <f t="shared" si="5"/>
        <v>8734257.7777777836</v>
      </c>
      <c r="D44" s="217">
        <f t="shared" si="2"/>
        <v>14557.096296296308</v>
      </c>
      <c r="E44" s="217">
        <f t="shared" si="6"/>
        <v>57462.222222222219</v>
      </c>
      <c r="F44" s="217">
        <f t="shared" si="0"/>
        <v>72019.318518518528</v>
      </c>
      <c r="G44" s="217">
        <f t="shared" si="1"/>
        <v>8676795.5555555616</v>
      </c>
      <c r="I44" s="206"/>
      <c r="J44" s="206"/>
      <c r="K44" s="206"/>
    </row>
    <row r="45" spans="2:11">
      <c r="B45" s="218">
        <v>45473</v>
      </c>
      <c r="C45" s="217">
        <f t="shared" si="5"/>
        <v>8676795.5555555616</v>
      </c>
      <c r="D45" s="217">
        <f t="shared" si="2"/>
        <v>14461.325925925936</v>
      </c>
      <c r="E45" s="217">
        <f t="shared" si="6"/>
        <v>57462.222222222219</v>
      </c>
      <c r="F45" s="217">
        <f t="shared" si="0"/>
        <v>71923.548148148155</v>
      </c>
      <c r="G45" s="217">
        <f t="shared" si="1"/>
        <v>8619333.3333333395</v>
      </c>
      <c r="I45" s="206"/>
      <c r="J45" s="206"/>
      <c r="K45" s="206"/>
    </row>
    <row r="46" spans="2:11">
      <c r="B46" s="216">
        <v>45504</v>
      </c>
      <c r="C46" s="217">
        <f t="shared" si="5"/>
        <v>8619333.3333333395</v>
      </c>
      <c r="D46" s="217">
        <f t="shared" si="2"/>
        <v>14365.555555555567</v>
      </c>
      <c r="E46" s="217">
        <f t="shared" si="6"/>
        <v>57462.222222222219</v>
      </c>
      <c r="F46" s="217">
        <f t="shared" si="0"/>
        <v>71827.777777777781</v>
      </c>
      <c r="G46" s="217">
        <f t="shared" si="1"/>
        <v>8561871.1111111175</v>
      </c>
      <c r="I46" s="206"/>
      <c r="J46" s="206"/>
      <c r="K46" s="206"/>
    </row>
    <row r="47" spans="2:11">
      <c r="B47" s="218">
        <v>45535</v>
      </c>
      <c r="C47" s="217">
        <f t="shared" si="5"/>
        <v>8561871.1111111175</v>
      </c>
      <c r="D47" s="217">
        <f t="shared" si="2"/>
        <v>14269.785185185196</v>
      </c>
      <c r="E47" s="217">
        <f t="shared" si="6"/>
        <v>57462.222222222219</v>
      </c>
      <c r="F47" s="217">
        <f t="shared" si="0"/>
        <v>71732.007407407422</v>
      </c>
      <c r="G47" s="217">
        <f t="shared" si="1"/>
        <v>8504408.8888888955</v>
      </c>
      <c r="I47" s="206"/>
      <c r="J47" s="206"/>
      <c r="K47" s="206"/>
    </row>
    <row r="48" spans="2:11">
      <c r="B48" s="216">
        <v>45565</v>
      </c>
      <c r="C48" s="217">
        <f t="shared" si="5"/>
        <v>8504408.8888888955</v>
      </c>
      <c r="D48" s="217">
        <f t="shared" si="2"/>
        <v>14174.014814814827</v>
      </c>
      <c r="E48" s="217">
        <f t="shared" si="6"/>
        <v>57462.222222222219</v>
      </c>
      <c r="F48" s="217">
        <f t="shared" si="0"/>
        <v>71636.237037037048</v>
      </c>
      <c r="G48" s="217">
        <f t="shared" si="1"/>
        <v>8446946.6666666735</v>
      </c>
      <c r="I48" s="206"/>
      <c r="J48" s="206"/>
      <c r="K48" s="206"/>
    </row>
    <row r="49" spans="2:11">
      <c r="B49" s="218">
        <v>45596</v>
      </c>
      <c r="C49" s="217">
        <f t="shared" si="5"/>
        <v>8446946.6666666735</v>
      </c>
      <c r="D49" s="217">
        <f t="shared" si="2"/>
        <v>14078.244444444455</v>
      </c>
      <c r="E49" s="217">
        <f t="shared" si="6"/>
        <v>57462.222222222219</v>
      </c>
      <c r="F49" s="217">
        <f t="shared" si="0"/>
        <v>71540.466666666674</v>
      </c>
      <c r="G49" s="217">
        <f t="shared" si="1"/>
        <v>8389484.4444444515</v>
      </c>
      <c r="I49" s="206"/>
      <c r="J49" s="206"/>
      <c r="K49" s="206"/>
    </row>
    <row r="50" spans="2:11">
      <c r="B50" s="216">
        <v>45626</v>
      </c>
      <c r="C50" s="217">
        <f t="shared" si="5"/>
        <v>8389484.4444444515</v>
      </c>
      <c r="D50" s="217">
        <f t="shared" si="2"/>
        <v>13982.474074074087</v>
      </c>
      <c r="E50" s="217">
        <f t="shared" si="6"/>
        <v>57462.222222222219</v>
      </c>
      <c r="F50" s="217">
        <f t="shared" si="0"/>
        <v>71444.696296296301</v>
      </c>
      <c r="G50" s="217">
        <f t="shared" si="1"/>
        <v>8332022.2222222295</v>
      </c>
      <c r="I50" s="206"/>
      <c r="J50" s="206"/>
      <c r="K50" s="206"/>
    </row>
    <row r="51" spans="2:11">
      <c r="B51" s="219">
        <v>45657</v>
      </c>
      <c r="C51" s="220">
        <f t="shared" si="5"/>
        <v>8332022.2222222295</v>
      </c>
      <c r="D51" s="220">
        <f t="shared" si="2"/>
        <v>13886.703703703715</v>
      </c>
      <c r="E51" s="220">
        <f t="shared" si="6"/>
        <v>57462.222222222219</v>
      </c>
      <c r="F51" s="220">
        <f t="shared" si="0"/>
        <v>71348.925925925927</v>
      </c>
      <c r="G51" s="220">
        <f t="shared" si="1"/>
        <v>8274560.0000000075</v>
      </c>
      <c r="H51" s="213"/>
      <c r="I51" s="214">
        <f>SUM(D40:D51)</f>
        <v>172961.28888888904</v>
      </c>
      <c r="J51" s="214">
        <f>SUM(E40:E51)</f>
        <v>689546.66666666686</v>
      </c>
      <c r="K51" s="214">
        <f>I51+J51</f>
        <v>862507.95555555588</v>
      </c>
    </row>
    <row r="52" spans="2:11">
      <c r="B52" s="216">
        <v>45688</v>
      </c>
      <c r="C52" s="217">
        <f t="shared" si="5"/>
        <v>8274560.0000000075</v>
      </c>
      <c r="D52" s="217">
        <f t="shared" si="2"/>
        <v>13790.933333333347</v>
      </c>
      <c r="E52" s="217">
        <f t="shared" si="6"/>
        <v>57462.222222222219</v>
      </c>
      <c r="F52" s="217">
        <f t="shared" si="0"/>
        <v>71253.155555555568</v>
      </c>
      <c r="G52" s="217">
        <f t="shared" si="1"/>
        <v>8217097.7777777854</v>
      </c>
      <c r="I52" s="206"/>
      <c r="J52" s="206"/>
      <c r="K52" s="206"/>
    </row>
    <row r="53" spans="2:11">
      <c r="B53" s="218">
        <v>45716</v>
      </c>
      <c r="C53" s="217">
        <f t="shared" si="5"/>
        <v>8217097.7777777854</v>
      </c>
      <c r="D53" s="217">
        <f t="shared" si="2"/>
        <v>13695.162962962975</v>
      </c>
      <c r="E53" s="217">
        <f t="shared" si="6"/>
        <v>57462.222222222219</v>
      </c>
      <c r="F53" s="217">
        <f t="shared" si="0"/>
        <v>71157.385185185194</v>
      </c>
      <c r="G53" s="217">
        <f t="shared" si="1"/>
        <v>8159635.5555555634</v>
      </c>
      <c r="I53" s="206"/>
      <c r="J53" s="206"/>
      <c r="K53" s="206"/>
    </row>
    <row r="54" spans="2:11">
      <c r="B54" s="218">
        <v>45747</v>
      </c>
      <c r="C54" s="217">
        <f t="shared" si="5"/>
        <v>8159635.5555555634</v>
      </c>
      <c r="D54" s="217">
        <f t="shared" si="2"/>
        <v>13599.392592592607</v>
      </c>
      <c r="E54" s="217">
        <f t="shared" si="6"/>
        <v>57462.222222222219</v>
      </c>
      <c r="F54" s="217">
        <f t="shared" si="0"/>
        <v>71061.61481481482</v>
      </c>
      <c r="G54" s="217">
        <f t="shared" si="1"/>
        <v>8102173.3333333414</v>
      </c>
      <c r="I54" s="206"/>
      <c r="J54" s="206"/>
      <c r="K54" s="206"/>
    </row>
    <row r="55" spans="2:11">
      <c r="B55" s="216">
        <v>45777</v>
      </c>
      <c r="C55" s="217">
        <f t="shared" si="5"/>
        <v>8102173.3333333414</v>
      </c>
      <c r="D55" s="217">
        <f t="shared" si="2"/>
        <v>13503.622222222235</v>
      </c>
      <c r="E55" s="217">
        <f t="shared" si="6"/>
        <v>57462.222222222219</v>
      </c>
      <c r="F55" s="217">
        <f t="shared" si="0"/>
        <v>70965.844444444461</v>
      </c>
      <c r="G55" s="217">
        <f t="shared" si="1"/>
        <v>8044711.1111111194</v>
      </c>
      <c r="I55" s="206"/>
      <c r="J55" s="206"/>
      <c r="K55" s="206"/>
    </row>
    <row r="56" spans="2:11">
      <c r="B56" s="218">
        <v>45808</v>
      </c>
      <c r="C56" s="217">
        <f t="shared" si="5"/>
        <v>8044711.1111111194</v>
      </c>
      <c r="D56" s="217">
        <f t="shared" si="2"/>
        <v>13407.851851851867</v>
      </c>
      <c r="E56" s="217">
        <f t="shared" si="6"/>
        <v>57462.222222222219</v>
      </c>
      <c r="F56" s="217">
        <f t="shared" si="0"/>
        <v>70870.074074074088</v>
      </c>
      <c r="G56" s="217">
        <f t="shared" si="1"/>
        <v>7987248.8888888974</v>
      </c>
      <c r="I56" s="206"/>
      <c r="J56" s="206"/>
      <c r="K56" s="206"/>
    </row>
    <row r="57" spans="2:11">
      <c r="B57" s="216">
        <v>45838</v>
      </c>
      <c r="C57" s="217">
        <f t="shared" si="5"/>
        <v>7987248.8888888974</v>
      </c>
      <c r="D57" s="217">
        <f t="shared" si="2"/>
        <v>13312.081481481495</v>
      </c>
      <c r="E57" s="217">
        <f t="shared" si="6"/>
        <v>57462.222222222219</v>
      </c>
      <c r="F57" s="217">
        <f t="shared" si="0"/>
        <v>70774.303703703714</v>
      </c>
      <c r="G57" s="217">
        <f t="shared" si="1"/>
        <v>7929786.6666666754</v>
      </c>
      <c r="I57" s="206"/>
      <c r="J57" s="206"/>
      <c r="K57" s="206"/>
    </row>
    <row r="58" spans="2:11">
      <c r="B58" s="218">
        <v>45869</v>
      </c>
      <c r="C58" s="217">
        <f t="shared" si="5"/>
        <v>7929786.6666666754</v>
      </c>
      <c r="D58" s="217">
        <f t="shared" si="2"/>
        <v>13216.311111111127</v>
      </c>
      <c r="E58" s="217">
        <f t="shared" si="6"/>
        <v>57462.222222222219</v>
      </c>
      <c r="F58" s="217">
        <f t="shared" si="0"/>
        <v>70678.53333333334</v>
      </c>
      <c r="G58" s="217">
        <f t="shared" si="1"/>
        <v>7872324.4444444533</v>
      </c>
      <c r="I58" s="206"/>
      <c r="J58" s="206"/>
      <c r="K58" s="206"/>
    </row>
    <row r="59" spans="2:11">
      <c r="B59" s="216">
        <v>45900</v>
      </c>
      <c r="C59" s="217">
        <f t="shared" si="5"/>
        <v>7872324.4444444533</v>
      </c>
      <c r="D59" s="217">
        <f t="shared" si="2"/>
        <v>13120.540740740755</v>
      </c>
      <c r="E59" s="217">
        <f t="shared" si="6"/>
        <v>57462.222222222219</v>
      </c>
      <c r="F59" s="217">
        <f t="shared" si="0"/>
        <v>70582.762962962966</v>
      </c>
      <c r="G59" s="217">
        <f t="shared" si="1"/>
        <v>7814862.2222222313</v>
      </c>
      <c r="I59" s="206"/>
      <c r="J59" s="206"/>
      <c r="K59" s="206"/>
    </row>
    <row r="60" spans="2:11">
      <c r="B60" s="218">
        <v>45930</v>
      </c>
      <c r="C60" s="217">
        <f t="shared" si="5"/>
        <v>7814862.2222222313</v>
      </c>
      <c r="D60" s="217">
        <f t="shared" si="2"/>
        <v>13024.770370370386</v>
      </c>
      <c r="E60" s="217">
        <f t="shared" si="6"/>
        <v>57462.222222222219</v>
      </c>
      <c r="F60" s="217">
        <f t="shared" si="0"/>
        <v>70486.992592592607</v>
      </c>
      <c r="G60" s="217">
        <f t="shared" si="1"/>
        <v>7757400.0000000093</v>
      </c>
      <c r="I60" s="206"/>
      <c r="J60" s="206"/>
      <c r="K60" s="206"/>
    </row>
    <row r="61" spans="2:11">
      <c r="B61" s="216">
        <v>45961</v>
      </c>
      <c r="C61" s="217">
        <f t="shared" si="5"/>
        <v>7757400.0000000093</v>
      </c>
      <c r="D61" s="217">
        <f t="shared" si="2"/>
        <v>12929.000000000016</v>
      </c>
      <c r="E61" s="217">
        <f t="shared" si="6"/>
        <v>57462.222222222219</v>
      </c>
      <c r="F61" s="217">
        <f t="shared" si="0"/>
        <v>70391.222222222234</v>
      </c>
      <c r="G61" s="217">
        <f t="shared" si="1"/>
        <v>7699937.7777777873</v>
      </c>
      <c r="I61" s="206"/>
      <c r="J61" s="206"/>
      <c r="K61" s="206"/>
    </row>
    <row r="62" spans="2:11">
      <c r="B62" s="218">
        <v>45991</v>
      </c>
      <c r="C62" s="217">
        <f t="shared" si="5"/>
        <v>7699937.7777777873</v>
      </c>
      <c r="D62" s="217">
        <f t="shared" si="2"/>
        <v>12833.229629629646</v>
      </c>
      <c r="E62" s="217">
        <f t="shared" si="6"/>
        <v>57462.222222222219</v>
      </c>
      <c r="F62" s="217">
        <f t="shared" si="0"/>
        <v>70295.45185185186</v>
      </c>
      <c r="G62" s="217">
        <f t="shared" si="1"/>
        <v>7642475.5555555653</v>
      </c>
      <c r="I62" s="206"/>
      <c r="J62" s="206"/>
      <c r="K62" s="206"/>
    </row>
    <row r="63" spans="2:11">
      <c r="B63" s="221">
        <v>46022</v>
      </c>
      <c r="C63" s="220">
        <f t="shared" si="5"/>
        <v>7642475.5555555653</v>
      </c>
      <c r="D63" s="220">
        <f t="shared" si="2"/>
        <v>12737.459259259276</v>
      </c>
      <c r="E63" s="220">
        <f t="shared" si="6"/>
        <v>57462.222222222219</v>
      </c>
      <c r="F63" s="220">
        <f t="shared" si="0"/>
        <v>70199.681481481501</v>
      </c>
      <c r="G63" s="220">
        <f t="shared" si="1"/>
        <v>7585013.3333333433</v>
      </c>
      <c r="H63" s="213"/>
      <c r="I63" s="214">
        <f>SUM(D52:D63)</f>
        <v>159170.35555555575</v>
      </c>
      <c r="J63" s="214">
        <f>SUM(E52:E63)</f>
        <v>689546.66666666686</v>
      </c>
      <c r="K63" s="214">
        <f>I63+J63</f>
        <v>848717.02222222264</v>
      </c>
    </row>
    <row r="64" spans="2:11">
      <c r="B64" s="218">
        <v>46053</v>
      </c>
      <c r="C64" s="217">
        <f t="shared" si="5"/>
        <v>7585013.3333333433</v>
      </c>
      <c r="D64" s="217">
        <f t="shared" si="2"/>
        <v>12641.688888888906</v>
      </c>
      <c r="E64" s="217">
        <f t="shared" si="6"/>
        <v>57462.222222222219</v>
      </c>
      <c r="F64" s="217">
        <f t="shared" si="0"/>
        <v>70103.911111111127</v>
      </c>
      <c r="G64" s="217">
        <f t="shared" si="1"/>
        <v>7527551.1111111213</v>
      </c>
      <c r="I64" s="206"/>
      <c r="J64" s="206"/>
      <c r="K64" s="206"/>
    </row>
    <row r="65" spans="2:11">
      <c r="B65" s="216">
        <v>46081</v>
      </c>
      <c r="C65" s="217">
        <f t="shared" si="5"/>
        <v>7527551.1111111213</v>
      </c>
      <c r="D65" s="217">
        <f t="shared" si="2"/>
        <v>12545.918518518536</v>
      </c>
      <c r="E65" s="217">
        <f t="shared" si="6"/>
        <v>57462.222222222219</v>
      </c>
      <c r="F65" s="217">
        <f t="shared" si="0"/>
        <v>70008.140740740753</v>
      </c>
      <c r="G65" s="217">
        <f t="shared" si="1"/>
        <v>7470088.8888888992</v>
      </c>
      <c r="I65" s="206"/>
      <c r="J65" s="206"/>
      <c r="K65" s="206"/>
    </row>
    <row r="66" spans="2:11">
      <c r="B66" s="218">
        <v>46112</v>
      </c>
      <c r="C66" s="217">
        <f t="shared" si="5"/>
        <v>7470088.8888888992</v>
      </c>
      <c r="D66" s="217">
        <f t="shared" si="2"/>
        <v>12450.148148148166</v>
      </c>
      <c r="E66" s="217">
        <f t="shared" si="6"/>
        <v>57462.222222222219</v>
      </c>
      <c r="F66" s="217">
        <f t="shared" si="0"/>
        <v>69912.37037037038</v>
      </c>
      <c r="G66" s="217">
        <f t="shared" si="1"/>
        <v>7412626.6666666772</v>
      </c>
      <c r="I66" s="206"/>
      <c r="J66" s="206"/>
      <c r="K66" s="206"/>
    </row>
    <row r="67" spans="2:11">
      <c r="B67" s="218">
        <v>46142</v>
      </c>
      <c r="C67" s="217">
        <f t="shared" si="5"/>
        <v>7412626.6666666772</v>
      </c>
      <c r="D67" s="217">
        <f t="shared" si="2"/>
        <v>12354.377777777796</v>
      </c>
      <c r="E67" s="217">
        <f t="shared" si="6"/>
        <v>57462.222222222219</v>
      </c>
      <c r="F67" s="217">
        <f t="shared" si="0"/>
        <v>69816.60000000002</v>
      </c>
      <c r="G67" s="217">
        <f t="shared" si="1"/>
        <v>7355164.4444444552</v>
      </c>
      <c r="I67" s="206"/>
      <c r="J67" s="206"/>
      <c r="K67" s="206"/>
    </row>
    <row r="68" spans="2:11">
      <c r="B68" s="216">
        <v>46173</v>
      </c>
      <c r="C68" s="217">
        <f t="shared" si="5"/>
        <v>7355164.4444444552</v>
      </c>
      <c r="D68" s="217">
        <f t="shared" si="2"/>
        <v>12258.607407407426</v>
      </c>
      <c r="E68" s="217">
        <f t="shared" si="6"/>
        <v>57462.222222222219</v>
      </c>
      <c r="F68" s="217">
        <f t="shared" si="0"/>
        <v>69720.829629629647</v>
      </c>
      <c r="G68" s="217">
        <f t="shared" si="1"/>
        <v>7297702.2222222332</v>
      </c>
      <c r="I68" s="206"/>
      <c r="J68" s="206"/>
      <c r="K68" s="206"/>
    </row>
    <row r="69" spans="2:11">
      <c r="B69" s="218">
        <v>46203</v>
      </c>
      <c r="C69" s="217">
        <f t="shared" si="5"/>
        <v>7297702.2222222332</v>
      </c>
      <c r="D69" s="217">
        <f t="shared" si="2"/>
        <v>12162.837037037056</v>
      </c>
      <c r="E69" s="217">
        <f t="shared" si="6"/>
        <v>57462.222222222219</v>
      </c>
      <c r="F69" s="217">
        <f t="shared" si="0"/>
        <v>69625.059259259273</v>
      </c>
      <c r="G69" s="217">
        <f t="shared" si="1"/>
        <v>7240240.0000000112</v>
      </c>
      <c r="I69" s="206"/>
      <c r="J69" s="206"/>
      <c r="K69" s="206"/>
    </row>
    <row r="70" spans="2:11">
      <c r="B70" s="216">
        <v>46234</v>
      </c>
      <c r="C70" s="217">
        <f t="shared" si="5"/>
        <v>7240240.0000000112</v>
      </c>
      <c r="D70" s="217">
        <f t="shared" si="2"/>
        <v>12067.066666666686</v>
      </c>
      <c r="E70" s="217">
        <f t="shared" si="6"/>
        <v>57462.222222222219</v>
      </c>
      <c r="F70" s="217">
        <f t="shared" si="0"/>
        <v>69529.288888888899</v>
      </c>
      <c r="G70" s="217">
        <f t="shared" si="1"/>
        <v>7182777.7777777892</v>
      </c>
      <c r="I70" s="206"/>
      <c r="J70" s="206"/>
      <c r="K70" s="206"/>
    </row>
    <row r="71" spans="2:11">
      <c r="B71" s="218">
        <v>46265</v>
      </c>
      <c r="C71" s="217">
        <f t="shared" si="5"/>
        <v>7182777.7777777892</v>
      </c>
      <c r="D71" s="217">
        <f t="shared" si="2"/>
        <v>11971.296296296316</v>
      </c>
      <c r="E71" s="217">
        <f t="shared" si="6"/>
        <v>57462.222222222219</v>
      </c>
      <c r="F71" s="217">
        <f t="shared" si="0"/>
        <v>69433.51851851854</v>
      </c>
      <c r="G71" s="217">
        <f t="shared" si="1"/>
        <v>7125315.5555555671</v>
      </c>
      <c r="I71" s="206"/>
      <c r="J71" s="206"/>
      <c r="K71" s="206"/>
    </row>
    <row r="72" spans="2:11">
      <c r="B72" s="216">
        <v>46295</v>
      </c>
      <c r="C72" s="217">
        <f t="shared" si="5"/>
        <v>7125315.5555555671</v>
      </c>
      <c r="D72" s="217">
        <f t="shared" si="2"/>
        <v>11875.525925925946</v>
      </c>
      <c r="E72" s="217">
        <f t="shared" si="6"/>
        <v>57462.222222222219</v>
      </c>
      <c r="F72" s="217">
        <f t="shared" si="0"/>
        <v>69337.748148148166</v>
      </c>
      <c r="G72" s="217">
        <f t="shared" si="1"/>
        <v>7067853.3333333451</v>
      </c>
      <c r="I72" s="206"/>
      <c r="J72" s="206"/>
      <c r="K72" s="206"/>
    </row>
    <row r="73" spans="2:11">
      <c r="B73" s="218">
        <v>46326</v>
      </c>
      <c r="C73" s="217">
        <f t="shared" si="5"/>
        <v>7067853.3333333451</v>
      </c>
      <c r="D73" s="217">
        <f t="shared" si="2"/>
        <v>11779.755555555575</v>
      </c>
      <c r="E73" s="217">
        <f t="shared" si="6"/>
        <v>57462.222222222219</v>
      </c>
      <c r="F73" s="217">
        <f t="shared" si="0"/>
        <v>69241.977777777793</v>
      </c>
      <c r="G73" s="217">
        <f t="shared" si="1"/>
        <v>7010391.1111111231</v>
      </c>
      <c r="I73" s="206"/>
      <c r="J73" s="206"/>
      <c r="K73" s="206"/>
    </row>
    <row r="74" spans="2:11">
      <c r="B74" s="216">
        <v>46356</v>
      </c>
      <c r="C74" s="217">
        <f t="shared" si="5"/>
        <v>7010391.1111111231</v>
      </c>
      <c r="D74" s="217">
        <f t="shared" si="2"/>
        <v>11683.985185185205</v>
      </c>
      <c r="E74" s="217">
        <f t="shared" si="6"/>
        <v>57462.222222222219</v>
      </c>
      <c r="F74" s="217">
        <f t="shared" si="0"/>
        <v>69146.207407407419</v>
      </c>
      <c r="G74" s="217">
        <f t="shared" si="1"/>
        <v>6952928.8888889011</v>
      </c>
      <c r="I74" s="206"/>
      <c r="J74" s="206"/>
      <c r="K74" s="206"/>
    </row>
    <row r="75" spans="2:11">
      <c r="B75" s="219">
        <v>46387</v>
      </c>
      <c r="C75" s="220">
        <f t="shared" si="5"/>
        <v>6952928.8888889011</v>
      </c>
      <c r="D75" s="220">
        <f t="shared" si="2"/>
        <v>11588.214814814835</v>
      </c>
      <c r="E75" s="220">
        <f t="shared" si="6"/>
        <v>57462.222222222219</v>
      </c>
      <c r="F75" s="220">
        <f t="shared" si="0"/>
        <v>69050.43703703706</v>
      </c>
      <c r="G75" s="220">
        <f t="shared" si="1"/>
        <v>6895466.6666666791</v>
      </c>
      <c r="H75" s="213"/>
      <c r="I75" s="214">
        <f>SUM(D64:D75)</f>
        <v>145379.42222222243</v>
      </c>
      <c r="J75" s="214">
        <f>SUM(E64:E75)</f>
        <v>689546.66666666686</v>
      </c>
      <c r="K75" s="214">
        <f>I75+J75</f>
        <v>834926.0888888893</v>
      </c>
    </row>
    <row r="76" spans="2:11">
      <c r="B76" s="216">
        <v>46418</v>
      </c>
      <c r="C76" s="217">
        <f t="shared" si="5"/>
        <v>6895466.6666666791</v>
      </c>
      <c r="D76" s="217">
        <f t="shared" si="2"/>
        <v>11492.444444444465</v>
      </c>
      <c r="E76" s="217">
        <f t="shared" si="6"/>
        <v>57462.222222222219</v>
      </c>
      <c r="F76" s="217">
        <f t="shared" si="0"/>
        <v>68954.666666666686</v>
      </c>
      <c r="G76" s="217">
        <f t="shared" si="1"/>
        <v>6838004.4444444571</v>
      </c>
      <c r="I76" s="206"/>
      <c r="J76" s="206"/>
      <c r="K76" s="206"/>
    </row>
    <row r="77" spans="2:11">
      <c r="B77" s="218">
        <v>46446</v>
      </c>
      <c r="C77" s="217">
        <f t="shared" si="5"/>
        <v>6838004.4444444571</v>
      </c>
      <c r="D77" s="217">
        <f t="shared" si="2"/>
        <v>11396.674074074095</v>
      </c>
      <c r="E77" s="217">
        <f t="shared" si="6"/>
        <v>57462.222222222219</v>
      </c>
      <c r="F77" s="217">
        <f t="shared" si="0"/>
        <v>68858.896296296312</v>
      </c>
      <c r="G77" s="217">
        <f t="shared" si="1"/>
        <v>6780542.2222222351</v>
      </c>
      <c r="I77" s="206"/>
      <c r="J77" s="206"/>
      <c r="K77" s="206"/>
    </row>
    <row r="78" spans="2:11">
      <c r="B78" s="216">
        <v>46477</v>
      </c>
      <c r="C78" s="217">
        <f t="shared" si="5"/>
        <v>6780542.2222222351</v>
      </c>
      <c r="D78" s="217">
        <f t="shared" si="2"/>
        <v>11300.903703703725</v>
      </c>
      <c r="E78" s="217">
        <f t="shared" si="6"/>
        <v>57462.222222222219</v>
      </c>
      <c r="F78" s="217">
        <f t="shared" si="0"/>
        <v>68763.125925925939</v>
      </c>
      <c r="G78" s="217">
        <f t="shared" si="1"/>
        <v>6723080.000000013</v>
      </c>
      <c r="I78" s="206"/>
      <c r="J78" s="206"/>
      <c r="K78" s="206"/>
    </row>
    <row r="79" spans="2:11">
      <c r="B79" s="218">
        <v>46507</v>
      </c>
      <c r="C79" s="217">
        <f t="shared" si="5"/>
        <v>6723080.000000013</v>
      </c>
      <c r="D79" s="217">
        <f t="shared" si="2"/>
        <v>11205.133333333355</v>
      </c>
      <c r="E79" s="217">
        <f t="shared" si="6"/>
        <v>57462.222222222219</v>
      </c>
      <c r="F79" s="217">
        <f t="shared" ref="F79:F142" si="7">D79+E79</f>
        <v>68667.355555555579</v>
      </c>
      <c r="G79" s="217">
        <f t="shared" ref="G79:G142" si="8">C79-E79</f>
        <v>6665617.777777791</v>
      </c>
      <c r="I79" s="206"/>
      <c r="J79" s="206"/>
      <c r="K79" s="206"/>
    </row>
    <row r="80" spans="2:11">
      <c r="B80" s="218">
        <v>46538</v>
      </c>
      <c r="C80" s="217">
        <f t="shared" si="5"/>
        <v>6665617.777777791</v>
      </c>
      <c r="D80" s="217">
        <f t="shared" ref="D80:D143" si="9">C80*$J$6/12</f>
        <v>11109.362962962985</v>
      </c>
      <c r="E80" s="217">
        <f t="shared" si="6"/>
        <v>57462.222222222219</v>
      </c>
      <c r="F80" s="217">
        <f t="shared" si="7"/>
        <v>68571.585185185206</v>
      </c>
      <c r="G80" s="217">
        <f t="shared" si="8"/>
        <v>6608155.555555569</v>
      </c>
      <c r="I80" s="206"/>
      <c r="J80" s="206"/>
      <c r="K80" s="206"/>
    </row>
    <row r="81" spans="2:11">
      <c r="B81" s="216">
        <v>46568</v>
      </c>
      <c r="C81" s="217">
        <f t="shared" si="5"/>
        <v>6608155.555555569</v>
      </c>
      <c r="D81" s="217">
        <f t="shared" si="9"/>
        <v>11013.592592592615</v>
      </c>
      <c r="E81" s="217">
        <f t="shared" si="6"/>
        <v>57462.222222222219</v>
      </c>
      <c r="F81" s="217">
        <f t="shared" si="7"/>
        <v>68475.814814814832</v>
      </c>
      <c r="G81" s="217">
        <f t="shared" si="8"/>
        <v>6550693.333333347</v>
      </c>
      <c r="I81" s="206"/>
      <c r="J81" s="206"/>
      <c r="K81" s="206"/>
    </row>
    <row r="82" spans="2:11">
      <c r="B82" s="218">
        <v>46599</v>
      </c>
      <c r="C82" s="217">
        <f t="shared" si="5"/>
        <v>6550693.333333347</v>
      </c>
      <c r="D82" s="217">
        <f t="shared" si="9"/>
        <v>10917.822222222245</v>
      </c>
      <c r="E82" s="217">
        <f t="shared" si="6"/>
        <v>57462.222222222219</v>
      </c>
      <c r="F82" s="217">
        <f t="shared" si="7"/>
        <v>68380.044444444458</v>
      </c>
      <c r="G82" s="217">
        <f t="shared" si="8"/>
        <v>6493231.111111125</v>
      </c>
      <c r="I82" s="206"/>
      <c r="J82" s="206"/>
      <c r="K82" s="206"/>
    </row>
    <row r="83" spans="2:11">
      <c r="B83" s="216">
        <v>46630</v>
      </c>
      <c r="C83" s="217">
        <f t="shared" si="5"/>
        <v>6493231.111111125</v>
      </c>
      <c r="D83" s="217">
        <f t="shared" si="9"/>
        <v>10822.051851851875</v>
      </c>
      <c r="E83" s="217">
        <f t="shared" si="6"/>
        <v>57462.222222222219</v>
      </c>
      <c r="F83" s="217">
        <f t="shared" si="7"/>
        <v>68284.274074074099</v>
      </c>
      <c r="G83" s="217">
        <f t="shared" si="8"/>
        <v>6435768.888888903</v>
      </c>
      <c r="I83" s="206"/>
      <c r="J83" s="206"/>
      <c r="K83" s="206"/>
    </row>
    <row r="84" spans="2:11">
      <c r="B84" s="218">
        <v>46660</v>
      </c>
      <c r="C84" s="217">
        <f t="shared" si="5"/>
        <v>6435768.888888903</v>
      </c>
      <c r="D84" s="217">
        <f t="shared" si="9"/>
        <v>10726.281481481505</v>
      </c>
      <c r="E84" s="217">
        <f t="shared" si="6"/>
        <v>57462.222222222219</v>
      </c>
      <c r="F84" s="217">
        <f t="shared" si="7"/>
        <v>68188.503703703725</v>
      </c>
      <c r="G84" s="217">
        <f t="shared" si="8"/>
        <v>6378306.6666666809</v>
      </c>
      <c r="I84" s="206"/>
      <c r="J84" s="206"/>
      <c r="K84" s="206"/>
    </row>
    <row r="85" spans="2:11">
      <c r="B85" s="216">
        <v>46691</v>
      </c>
      <c r="C85" s="217">
        <f t="shared" si="5"/>
        <v>6378306.6666666809</v>
      </c>
      <c r="D85" s="217">
        <f t="shared" si="9"/>
        <v>10630.511111111135</v>
      </c>
      <c r="E85" s="217">
        <f t="shared" si="6"/>
        <v>57462.222222222219</v>
      </c>
      <c r="F85" s="217">
        <f t="shared" si="7"/>
        <v>68092.733333333352</v>
      </c>
      <c r="G85" s="217">
        <f t="shared" si="8"/>
        <v>6320844.4444444589</v>
      </c>
      <c r="I85" s="206"/>
      <c r="J85" s="206"/>
      <c r="K85" s="206"/>
    </row>
    <row r="86" spans="2:11">
      <c r="B86" s="218">
        <v>46721</v>
      </c>
      <c r="C86" s="217">
        <f t="shared" si="5"/>
        <v>6320844.4444444589</v>
      </c>
      <c r="D86" s="217">
        <f t="shared" si="9"/>
        <v>10534.740740740765</v>
      </c>
      <c r="E86" s="217">
        <f t="shared" si="6"/>
        <v>57462.222222222219</v>
      </c>
      <c r="F86" s="217">
        <f t="shared" si="7"/>
        <v>67996.962962962978</v>
      </c>
      <c r="G86" s="217">
        <f t="shared" si="8"/>
        <v>6263382.2222222369</v>
      </c>
      <c r="I86" s="206"/>
      <c r="J86" s="206"/>
      <c r="K86" s="206"/>
    </row>
    <row r="87" spans="2:11">
      <c r="B87" s="221">
        <v>46752</v>
      </c>
      <c r="C87" s="220">
        <f t="shared" si="5"/>
        <v>6263382.2222222369</v>
      </c>
      <c r="D87" s="220">
        <f t="shared" si="9"/>
        <v>10438.970370370394</v>
      </c>
      <c r="E87" s="220">
        <f t="shared" si="6"/>
        <v>57462.222222222219</v>
      </c>
      <c r="F87" s="220">
        <f t="shared" si="7"/>
        <v>67901.192592592619</v>
      </c>
      <c r="G87" s="220">
        <f t="shared" si="8"/>
        <v>6205920.0000000149</v>
      </c>
      <c r="H87" s="213"/>
      <c r="I87" s="214">
        <f>SUM(D76:D87)</f>
        <v>131588.48888888914</v>
      </c>
      <c r="J87" s="214">
        <f>SUM(E76:E87)</f>
        <v>689546.66666666686</v>
      </c>
      <c r="K87" s="214">
        <f>I87+J87</f>
        <v>821135.15555555606</v>
      </c>
    </row>
    <row r="88" spans="2:11">
      <c r="B88" s="218">
        <v>46783</v>
      </c>
      <c r="C88" s="217">
        <f t="shared" si="5"/>
        <v>6205920.0000000149</v>
      </c>
      <c r="D88" s="217">
        <f t="shared" si="9"/>
        <v>10343.200000000024</v>
      </c>
      <c r="E88" s="217">
        <f t="shared" si="6"/>
        <v>57462.222222222219</v>
      </c>
      <c r="F88" s="217">
        <f t="shared" si="7"/>
        <v>67805.422222222245</v>
      </c>
      <c r="G88" s="217">
        <f t="shared" si="8"/>
        <v>6148457.7777777929</v>
      </c>
      <c r="I88" s="206"/>
      <c r="J88" s="206"/>
      <c r="K88" s="206"/>
    </row>
    <row r="89" spans="2:11">
      <c r="B89" s="216">
        <v>46812</v>
      </c>
      <c r="C89" s="217">
        <f t="shared" si="5"/>
        <v>6148457.7777777929</v>
      </c>
      <c r="D89" s="217">
        <f t="shared" si="9"/>
        <v>10247.429629629654</v>
      </c>
      <c r="E89" s="217">
        <f t="shared" si="6"/>
        <v>57462.222222222219</v>
      </c>
      <c r="F89" s="217">
        <f t="shared" si="7"/>
        <v>67709.651851851871</v>
      </c>
      <c r="G89" s="217">
        <f t="shared" si="8"/>
        <v>6090995.5555555709</v>
      </c>
      <c r="I89" s="206"/>
      <c r="J89" s="206"/>
      <c r="K89" s="206"/>
    </row>
    <row r="90" spans="2:11">
      <c r="B90" s="218">
        <v>46843</v>
      </c>
      <c r="C90" s="217">
        <f t="shared" si="5"/>
        <v>6090995.5555555709</v>
      </c>
      <c r="D90" s="217">
        <f t="shared" si="9"/>
        <v>10151.659259259284</v>
      </c>
      <c r="E90" s="217">
        <f t="shared" si="6"/>
        <v>57462.222222222219</v>
      </c>
      <c r="F90" s="217">
        <f t="shared" si="7"/>
        <v>67613.881481481498</v>
      </c>
      <c r="G90" s="217">
        <f t="shared" si="8"/>
        <v>6033533.3333333489</v>
      </c>
      <c r="I90" s="206"/>
      <c r="J90" s="206"/>
      <c r="K90" s="206"/>
    </row>
    <row r="91" spans="2:11">
      <c r="B91" s="216">
        <v>46873</v>
      </c>
      <c r="C91" s="217">
        <f t="shared" si="5"/>
        <v>6033533.3333333489</v>
      </c>
      <c r="D91" s="217">
        <f t="shared" si="9"/>
        <v>10055.888888888914</v>
      </c>
      <c r="E91" s="217">
        <f t="shared" si="6"/>
        <v>57462.222222222219</v>
      </c>
      <c r="F91" s="217">
        <f t="shared" si="7"/>
        <v>67518.111111111139</v>
      </c>
      <c r="G91" s="217">
        <f t="shared" si="8"/>
        <v>5976071.1111111268</v>
      </c>
      <c r="I91" s="206"/>
      <c r="J91" s="206"/>
      <c r="K91" s="206"/>
    </row>
    <row r="92" spans="2:11">
      <c r="B92" s="218">
        <v>46904</v>
      </c>
      <c r="C92" s="217">
        <f t="shared" si="5"/>
        <v>5976071.1111111268</v>
      </c>
      <c r="D92" s="217">
        <f t="shared" si="9"/>
        <v>9960.1185185185441</v>
      </c>
      <c r="E92" s="217">
        <f t="shared" si="6"/>
        <v>57462.222222222219</v>
      </c>
      <c r="F92" s="217">
        <f t="shared" si="7"/>
        <v>67422.340740740765</v>
      </c>
      <c r="G92" s="217">
        <f t="shared" si="8"/>
        <v>5918608.8888889048</v>
      </c>
      <c r="I92" s="206"/>
      <c r="J92" s="206"/>
      <c r="K92" s="206"/>
    </row>
    <row r="93" spans="2:11">
      <c r="B93" s="218">
        <v>46934</v>
      </c>
      <c r="C93" s="217">
        <f t="shared" ref="C93:C98" si="10">G92</f>
        <v>5918608.8888889048</v>
      </c>
      <c r="D93" s="217">
        <f t="shared" si="9"/>
        <v>9864.348148148174</v>
      </c>
      <c r="E93" s="217">
        <f t="shared" ref="E93:E156" si="11">$J$5/$J$8</f>
        <v>57462.222222222219</v>
      </c>
      <c r="F93" s="217">
        <f t="shared" si="7"/>
        <v>67326.570370370391</v>
      </c>
      <c r="G93" s="217">
        <f t="shared" si="8"/>
        <v>5861146.6666666828</v>
      </c>
      <c r="I93" s="206"/>
      <c r="J93" s="206"/>
      <c r="K93" s="206"/>
    </row>
    <row r="94" spans="2:11">
      <c r="B94" s="216">
        <v>46965</v>
      </c>
      <c r="C94" s="217">
        <f t="shared" si="10"/>
        <v>5861146.6666666828</v>
      </c>
      <c r="D94" s="217">
        <f t="shared" si="9"/>
        <v>9768.5777777778039</v>
      </c>
      <c r="E94" s="217">
        <f t="shared" si="11"/>
        <v>57462.222222222219</v>
      </c>
      <c r="F94" s="217">
        <f t="shared" si="7"/>
        <v>67230.800000000017</v>
      </c>
      <c r="G94" s="217">
        <f t="shared" si="8"/>
        <v>5803684.4444444608</v>
      </c>
      <c r="I94" s="206"/>
      <c r="J94" s="206"/>
      <c r="K94" s="206"/>
    </row>
    <row r="95" spans="2:11">
      <c r="B95" s="218">
        <v>46996</v>
      </c>
      <c r="C95" s="217">
        <f t="shared" si="10"/>
        <v>5803684.4444444608</v>
      </c>
      <c r="D95" s="217">
        <f t="shared" si="9"/>
        <v>9672.8074074074339</v>
      </c>
      <c r="E95" s="217">
        <f t="shared" si="11"/>
        <v>57462.222222222219</v>
      </c>
      <c r="F95" s="217">
        <f t="shared" si="7"/>
        <v>67135.029629629658</v>
      </c>
      <c r="G95" s="217">
        <f t="shared" si="8"/>
        <v>5746222.2222222388</v>
      </c>
      <c r="I95" s="206"/>
      <c r="J95" s="206"/>
      <c r="K95" s="206"/>
    </row>
    <row r="96" spans="2:11">
      <c r="B96" s="216">
        <v>47026</v>
      </c>
      <c r="C96" s="217">
        <f t="shared" si="10"/>
        <v>5746222.2222222388</v>
      </c>
      <c r="D96" s="217">
        <f t="shared" si="9"/>
        <v>9577.0370370370638</v>
      </c>
      <c r="E96" s="217">
        <f t="shared" si="11"/>
        <v>57462.222222222219</v>
      </c>
      <c r="F96" s="217">
        <f t="shared" si="7"/>
        <v>67039.259259259285</v>
      </c>
      <c r="G96" s="217">
        <f t="shared" si="8"/>
        <v>5688760.0000000168</v>
      </c>
      <c r="I96" s="206"/>
      <c r="J96" s="206"/>
      <c r="K96" s="206"/>
    </row>
    <row r="97" spans="2:11">
      <c r="B97" s="218">
        <v>47057</v>
      </c>
      <c r="C97" s="217">
        <f t="shared" si="10"/>
        <v>5688760.0000000168</v>
      </c>
      <c r="D97" s="217">
        <f t="shared" si="9"/>
        <v>9481.2666666666937</v>
      </c>
      <c r="E97" s="217">
        <f t="shared" si="11"/>
        <v>57462.222222222219</v>
      </c>
      <c r="F97" s="217">
        <f t="shared" si="7"/>
        <v>66943.488888888911</v>
      </c>
      <c r="G97" s="217">
        <f t="shared" si="8"/>
        <v>5631297.7777777947</v>
      </c>
      <c r="I97" s="206"/>
      <c r="J97" s="206"/>
      <c r="K97" s="206"/>
    </row>
    <row r="98" spans="2:11">
      <c r="B98" s="216">
        <v>47087</v>
      </c>
      <c r="C98" s="217">
        <f t="shared" si="10"/>
        <v>5631297.7777777947</v>
      </c>
      <c r="D98" s="217">
        <f t="shared" si="9"/>
        <v>9385.4962962963236</v>
      </c>
      <c r="E98" s="217">
        <f t="shared" si="11"/>
        <v>57462.222222222219</v>
      </c>
      <c r="F98" s="217">
        <f t="shared" si="7"/>
        <v>66847.718518518537</v>
      </c>
      <c r="G98" s="217">
        <f t="shared" si="8"/>
        <v>5573835.5555555727</v>
      </c>
      <c r="I98" s="206"/>
      <c r="J98" s="206"/>
      <c r="K98" s="206"/>
    </row>
    <row r="99" spans="2:11">
      <c r="B99" s="219">
        <v>47118</v>
      </c>
      <c r="C99" s="220">
        <f>G98</f>
        <v>5573835.5555555727</v>
      </c>
      <c r="D99" s="220">
        <f t="shared" si="9"/>
        <v>9289.7259259259536</v>
      </c>
      <c r="E99" s="220">
        <f t="shared" si="11"/>
        <v>57462.222222222219</v>
      </c>
      <c r="F99" s="220">
        <f t="shared" si="7"/>
        <v>66751.948148148178</v>
      </c>
      <c r="G99" s="220">
        <f t="shared" si="8"/>
        <v>5516373.3333333507</v>
      </c>
      <c r="H99" s="213"/>
      <c r="I99" s="214">
        <f>SUM(D88:D99)</f>
        <v>117797.55555555587</v>
      </c>
      <c r="J99" s="214">
        <f>SUM(E88:E99)</f>
        <v>689546.66666666686</v>
      </c>
      <c r="K99" s="214">
        <f>I99+J99</f>
        <v>807344.22222222271</v>
      </c>
    </row>
    <row r="100" spans="2:11">
      <c r="B100" s="218">
        <v>47149</v>
      </c>
      <c r="C100" s="217">
        <f t="shared" ref="C100:C163" si="12">G99</f>
        <v>5516373.3333333507</v>
      </c>
      <c r="D100" s="217">
        <f t="shared" si="9"/>
        <v>9193.9555555555853</v>
      </c>
      <c r="E100" s="217">
        <f t="shared" si="11"/>
        <v>57462.222222222219</v>
      </c>
      <c r="F100" s="217">
        <f t="shared" si="7"/>
        <v>66656.177777777804</v>
      </c>
      <c r="G100" s="217">
        <f t="shared" si="8"/>
        <v>5458911.1111111287</v>
      </c>
      <c r="I100" s="206"/>
      <c r="J100" s="206"/>
      <c r="K100" s="206"/>
    </row>
    <row r="101" spans="2:11">
      <c r="B101" s="216">
        <v>47177</v>
      </c>
      <c r="C101" s="217">
        <f t="shared" si="12"/>
        <v>5458911.1111111287</v>
      </c>
      <c r="D101" s="217">
        <f t="shared" si="9"/>
        <v>9098.1851851852152</v>
      </c>
      <c r="E101" s="217">
        <f t="shared" si="11"/>
        <v>57462.222222222219</v>
      </c>
      <c r="F101" s="217">
        <f t="shared" si="7"/>
        <v>66560.407407407431</v>
      </c>
      <c r="G101" s="217">
        <f t="shared" si="8"/>
        <v>5401448.8888889067</v>
      </c>
      <c r="I101" s="206"/>
      <c r="J101" s="206"/>
      <c r="K101" s="206"/>
    </row>
    <row r="102" spans="2:11">
      <c r="B102" s="218">
        <v>47208</v>
      </c>
      <c r="C102" s="217">
        <f t="shared" si="12"/>
        <v>5401448.8888889067</v>
      </c>
      <c r="D102" s="217">
        <f t="shared" si="9"/>
        <v>9002.4148148148452</v>
      </c>
      <c r="E102" s="217">
        <f t="shared" si="11"/>
        <v>57462.222222222219</v>
      </c>
      <c r="F102" s="217">
        <f t="shared" si="7"/>
        <v>66464.637037037057</v>
      </c>
      <c r="G102" s="217">
        <f t="shared" si="8"/>
        <v>5343986.6666666847</v>
      </c>
      <c r="I102" s="206"/>
      <c r="J102" s="206"/>
      <c r="K102" s="206"/>
    </row>
    <row r="103" spans="2:11">
      <c r="B103" s="216">
        <v>47238</v>
      </c>
      <c r="C103" s="217">
        <f t="shared" si="12"/>
        <v>5343986.6666666847</v>
      </c>
      <c r="D103" s="217">
        <f t="shared" si="9"/>
        <v>8906.6444444444751</v>
      </c>
      <c r="E103" s="217">
        <f t="shared" si="11"/>
        <v>57462.222222222219</v>
      </c>
      <c r="F103" s="217">
        <f t="shared" si="7"/>
        <v>66368.866666666698</v>
      </c>
      <c r="G103" s="217">
        <f t="shared" si="8"/>
        <v>5286524.4444444627</v>
      </c>
      <c r="I103" s="206"/>
      <c r="J103" s="206"/>
      <c r="K103" s="206"/>
    </row>
    <row r="104" spans="2:11">
      <c r="B104" s="218">
        <v>47269</v>
      </c>
      <c r="C104" s="217">
        <f t="shared" si="12"/>
        <v>5286524.4444444627</v>
      </c>
      <c r="D104" s="217">
        <f t="shared" si="9"/>
        <v>8810.874074074105</v>
      </c>
      <c r="E104" s="217">
        <f t="shared" si="11"/>
        <v>57462.222222222219</v>
      </c>
      <c r="F104" s="217">
        <f t="shared" si="7"/>
        <v>66273.096296296324</v>
      </c>
      <c r="G104" s="217">
        <f t="shared" si="8"/>
        <v>5229062.2222222406</v>
      </c>
      <c r="I104" s="206"/>
      <c r="J104" s="206"/>
      <c r="K104" s="206"/>
    </row>
    <row r="105" spans="2:11">
      <c r="B105" s="218">
        <v>47299</v>
      </c>
      <c r="C105" s="217">
        <f t="shared" si="12"/>
        <v>5229062.2222222406</v>
      </c>
      <c r="D105" s="217">
        <f t="shared" si="9"/>
        <v>8715.1037037037349</v>
      </c>
      <c r="E105" s="217">
        <f t="shared" si="11"/>
        <v>57462.222222222219</v>
      </c>
      <c r="F105" s="217">
        <f t="shared" si="7"/>
        <v>66177.32592592595</v>
      </c>
      <c r="G105" s="217">
        <f t="shared" si="8"/>
        <v>5171600.0000000186</v>
      </c>
      <c r="I105" s="206"/>
      <c r="J105" s="206"/>
      <c r="K105" s="206"/>
    </row>
    <row r="106" spans="2:11">
      <c r="B106" s="216">
        <v>47330</v>
      </c>
      <c r="C106" s="217">
        <f t="shared" si="12"/>
        <v>5171600.0000000186</v>
      </c>
      <c r="D106" s="217">
        <f t="shared" si="9"/>
        <v>8619.3333333333649</v>
      </c>
      <c r="E106" s="217">
        <f t="shared" si="11"/>
        <v>57462.222222222219</v>
      </c>
      <c r="F106" s="217">
        <f t="shared" si="7"/>
        <v>66081.555555555591</v>
      </c>
      <c r="G106" s="217">
        <f t="shared" si="8"/>
        <v>5114137.7777777966</v>
      </c>
      <c r="I106" s="206"/>
      <c r="J106" s="206"/>
      <c r="K106" s="206"/>
    </row>
    <row r="107" spans="2:11">
      <c r="B107" s="218">
        <v>47361</v>
      </c>
      <c r="C107" s="217">
        <f t="shared" si="12"/>
        <v>5114137.7777777966</v>
      </c>
      <c r="D107" s="217">
        <f t="shared" si="9"/>
        <v>8523.5629629629948</v>
      </c>
      <c r="E107" s="217">
        <f t="shared" si="11"/>
        <v>57462.222222222219</v>
      </c>
      <c r="F107" s="217">
        <f t="shared" si="7"/>
        <v>65985.785185185217</v>
      </c>
      <c r="G107" s="217">
        <f t="shared" si="8"/>
        <v>5056675.5555555746</v>
      </c>
      <c r="I107" s="206"/>
      <c r="J107" s="206"/>
      <c r="K107" s="206"/>
    </row>
    <row r="108" spans="2:11">
      <c r="B108" s="216">
        <v>47391</v>
      </c>
      <c r="C108" s="217">
        <f t="shared" si="12"/>
        <v>5056675.5555555746</v>
      </c>
      <c r="D108" s="217">
        <f t="shared" si="9"/>
        <v>8427.7925925926247</v>
      </c>
      <c r="E108" s="217">
        <f t="shared" si="11"/>
        <v>57462.222222222219</v>
      </c>
      <c r="F108" s="217">
        <f t="shared" si="7"/>
        <v>65890.014814814844</v>
      </c>
      <c r="G108" s="217">
        <f t="shared" si="8"/>
        <v>4999213.3333333526</v>
      </c>
      <c r="I108" s="206"/>
      <c r="J108" s="206"/>
      <c r="K108" s="206"/>
    </row>
    <row r="109" spans="2:11">
      <c r="B109" s="218">
        <v>47422</v>
      </c>
      <c r="C109" s="217">
        <f t="shared" si="12"/>
        <v>4999213.3333333526</v>
      </c>
      <c r="D109" s="217">
        <f t="shared" si="9"/>
        <v>8332.0222222222546</v>
      </c>
      <c r="E109" s="217">
        <f t="shared" si="11"/>
        <v>57462.222222222219</v>
      </c>
      <c r="F109" s="217">
        <f t="shared" si="7"/>
        <v>65794.24444444447</v>
      </c>
      <c r="G109" s="217">
        <f t="shared" si="8"/>
        <v>4941751.1111111306</v>
      </c>
      <c r="I109" s="206"/>
      <c r="J109" s="206"/>
      <c r="K109" s="206"/>
    </row>
    <row r="110" spans="2:11">
      <c r="B110" s="216">
        <v>47452</v>
      </c>
      <c r="C110" s="217">
        <f t="shared" si="12"/>
        <v>4941751.1111111306</v>
      </c>
      <c r="D110" s="217">
        <f t="shared" si="9"/>
        <v>8236.2518518518846</v>
      </c>
      <c r="E110" s="217">
        <f t="shared" si="11"/>
        <v>57462.222222222219</v>
      </c>
      <c r="F110" s="217">
        <f t="shared" si="7"/>
        <v>65698.474074074096</v>
      </c>
      <c r="G110" s="217">
        <f t="shared" si="8"/>
        <v>4884288.8888889086</v>
      </c>
      <c r="I110" s="206"/>
      <c r="J110" s="206"/>
      <c r="K110" s="206"/>
    </row>
    <row r="111" spans="2:11">
      <c r="B111" s="219">
        <v>47483</v>
      </c>
      <c r="C111" s="220">
        <f t="shared" si="12"/>
        <v>4884288.8888889086</v>
      </c>
      <c r="D111" s="220">
        <f t="shared" si="9"/>
        <v>8140.4814814815145</v>
      </c>
      <c r="E111" s="220">
        <f t="shared" si="11"/>
        <v>57462.222222222219</v>
      </c>
      <c r="F111" s="220">
        <f t="shared" si="7"/>
        <v>65602.703703703737</v>
      </c>
      <c r="G111" s="220">
        <f t="shared" si="8"/>
        <v>4826826.6666666865</v>
      </c>
      <c r="H111" s="213"/>
      <c r="I111" s="214">
        <f>SUM(D100:D111)</f>
        <v>104006.62222222259</v>
      </c>
      <c r="J111" s="214">
        <f>SUM(E100:E111)</f>
        <v>689546.66666666686</v>
      </c>
      <c r="K111" s="214">
        <f>I111+J111</f>
        <v>793553.28888888948</v>
      </c>
    </row>
    <row r="112" spans="2:11">
      <c r="B112" s="218">
        <v>47514</v>
      </c>
      <c r="C112" s="217">
        <f t="shared" si="12"/>
        <v>4826826.6666666865</v>
      </c>
      <c r="D112" s="217">
        <f t="shared" si="9"/>
        <v>8044.7111111111444</v>
      </c>
      <c r="E112" s="217">
        <f t="shared" si="11"/>
        <v>57462.222222222219</v>
      </c>
      <c r="F112" s="217">
        <f t="shared" si="7"/>
        <v>65506.933333333363</v>
      </c>
      <c r="G112" s="217">
        <f t="shared" si="8"/>
        <v>4769364.4444444645</v>
      </c>
      <c r="I112" s="206"/>
      <c r="J112" s="206"/>
      <c r="K112" s="206"/>
    </row>
    <row r="113" spans="2:11">
      <c r="B113" s="216">
        <v>47542</v>
      </c>
      <c r="C113" s="217">
        <f t="shared" si="12"/>
        <v>4769364.4444444645</v>
      </c>
      <c r="D113" s="217">
        <f t="shared" si="9"/>
        <v>7948.9407407407743</v>
      </c>
      <c r="E113" s="217">
        <f t="shared" si="11"/>
        <v>57462.222222222219</v>
      </c>
      <c r="F113" s="217">
        <f t="shared" si="7"/>
        <v>65411.16296296299</v>
      </c>
      <c r="G113" s="217">
        <f t="shared" si="8"/>
        <v>4711902.2222222425</v>
      </c>
      <c r="I113" s="206"/>
      <c r="J113" s="206"/>
      <c r="K113" s="206"/>
    </row>
    <row r="114" spans="2:11">
      <c r="B114" s="218">
        <v>47573</v>
      </c>
      <c r="C114" s="217">
        <f t="shared" si="12"/>
        <v>4711902.2222222425</v>
      </c>
      <c r="D114" s="217">
        <f t="shared" si="9"/>
        <v>7853.1703703704043</v>
      </c>
      <c r="E114" s="217">
        <f t="shared" si="11"/>
        <v>57462.222222222219</v>
      </c>
      <c r="F114" s="217">
        <f t="shared" si="7"/>
        <v>65315.392592592623</v>
      </c>
      <c r="G114" s="217">
        <f t="shared" si="8"/>
        <v>4654440.0000000205</v>
      </c>
      <c r="I114" s="206"/>
      <c r="J114" s="206"/>
      <c r="K114" s="206"/>
    </row>
    <row r="115" spans="2:11">
      <c r="B115" s="216">
        <v>47603</v>
      </c>
      <c r="C115" s="217">
        <f t="shared" si="12"/>
        <v>4654440.0000000205</v>
      </c>
      <c r="D115" s="217">
        <f t="shared" si="9"/>
        <v>7757.4000000000342</v>
      </c>
      <c r="E115" s="217">
        <f t="shared" si="11"/>
        <v>57462.222222222219</v>
      </c>
      <c r="F115" s="217">
        <f t="shared" si="7"/>
        <v>65219.622222222257</v>
      </c>
      <c r="G115" s="217">
        <f t="shared" si="8"/>
        <v>4596977.7777777985</v>
      </c>
      <c r="I115" s="206"/>
      <c r="J115" s="206"/>
      <c r="K115" s="206"/>
    </row>
    <row r="116" spans="2:11">
      <c r="B116" s="218">
        <v>47634</v>
      </c>
      <c r="C116" s="217">
        <f t="shared" si="12"/>
        <v>4596977.7777777985</v>
      </c>
      <c r="D116" s="217">
        <f t="shared" si="9"/>
        <v>7661.6296296296641</v>
      </c>
      <c r="E116" s="217">
        <f t="shared" si="11"/>
        <v>57462.222222222219</v>
      </c>
      <c r="F116" s="217">
        <f t="shared" si="7"/>
        <v>65123.851851851883</v>
      </c>
      <c r="G116" s="217">
        <f t="shared" si="8"/>
        <v>4539515.5555555765</v>
      </c>
      <c r="I116" s="206"/>
      <c r="J116" s="206"/>
      <c r="K116" s="206"/>
    </row>
    <row r="117" spans="2:11">
      <c r="B117" s="218">
        <v>47664</v>
      </c>
      <c r="C117" s="217">
        <f t="shared" si="12"/>
        <v>4539515.5555555765</v>
      </c>
      <c r="D117" s="217">
        <f t="shared" si="9"/>
        <v>7565.859259259294</v>
      </c>
      <c r="E117" s="217">
        <f t="shared" si="11"/>
        <v>57462.222222222219</v>
      </c>
      <c r="F117" s="217">
        <f t="shared" si="7"/>
        <v>65028.081481481509</v>
      </c>
      <c r="G117" s="217">
        <f t="shared" si="8"/>
        <v>4482053.3333333544</v>
      </c>
      <c r="I117" s="206"/>
      <c r="J117" s="206"/>
      <c r="K117" s="206"/>
    </row>
    <row r="118" spans="2:11">
      <c r="B118" s="216">
        <v>47695</v>
      </c>
      <c r="C118" s="217">
        <f t="shared" si="12"/>
        <v>4482053.3333333544</v>
      </c>
      <c r="D118" s="217">
        <f t="shared" si="9"/>
        <v>7470.088888888924</v>
      </c>
      <c r="E118" s="217">
        <f t="shared" si="11"/>
        <v>57462.222222222219</v>
      </c>
      <c r="F118" s="217">
        <f t="shared" si="7"/>
        <v>64932.311111111143</v>
      </c>
      <c r="G118" s="217">
        <f t="shared" si="8"/>
        <v>4424591.1111111324</v>
      </c>
      <c r="I118" s="206"/>
      <c r="J118" s="206"/>
      <c r="K118" s="206"/>
    </row>
    <row r="119" spans="2:11">
      <c r="B119" s="218">
        <v>47726</v>
      </c>
      <c r="C119" s="217">
        <f t="shared" si="12"/>
        <v>4424591.1111111324</v>
      </c>
      <c r="D119" s="217">
        <f t="shared" si="9"/>
        <v>7374.3185185185539</v>
      </c>
      <c r="E119" s="217">
        <f t="shared" si="11"/>
        <v>57462.222222222219</v>
      </c>
      <c r="F119" s="217">
        <f t="shared" si="7"/>
        <v>64836.540740740777</v>
      </c>
      <c r="G119" s="217">
        <f t="shared" si="8"/>
        <v>4367128.8888889104</v>
      </c>
      <c r="I119" s="206"/>
      <c r="J119" s="206"/>
      <c r="K119" s="206"/>
    </row>
    <row r="120" spans="2:11">
      <c r="B120" s="216">
        <v>47756</v>
      </c>
      <c r="C120" s="217">
        <f t="shared" si="12"/>
        <v>4367128.8888889104</v>
      </c>
      <c r="D120" s="217">
        <f t="shared" si="9"/>
        <v>7278.5481481481838</v>
      </c>
      <c r="E120" s="217">
        <f t="shared" si="11"/>
        <v>57462.222222222219</v>
      </c>
      <c r="F120" s="217">
        <f t="shared" si="7"/>
        <v>64740.770370370403</v>
      </c>
      <c r="G120" s="217">
        <f t="shared" si="8"/>
        <v>4309666.6666666884</v>
      </c>
      <c r="I120" s="206"/>
      <c r="J120" s="206"/>
      <c r="K120" s="206"/>
    </row>
    <row r="121" spans="2:11">
      <c r="B121" s="218">
        <v>47787</v>
      </c>
      <c r="C121" s="217">
        <f t="shared" si="12"/>
        <v>4309666.6666666884</v>
      </c>
      <c r="D121" s="217">
        <f t="shared" si="9"/>
        <v>7182.7777777778138</v>
      </c>
      <c r="E121" s="217">
        <f t="shared" si="11"/>
        <v>57462.222222222219</v>
      </c>
      <c r="F121" s="217">
        <f t="shared" si="7"/>
        <v>64645.000000000029</v>
      </c>
      <c r="G121" s="217">
        <f t="shared" si="8"/>
        <v>4252204.4444444664</v>
      </c>
      <c r="I121" s="206"/>
      <c r="J121" s="206"/>
      <c r="K121" s="206"/>
    </row>
    <row r="122" spans="2:11">
      <c r="B122" s="216">
        <v>47817</v>
      </c>
      <c r="C122" s="217">
        <f t="shared" si="12"/>
        <v>4252204.4444444664</v>
      </c>
      <c r="D122" s="217">
        <f t="shared" si="9"/>
        <v>7087.0074074074437</v>
      </c>
      <c r="E122" s="217">
        <f t="shared" si="11"/>
        <v>57462.222222222219</v>
      </c>
      <c r="F122" s="217">
        <f t="shared" si="7"/>
        <v>64549.229629629663</v>
      </c>
      <c r="G122" s="217">
        <f t="shared" si="8"/>
        <v>4194742.2222222444</v>
      </c>
      <c r="I122" s="206"/>
      <c r="J122" s="206"/>
      <c r="K122" s="206"/>
    </row>
    <row r="123" spans="2:11">
      <c r="B123" s="219">
        <v>47848</v>
      </c>
      <c r="C123" s="220">
        <f t="shared" si="12"/>
        <v>4194742.2222222444</v>
      </c>
      <c r="D123" s="220">
        <f t="shared" si="9"/>
        <v>6991.2370370370736</v>
      </c>
      <c r="E123" s="220">
        <f t="shared" si="11"/>
        <v>57462.222222222219</v>
      </c>
      <c r="F123" s="220">
        <f t="shared" si="7"/>
        <v>64453.459259259296</v>
      </c>
      <c r="G123" s="220">
        <f t="shared" si="8"/>
        <v>4137280.0000000224</v>
      </c>
      <c r="H123" s="213"/>
      <c r="I123" s="214">
        <f>SUM(D112:D123)</f>
        <v>90215.688888889315</v>
      </c>
      <c r="J123" s="214">
        <f>SUM(E112:E123)</f>
        <v>689546.66666666686</v>
      </c>
      <c r="K123" s="214">
        <f>I123+J123</f>
        <v>779762.35555555613</v>
      </c>
    </row>
    <row r="124" spans="2:11">
      <c r="B124" s="218">
        <v>47879</v>
      </c>
      <c r="C124" s="217">
        <f t="shared" si="12"/>
        <v>4137280.0000000224</v>
      </c>
      <c r="D124" s="217">
        <f t="shared" si="9"/>
        <v>6895.4666666667035</v>
      </c>
      <c r="E124" s="217">
        <f t="shared" si="11"/>
        <v>57462.222222222219</v>
      </c>
      <c r="F124" s="217">
        <f t="shared" si="7"/>
        <v>64357.688888888923</v>
      </c>
      <c r="G124" s="217">
        <f t="shared" si="8"/>
        <v>4079817.7777778003</v>
      </c>
      <c r="H124" s="207"/>
      <c r="I124" s="208"/>
      <c r="J124" s="208"/>
      <c r="K124" s="208"/>
    </row>
    <row r="125" spans="2:11">
      <c r="B125" s="216">
        <v>47907</v>
      </c>
      <c r="C125" s="217">
        <f t="shared" si="12"/>
        <v>4079817.7777778003</v>
      </c>
      <c r="D125" s="217">
        <f t="shared" si="9"/>
        <v>6799.6962962963335</v>
      </c>
      <c r="E125" s="217">
        <f t="shared" si="11"/>
        <v>57462.222222222219</v>
      </c>
      <c r="F125" s="217">
        <f t="shared" si="7"/>
        <v>64261.918518518549</v>
      </c>
      <c r="G125" s="217">
        <f t="shared" si="8"/>
        <v>4022355.5555555783</v>
      </c>
      <c r="H125" s="207"/>
      <c r="I125" s="208"/>
      <c r="J125" s="208"/>
      <c r="K125" s="208"/>
    </row>
    <row r="126" spans="2:11">
      <c r="B126" s="218">
        <v>47938</v>
      </c>
      <c r="C126" s="217">
        <f t="shared" si="12"/>
        <v>4022355.5555555783</v>
      </c>
      <c r="D126" s="217">
        <f t="shared" si="9"/>
        <v>6703.9259259259643</v>
      </c>
      <c r="E126" s="217">
        <f t="shared" si="11"/>
        <v>57462.222222222219</v>
      </c>
      <c r="F126" s="217">
        <f t="shared" si="7"/>
        <v>64166.148148148182</v>
      </c>
      <c r="G126" s="217">
        <f t="shared" si="8"/>
        <v>3964893.3333333563</v>
      </c>
      <c r="H126" s="207"/>
      <c r="I126" s="208"/>
      <c r="J126" s="208"/>
      <c r="K126" s="208"/>
    </row>
    <row r="127" spans="2:11">
      <c r="B127" s="216">
        <v>47968</v>
      </c>
      <c r="C127" s="217">
        <f t="shared" si="12"/>
        <v>3964893.3333333563</v>
      </c>
      <c r="D127" s="217">
        <f t="shared" si="9"/>
        <v>6608.1555555555942</v>
      </c>
      <c r="E127" s="217">
        <f t="shared" si="11"/>
        <v>57462.222222222219</v>
      </c>
      <c r="F127" s="217">
        <f t="shared" si="7"/>
        <v>64070.377777777816</v>
      </c>
      <c r="G127" s="217">
        <f t="shared" si="8"/>
        <v>3907431.1111111343</v>
      </c>
      <c r="H127" s="207"/>
      <c r="I127" s="208"/>
      <c r="J127" s="208"/>
      <c r="K127" s="208"/>
    </row>
    <row r="128" spans="2:11">
      <c r="B128" s="218">
        <v>47999</v>
      </c>
      <c r="C128" s="217">
        <f t="shared" si="12"/>
        <v>3907431.1111111343</v>
      </c>
      <c r="D128" s="217">
        <f t="shared" si="9"/>
        <v>6512.3851851852241</v>
      </c>
      <c r="E128" s="217">
        <f t="shared" si="11"/>
        <v>57462.222222222219</v>
      </c>
      <c r="F128" s="217">
        <f t="shared" si="7"/>
        <v>63974.607407407442</v>
      </c>
      <c r="G128" s="217">
        <f t="shared" si="8"/>
        <v>3849968.8888889123</v>
      </c>
      <c r="H128" s="207"/>
      <c r="I128" s="208"/>
      <c r="J128" s="208"/>
      <c r="K128" s="208"/>
    </row>
    <row r="129" spans="2:11">
      <c r="B129" s="218">
        <v>48029</v>
      </c>
      <c r="C129" s="217">
        <f t="shared" si="12"/>
        <v>3849968.8888889123</v>
      </c>
      <c r="D129" s="217">
        <f t="shared" si="9"/>
        <v>6416.6148148148541</v>
      </c>
      <c r="E129" s="217">
        <f t="shared" si="11"/>
        <v>57462.222222222219</v>
      </c>
      <c r="F129" s="217">
        <f t="shared" si="7"/>
        <v>63878.837037037076</v>
      </c>
      <c r="G129" s="217">
        <f t="shared" si="8"/>
        <v>3792506.6666666903</v>
      </c>
      <c r="H129" s="207"/>
      <c r="I129" s="208"/>
      <c r="J129" s="208"/>
      <c r="K129" s="208"/>
    </row>
    <row r="130" spans="2:11">
      <c r="B130" s="216">
        <v>48060</v>
      </c>
      <c r="C130" s="217">
        <f t="shared" si="12"/>
        <v>3792506.6666666903</v>
      </c>
      <c r="D130" s="217">
        <f t="shared" si="9"/>
        <v>6320.844444444484</v>
      </c>
      <c r="E130" s="217">
        <f t="shared" si="11"/>
        <v>57462.222222222219</v>
      </c>
      <c r="F130" s="217">
        <f t="shared" si="7"/>
        <v>63783.066666666702</v>
      </c>
      <c r="G130" s="217">
        <f t="shared" si="8"/>
        <v>3735044.4444444682</v>
      </c>
      <c r="H130" s="207"/>
      <c r="I130" s="208"/>
      <c r="J130" s="208"/>
      <c r="K130" s="208"/>
    </row>
    <row r="131" spans="2:11">
      <c r="B131" s="218">
        <v>48091</v>
      </c>
      <c r="C131" s="217">
        <f t="shared" si="12"/>
        <v>3735044.4444444682</v>
      </c>
      <c r="D131" s="217">
        <f t="shared" si="9"/>
        <v>6225.0740740741139</v>
      </c>
      <c r="E131" s="217">
        <f t="shared" si="11"/>
        <v>57462.222222222219</v>
      </c>
      <c r="F131" s="217">
        <f t="shared" si="7"/>
        <v>63687.296296296336</v>
      </c>
      <c r="G131" s="217">
        <f t="shared" si="8"/>
        <v>3677582.2222222462</v>
      </c>
      <c r="H131" s="207"/>
      <c r="I131" s="208"/>
      <c r="J131" s="208"/>
      <c r="K131" s="208"/>
    </row>
    <row r="132" spans="2:11">
      <c r="B132" s="216">
        <v>48121</v>
      </c>
      <c r="C132" s="217">
        <f t="shared" si="12"/>
        <v>3677582.2222222462</v>
      </c>
      <c r="D132" s="217">
        <f t="shared" si="9"/>
        <v>6129.3037037037438</v>
      </c>
      <c r="E132" s="217">
        <f t="shared" si="11"/>
        <v>57462.222222222219</v>
      </c>
      <c r="F132" s="217">
        <f t="shared" si="7"/>
        <v>63591.525925925962</v>
      </c>
      <c r="G132" s="217">
        <f t="shared" si="8"/>
        <v>3620120.0000000242</v>
      </c>
      <c r="H132" s="207"/>
      <c r="I132" s="208"/>
      <c r="J132" s="208"/>
      <c r="K132" s="208"/>
    </row>
    <row r="133" spans="2:11">
      <c r="B133" s="218">
        <v>48152</v>
      </c>
      <c r="C133" s="217">
        <f t="shared" si="12"/>
        <v>3620120.0000000242</v>
      </c>
      <c r="D133" s="217">
        <f t="shared" si="9"/>
        <v>6033.5333333333738</v>
      </c>
      <c r="E133" s="217">
        <f t="shared" si="11"/>
        <v>57462.222222222219</v>
      </c>
      <c r="F133" s="217">
        <f t="shared" si="7"/>
        <v>63495.755555555595</v>
      </c>
      <c r="G133" s="217">
        <f t="shared" si="8"/>
        <v>3562657.7777778022</v>
      </c>
      <c r="H133" s="207"/>
      <c r="I133" s="208"/>
      <c r="J133" s="208"/>
      <c r="K133" s="208"/>
    </row>
    <row r="134" spans="2:11">
      <c r="B134" s="216">
        <v>48182</v>
      </c>
      <c r="C134" s="217">
        <f t="shared" si="12"/>
        <v>3562657.7777778022</v>
      </c>
      <c r="D134" s="217">
        <f t="shared" si="9"/>
        <v>5937.7629629630037</v>
      </c>
      <c r="E134" s="217">
        <f t="shared" si="11"/>
        <v>57462.222222222219</v>
      </c>
      <c r="F134" s="217">
        <f t="shared" si="7"/>
        <v>63399.985185185222</v>
      </c>
      <c r="G134" s="217">
        <f t="shared" si="8"/>
        <v>3505195.5555555802</v>
      </c>
      <c r="H134" s="207"/>
      <c r="I134" s="208"/>
      <c r="J134" s="208"/>
      <c r="K134" s="208"/>
    </row>
    <row r="135" spans="2:11">
      <c r="B135" s="219">
        <v>48213</v>
      </c>
      <c r="C135" s="220">
        <f t="shared" si="12"/>
        <v>3505195.5555555802</v>
      </c>
      <c r="D135" s="220">
        <f t="shared" si="9"/>
        <v>5841.9925925926336</v>
      </c>
      <c r="E135" s="220">
        <f t="shared" si="11"/>
        <v>57462.222222222219</v>
      </c>
      <c r="F135" s="220">
        <f t="shared" si="7"/>
        <v>63304.214814814855</v>
      </c>
      <c r="G135" s="220">
        <f t="shared" si="8"/>
        <v>3447733.3333333582</v>
      </c>
      <c r="H135" s="213"/>
      <c r="I135" s="214">
        <f>SUM(D124:D135)</f>
        <v>76424.755555556039</v>
      </c>
      <c r="J135" s="214">
        <f>SUM(E124:E135)</f>
        <v>689546.66666666686</v>
      </c>
      <c r="K135" s="214">
        <f>I135+J135</f>
        <v>765971.4222222229</v>
      </c>
    </row>
    <row r="136" spans="2:11">
      <c r="B136" s="218">
        <v>48244</v>
      </c>
      <c r="C136" s="217">
        <f t="shared" si="12"/>
        <v>3447733.3333333582</v>
      </c>
      <c r="D136" s="217">
        <f t="shared" si="9"/>
        <v>5746.2222222222636</v>
      </c>
      <c r="E136" s="217">
        <f t="shared" si="11"/>
        <v>57462.222222222219</v>
      </c>
      <c r="F136" s="217">
        <f t="shared" si="7"/>
        <v>63208.444444444482</v>
      </c>
      <c r="G136" s="217">
        <f t="shared" si="8"/>
        <v>3390271.1111111362</v>
      </c>
      <c r="H136" s="207"/>
      <c r="I136" s="208"/>
      <c r="J136" s="208"/>
      <c r="K136" s="208"/>
    </row>
    <row r="137" spans="2:11">
      <c r="B137" s="216">
        <v>48273</v>
      </c>
      <c r="C137" s="217">
        <f t="shared" si="12"/>
        <v>3390271.1111111362</v>
      </c>
      <c r="D137" s="217">
        <f t="shared" si="9"/>
        <v>5650.4518518518935</v>
      </c>
      <c r="E137" s="217">
        <f t="shared" si="11"/>
        <v>57462.222222222219</v>
      </c>
      <c r="F137" s="217">
        <f t="shared" si="7"/>
        <v>63112.674074074115</v>
      </c>
      <c r="G137" s="217">
        <f t="shared" si="8"/>
        <v>3332808.8888889141</v>
      </c>
      <c r="H137" s="207"/>
      <c r="I137" s="208"/>
      <c r="J137" s="208"/>
      <c r="K137" s="208"/>
    </row>
    <row r="138" spans="2:11">
      <c r="B138" s="218">
        <v>48304</v>
      </c>
      <c r="C138" s="217">
        <f t="shared" si="12"/>
        <v>3332808.8888889141</v>
      </c>
      <c r="D138" s="217">
        <f t="shared" si="9"/>
        <v>5554.6814814815234</v>
      </c>
      <c r="E138" s="217">
        <f t="shared" si="11"/>
        <v>57462.222222222219</v>
      </c>
      <c r="F138" s="217">
        <f t="shared" si="7"/>
        <v>63016.903703703741</v>
      </c>
      <c r="G138" s="217">
        <f t="shared" si="8"/>
        <v>3275346.6666666921</v>
      </c>
      <c r="H138" s="207"/>
      <c r="I138" s="208"/>
      <c r="J138" s="208"/>
      <c r="K138" s="208"/>
    </row>
    <row r="139" spans="2:11">
      <c r="B139" s="216">
        <v>48334</v>
      </c>
      <c r="C139" s="217">
        <f t="shared" si="12"/>
        <v>3275346.6666666921</v>
      </c>
      <c r="D139" s="217">
        <f t="shared" si="9"/>
        <v>5458.9111111111533</v>
      </c>
      <c r="E139" s="217">
        <f t="shared" si="11"/>
        <v>57462.222222222219</v>
      </c>
      <c r="F139" s="217">
        <f t="shared" si="7"/>
        <v>62921.133333333375</v>
      </c>
      <c r="G139" s="217">
        <f t="shared" si="8"/>
        <v>3217884.4444444701</v>
      </c>
      <c r="H139" s="207"/>
      <c r="I139" s="208"/>
      <c r="J139" s="208"/>
      <c r="K139" s="208"/>
    </row>
    <row r="140" spans="2:11">
      <c r="B140" s="218">
        <v>48365</v>
      </c>
      <c r="C140" s="217">
        <f t="shared" si="12"/>
        <v>3217884.4444444701</v>
      </c>
      <c r="D140" s="217">
        <f t="shared" si="9"/>
        <v>5363.1407407407833</v>
      </c>
      <c r="E140" s="217">
        <f t="shared" si="11"/>
        <v>57462.222222222219</v>
      </c>
      <c r="F140" s="217">
        <f t="shared" si="7"/>
        <v>62825.362962963001</v>
      </c>
      <c r="G140" s="217">
        <f t="shared" si="8"/>
        <v>3160422.2222222481</v>
      </c>
      <c r="H140" s="207"/>
      <c r="I140" s="208"/>
      <c r="J140" s="208"/>
      <c r="K140" s="208"/>
    </row>
    <row r="141" spans="2:11">
      <c r="B141" s="218">
        <v>48395</v>
      </c>
      <c r="C141" s="217">
        <f t="shared" si="12"/>
        <v>3160422.2222222481</v>
      </c>
      <c r="D141" s="217">
        <f t="shared" si="9"/>
        <v>5267.3703703704132</v>
      </c>
      <c r="E141" s="217">
        <f t="shared" si="11"/>
        <v>57462.222222222219</v>
      </c>
      <c r="F141" s="217">
        <f t="shared" si="7"/>
        <v>62729.592592592635</v>
      </c>
      <c r="G141" s="217">
        <f t="shared" si="8"/>
        <v>3102960.0000000261</v>
      </c>
      <c r="H141" s="207"/>
      <c r="I141" s="208"/>
      <c r="J141" s="208"/>
      <c r="K141" s="208"/>
    </row>
    <row r="142" spans="2:11">
      <c r="B142" s="216">
        <v>48426</v>
      </c>
      <c r="C142" s="217">
        <f t="shared" si="12"/>
        <v>3102960.0000000261</v>
      </c>
      <c r="D142" s="217">
        <f t="shared" si="9"/>
        <v>5171.6000000000431</v>
      </c>
      <c r="E142" s="217">
        <f t="shared" si="11"/>
        <v>57462.222222222219</v>
      </c>
      <c r="F142" s="217">
        <f t="shared" si="7"/>
        <v>62633.822222222261</v>
      </c>
      <c r="G142" s="217">
        <f t="shared" si="8"/>
        <v>3045497.7777778041</v>
      </c>
      <c r="H142" s="207"/>
      <c r="I142" s="208"/>
      <c r="J142" s="208"/>
      <c r="K142" s="208"/>
    </row>
    <row r="143" spans="2:11">
      <c r="B143" s="218">
        <v>48457</v>
      </c>
      <c r="C143" s="217">
        <f t="shared" si="12"/>
        <v>3045497.7777778041</v>
      </c>
      <c r="D143" s="217">
        <f t="shared" si="9"/>
        <v>5075.829629629673</v>
      </c>
      <c r="E143" s="217">
        <f t="shared" si="11"/>
        <v>57462.222222222219</v>
      </c>
      <c r="F143" s="217">
        <f t="shared" ref="F143:F195" si="13">D143+E143</f>
        <v>62538.051851851895</v>
      </c>
      <c r="G143" s="217">
        <f t="shared" ref="G143:G195" si="14">C143-E143</f>
        <v>2988035.555555582</v>
      </c>
      <c r="H143" s="207"/>
      <c r="I143" s="208"/>
      <c r="J143" s="208"/>
      <c r="K143" s="208"/>
    </row>
    <row r="144" spans="2:11">
      <c r="B144" s="216">
        <v>48487</v>
      </c>
      <c r="C144" s="217">
        <f t="shared" si="12"/>
        <v>2988035.555555582</v>
      </c>
      <c r="D144" s="217">
        <f t="shared" ref="D144:D195" si="15">C144*$J$6/12</f>
        <v>4980.059259259303</v>
      </c>
      <c r="E144" s="217">
        <f t="shared" si="11"/>
        <v>57462.222222222219</v>
      </c>
      <c r="F144" s="217">
        <f t="shared" si="13"/>
        <v>62442.281481481521</v>
      </c>
      <c r="G144" s="217">
        <f t="shared" si="14"/>
        <v>2930573.33333336</v>
      </c>
      <c r="H144" s="207"/>
      <c r="I144" s="208"/>
      <c r="J144" s="208"/>
      <c r="K144" s="208"/>
    </row>
    <row r="145" spans="2:11">
      <c r="B145" s="218">
        <v>48518</v>
      </c>
      <c r="C145" s="217">
        <f t="shared" si="12"/>
        <v>2930573.33333336</v>
      </c>
      <c r="D145" s="217">
        <f t="shared" si="15"/>
        <v>4884.2888888889329</v>
      </c>
      <c r="E145" s="217">
        <f t="shared" si="11"/>
        <v>57462.222222222219</v>
      </c>
      <c r="F145" s="217">
        <f t="shared" si="13"/>
        <v>62346.511111111155</v>
      </c>
      <c r="G145" s="217">
        <f t="shared" si="14"/>
        <v>2873111.111111138</v>
      </c>
      <c r="H145" s="207"/>
      <c r="I145" s="208"/>
      <c r="J145" s="208"/>
      <c r="K145" s="208"/>
    </row>
    <row r="146" spans="2:11">
      <c r="B146" s="216">
        <v>48548</v>
      </c>
      <c r="C146" s="217">
        <f t="shared" si="12"/>
        <v>2873111.111111138</v>
      </c>
      <c r="D146" s="217">
        <f t="shared" si="15"/>
        <v>4788.5185185185637</v>
      </c>
      <c r="E146" s="217">
        <f t="shared" si="11"/>
        <v>57462.222222222219</v>
      </c>
      <c r="F146" s="217">
        <f t="shared" si="13"/>
        <v>62250.740740740781</v>
      </c>
      <c r="G146" s="217">
        <f t="shared" si="14"/>
        <v>2815648.888888916</v>
      </c>
      <c r="H146" s="207"/>
      <c r="I146" s="208"/>
      <c r="J146" s="208"/>
      <c r="K146" s="208"/>
    </row>
    <row r="147" spans="2:11">
      <c r="B147" s="219">
        <v>48579</v>
      </c>
      <c r="C147" s="220">
        <f t="shared" si="12"/>
        <v>2815648.888888916</v>
      </c>
      <c r="D147" s="220">
        <f t="shared" si="15"/>
        <v>4692.7481481481936</v>
      </c>
      <c r="E147" s="220">
        <f t="shared" si="11"/>
        <v>57462.222222222219</v>
      </c>
      <c r="F147" s="220">
        <f t="shared" si="13"/>
        <v>62154.970370370414</v>
      </c>
      <c r="G147" s="220">
        <f t="shared" si="14"/>
        <v>2758186.666666694</v>
      </c>
      <c r="H147" s="213"/>
      <c r="I147" s="214">
        <f>SUM(D136:D147)</f>
        <v>62633.822222222741</v>
      </c>
      <c r="J147" s="214">
        <f>SUM(E136:E147)</f>
        <v>689546.66666666686</v>
      </c>
      <c r="K147" s="214">
        <f>I147+J147</f>
        <v>752180.48888888955</v>
      </c>
    </row>
    <row r="148" spans="2:11">
      <c r="B148" s="218">
        <v>48610</v>
      </c>
      <c r="C148" s="217">
        <f t="shared" si="12"/>
        <v>2758186.666666694</v>
      </c>
      <c r="D148" s="217">
        <f t="shared" si="15"/>
        <v>4596.9777777778236</v>
      </c>
      <c r="E148" s="217">
        <f t="shared" si="11"/>
        <v>57462.222222222219</v>
      </c>
      <c r="F148" s="217">
        <f t="shared" si="13"/>
        <v>62059.200000000041</v>
      </c>
      <c r="G148" s="217">
        <f t="shared" si="14"/>
        <v>2700724.444444472</v>
      </c>
      <c r="H148" s="207"/>
      <c r="I148" s="208"/>
      <c r="J148" s="208"/>
      <c r="K148" s="208"/>
    </row>
    <row r="149" spans="2:11">
      <c r="B149" s="216">
        <v>48638</v>
      </c>
      <c r="C149" s="217">
        <f t="shared" si="12"/>
        <v>2700724.444444472</v>
      </c>
      <c r="D149" s="217">
        <f t="shared" si="15"/>
        <v>4501.2074074074535</v>
      </c>
      <c r="E149" s="217">
        <f t="shared" si="11"/>
        <v>57462.222222222219</v>
      </c>
      <c r="F149" s="217">
        <f t="shared" si="13"/>
        <v>61963.429629629674</v>
      </c>
      <c r="G149" s="217">
        <f t="shared" si="14"/>
        <v>2643262.22222225</v>
      </c>
      <c r="H149" s="207"/>
      <c r="I149" s="208"/>
      <c r="J149" s="208"/>
      <c r="K149" s="208"/>
    </row>
    <row r="150" spans="2:11">
      <c r="B150" s="218">
        <v>48669</v>
      </c>
      <c r="C150" s="217">
        <f t="shared" si="12"/>
        <v>2643262.22222225</v>
      </c>
      <c r="D150" s="217">
        <f t="shared" si="15"/>
        <v>4405.4370370370834</v>
      </c>
      <c r="E150" s="217">
        <f t="shared" si="11"/>
        <v>57462.222222222219</v>
      </c>
      <c r="F150" s="217">
        <f t="shared" si="13"/>
        <v>61867.659259259301</v>
      </c>
      <c r="G150" s="217">
        <f t="shared" si="14"/>
        <v>2585800.0000000279</v>
      </c>
      <c r="H150" s="207"/>
      <c r="I150" s="208"/>
      <c r="J150" s="208"/>
      <c r="K150" s="208"/>
    </row>
    <row r="151" spans="2:11">
      <c r="B151" s="216">
        <v>48699</v>
      </c>
      <c r="C151" s="217">
        <f t="shared" si="12"/>
        <v>2585800.0000000279</v>
      </c>
      <c r="D151" s="217">
        <f t="shared" si="15"/>
        <v>4309.6666666667134</v>
      </c>
      <c r="E151" s="217">
        <f t="shared" si="11"/>
        <v>57462.222222222219</v>
      </c>
      <c r="F151" s="217">
        <f t="shared" si="13"/>
        <v>61771.888888888934</v>
      </c>
      <c r="G151" s="217">
        <f t="shared" si="14"/>
        <v>2528337.7777778059</v>
      </c>
      <c r="H151" s="207"/>
      <c r="I151" s="208"/>
      <c r="J151" s="208"/>
      <c r="K151" s="208"/>
    </row>
    <row r="152" spans="2:11">
      <c r="B152" s="218">
        <v>48730</v>
      </c>
      <c r="C152" s="217">
        <f t="shared" si="12"/>
        <v>2528337.7777778059</v>
      </c>
      <c r="D152" s="217">
        <f t="shared" si="15"/>
        <v>4213.8962962963433</v>
      </c>
      <c r="E152" s="217">
        <f t="shared" si="11"/>
        <v>57462.222222222219</v>
      </c>
      <c r="F152" s="217">
        <f t="shared" si="13"/>
        <v>61676.11851851856</v>
      </c>
      <c r="G152" s="217">
        <f t="shared" si="14"/>
        <v>2470875.5555555839</v>
      </c>
      <c r="H152" s="207"/>
      <c r="I152" s="208"/>
      <c r="J152" s="208"/>
      <c r="K152" s="208"/>
    </row>
    <row r="153" spans="2:11">
      <c r="B153" s="218">
        <v>48760</v>
      </c>
      <c r="C153" s="217">
        <f t="shared" si="12"/>
        <v>2470875.5555555839</v>
      </c>
      <c r="D153" s="217">
        <f t="shared" si="15"/>
        <v>4118.1259259259732</v>
      </c>
      <c r="E153" s="217">
        <f t="shared" si="11"/>
        <v>57462.222222222219</v>
      </c>
      <c r="F153" s="217">
        <f t="shared" si="13"/>
        <v>61580.348148148194</v>
      </c>
      <c r="G153" s="217">
        <f t="shared" si="14"/>
        <v>2413413.3333333619</v>
      </c>
      <c r="H153" s="207"/>
      <c r="I153" s="208"/>
      <c r="J153" s="208"/>
      <c r="K153" s="208"/>
    </row>
    <row r="154" spans="2:11">
      <c r="B154" s="216">
        <v>48791</v>
      </c>
      <c r="C154" s="217">
        <f t="shared" si="12"/>
        <v>2413413.3333333619</v>
      </c>
      <c r="D154" s="217">
        <f t="shared" si="15"/>
        <v>4022.3555555556031</v>
      </c>
      <c r="E154" s="217">
        <f t="shared" si="11"/>
        <v>57462.222222222219</v>
      </c>
      <c r="F154" s="217">
        <f t="shared" si="13"/>
        <v>61484.57777777782</v>
      </c>
      <c r="G154" s="217">
        <f t="shared" si="14"/>
        <v>2355951.1111111399</v>
      </c>
      <c r="H154" s="207"/>
      <c r="I154" s="208"/>
      <c r="J154" s="208"/>
      <c r="K154" s="208"/>
    </row>
    <row r="155" spans="2:11">
      <c r="B155" s="218">
        <v>48822</v>
      </c>
      <c r="C155" s="217">
        <f t="shared" si="12"/>
        <v>2355951.1111111399</v>
      </c>
      <c r="D155" s="217">
        <f t="shared" si="15"/>
        <v>3926.5851851852331</v>
      </c>
      <c r="E155" s="217">
        <f t="shared" si="11"/>
        <v>57462.222222222219</v>
      </c>
      <c r="F155" s="217">
        <f t="shared" si="13"/>
        <v>61388.807407407454</v>
      </c>
      <c r="G155" s="217">
        <f t="shared" si="14"/>
        <v>2298488.8888889179</v>
      </c>
      <c r="H155" s="207"/>
      <c r="I155" s="208"/>
      <c r="J155" s="208"/>
      <c r="K155" s="208"/>
    </row>
    <row r="156" spans="2:11">
      <c r="B156" s="216">
        <v>48852</v>
      </c>
      <c r="C156" s="217">
        <f t="shared" si="12"/>
        <v>2298488.8888889179</v>
      </c>
      <c r="D156" s="217">
        <f t="shared" si="15"/>
        <v>3830.814814814863</v>
      </c>
      <c r="E156" s="217">
        <f t="shared" si="11"/>
        <v>57462.222222222219</v>
      </c>
      <c r="F156" s="217">
        <f t="shared" si="13"/>
        <v>61293.03703703708</v>
      </c>
      <c r="G156" s="217">
        <f t="shared" si="14"/>
        <v>2241026.6666666958</v>
      </c>
      <c r="H156" s="207"/>
      <c r="I156" s="208"/>
      <c r="J156" s="208"/>
      <c r="K156" s="208"/>
    </row>
    <row r="157" spans="2:11">
      <c r="B157" s="218">
        <v>48883</v>
      </c>
      <c r="C157" s="217">
        <f t="shared" si="12"/>
        <v>2241026.6666666958</v>
      </c>
      <c r="D157" s="217">
        <f t="shared" si="15"/>
        <v>3735.0444444444929</v>
      </c>
      <c r="E157" s="217">
        <f t="shared" ref="E157:E195" si="16">$J$5/$J$8</f>
        <v>57462.222222222219</v>
      </c>
      <c r="F157" s="217">
        <f t="shared" si="13"/>
        <v>61197.266666666714</v>
      </c>
      <c r="G157" s="217">
        <f t="shared" si="14"/>
        <v>2183564.4444444738</v>
      </c>
      <c r="H157" s="207"/>
      <c r="I157" s="208"/>
      <c r="J157" s="208"/>
      <c r="K157" s="208"/>
    </row>
    <row r="158" spans="2:11">
      <c r="B158" s="216">
        <v>48913</v>
      </c>
      <c r="C158" s="217">
        <f t="shared" si="12"/>
        <v>2183564.4444444738</v>
      </c>
      <c r="D158" s="217">
        <f t="shared" si="15"/>
        <v>3639.2740740741228</v>
      </c>
      <c r="E158" s="217">
        <f t="shared" si="16"/>
        <v>57462.222222222219</v>
      </c>
      <c r="F158" s="217">
        <f t="shared" si="13"/>
        <v>61101.49629629634</v>
      </c>
      <c r="G158" s="217">
        <f t="shared" si="14"/>
        <v>2126102.2222222518</v>
      </c>
      <c r="H158" s="207"/>
      <c r="I158" s="208"/>
      <c r="J158" s="208"/>
      <c r="K158" s="208"/>
    </row>
    <row r="159" spans="2:11">
      <c r="B159" s="219">
        <v>48944</v>
      </c>
      <c r="C159" s="220">
        <f t="shared" si="12"/>
        <v>2126102.2222222518</v>
      </c>
      <c r="D159" s="220">
        <f t="shared" si="15"/>
        <v>3543.5037037037532</v>
      </c>
      <c r="E159" s="220">
        <f t="shared" si="16"/>
        <v>57462.222222222219</v>
      </c>
      <c r="F159" s="220">
        <f t="shared" si="13"/>
        <v>61005.725925925974</v>
      </c>
      <c r="G159" s="220">
        <f t="shared" si="14"/>
        <v>2068640.0000000296</v>
      </c>
      <c r="H159" s="213"/>
      <c r="I159" s="214">
        <f>SUM(D148:D159)</f>
        <v>48842.888888889458</v>
      </c>
      <c r="J159" s="214">
        <f>SUM(E148:E159)</f>
        <v>689546.66666666686</v>
      </c>
      <c r="K159" s="214">
        <f>I159+J159</f>
        <v>738389.55555555632</v>
      </c>
    </row>
    <row r="160" spans="2:11">
      <c r="B160" s="218">
        <v>48975</v>
      </c>
      <c r="C160" s="217">
        <f t="shared" si="12"/>
        <v>2068640.0000000296</v>
      </c>
      <c r="D160" s="217">
        <f t="shared" si="15"/>
        <v>3447.7333333333827</v>
      </c>
      <c r="E160" s="217">
        <f t="shared" si="16"/>
        <v>57462.222222222219</v>
      </c>
      <c r="F160" s="217">
        <f t="shared" si="13"/>
        <v>60909.9555555556</v>
      </c>
      <c r="G160" s="217">
        <f t="shared" si="14"/>
        <v>2011177.7777778073</v>
      </c>
      <c r="H160" s="207"/>
      <c r="I160" s="208"/>
      <c r="J160" s="208"/>
      <c r="K160" s="208"/>
    </row>
    <row r="161" spans="2:11">
      <c r="B161" s="216">
        <v>49003</v>
      </c>
      <c r="C161" s="217">
        <f t="shared" si="12"/>
        <v>2011177.7777778073</v>
      </c>
      <c r="D161" s="217">
        <f t="shared" si="15"/>
        <v>3351.9629629630122</v>
      </c>
      <c r="E161" s="217">
        <f t="shared" si="16"/>
        <v>57462.222222222219</v>
      </c>
      <c r="F161" s="217">
        <f t="shared" si="13"/>
        <v>60814.185185185233</v>
      </c>
      <c r="G161" s="217">
        <f t="shared" si="14"/>
        <v>1953715.5555555851</v>
      </c>
      <c r="H161" s="207"/>
      <c r="I161" s="208"/>
      <c r="J161" s="208"/>
      <c r="K161" s="208"/>
    </row>
    <row r="162" spans="2:11">
      <c r="B162" s="218">
        <v>49034</v>
      </c>
      <c r="C162" s="217">
        <f t="shared" si="12"/>
        <v>1953715.5555555851</v>
      </c>
      <c r="D162" s="217">
        <f t="shared" si="15"/>
        <v>3256.1925925926421</v>
      </c>
      <c r="E162" s="217">
        <f t="shared" si="16"/>
        <v>57462.222222222219</v>
      </c>
      <c r="F162" s="217">
        <f t="shared" si="13"/>
        <v>60718.41481481486</v>
      </c>
      <c r="G162" s="217">
        <f t="shared" si="14"/>
        <v>1896253.3333333628</v>
      </c>
      <c r="H162" s="207"/>
      <c r="I162" s="208"/>
      <c r="J162" s="208"/>
      <c r="K162" s="208"/>
    </row>
    <row r="163" spans="2:11">
      <c r="B163" s="216">
        <v>49064</v>
      </c>
      <c r="C163" s="217">
        <f t="shared" si="12"/>
        <v>1896253.3333333628</v>
      </c>
      <c r="D163" s="217">
        <f t="shared" si="15"/>
        <v>3160.4222222222711</v>
      </c>
      <c r="E163" s="217">
        <f t="shared" si="16"/>
        <v>57462.222222222219</v>
      </c>
      <c r="F163" s="217">
        <f t="shared" si="13"/>
        <v>60622.644444444493</v>
      </c>
      <c r="G163" s="217">
        <f t="shared" si="14"/>
        <v>1838791.1111111406</v>
      </c>
      <c r="H163" s="207"/>
      <c r="I163" s="208"/>
      <c r="J163" s="208"/>
      <c r="K163" s="208"/>
    </row>
    <row r="164" spans="2:11">
      <c r="B164" s="218">
        <v>49095</v>
      </c>
      <c r="C164" s="217">
        <f t="shared" ref="C164:C195" si="17">G163</f>
        <v>1838791.1111111406</v>
      </c>
      <c r="D164" s="217">
        <f t="shared" si="15"/>
        <v>3064.651851851901</v>
      </c>
      <c r="E164" s="217">
        <f t="shared" si="16"/>
        <v>57462.222222222219</v>
      </c>
      <c r="F164" s="217">
        <f t="shared" si="13"/>
        <v>60526.87407407412</v>
      </c>
      <c r="G164" s="217">
        <f t="shared" si="14"/>
        <v>1781328.8888889183</v>
      </c>
      <c r="H164" s="207"/>
      <c r="I164" s="208"/>
      <c r="J164" s="208"/>
      <c r="K164" s="208"/>
    </row>
    <row r="165" spans="2:11">
      <c r="B165" s="218">
        <v>49125</v>
      </c>
      <c r="C165" s="217">
        <f t="shared" si="17"/>
        <v>1781328.8888889183</v>
      </c>
      <c r="D165" s="217">
        <f t="shared" si="15"/>
        <v>2968.8814814815305</v>
      </c>
      <c r="E165" s="217">
        <f t="shared" si="16"/>
        <v>57462.222222222219</v>
      </c>
      <c r="F165" s="217">
        <f t="shared" si="13"/>
        <v>60431.103703703746</v>
      </c>
      <c r="G165" s="217">
        <f t="shared" si="14"/>
        <v>1723866.6666666961</v>
      </c>
      <c r="H165" s="207"/>
      <c r="I165" s="208"/>
      <c r="J165" s="208"/>
      <c r="K165" s="208"/>
    </row>
    <row r="166" spans="2:11">
      <c r="B166" s="216">
        <v>49156</v>
      </c>
      <c r="C166" s="217">
        <f t="shared" si="17"/>
        <v>1723866.6666666961</v>
      </c>
      <c r="D166" s="217">
        <f t="shared" si="15"/>
        <v>2873.1111111111604</v>
      </c>
      <c r="E166" s="217">
        <f t="shared" si="16"/>
        <v>57462.222222222219</v>
      </c>
      <c r="F166" s="217">
        <f t="shared" si="13"/>
        <v>60335.333333333379</v>
      </c>
      <c r="G166" s="217">
        <f t="shared" si="14"/>
        <v>1666404.4444444738</v>
      </c>
      <c r="H166" s="207"/>
      <c r="I166" s="208"/>
      <c r="J166" s="208"/>
      <c r="K166" s="208"/>
    </row>
    <row r="167" spans="2:11">
      <c r="B167" s="218">
        <v>49187</v>
      </c>
      <c r="C167" s="217">
        <f t="shared" si="17"/>
        <v>1666404.4444444738</v>
      </c>
      <c r="D167" s="217">
        <f t="shared" si="15"/>
        <v>2777.3407407407899</v>
      </c>
      <c r="E167" s="217">
        <f t="shared" si="16"/>
        <v>57462.222222222219</v>
      </c>
      <c r="F167" s="217">
        <f t="shared" si="13"/>
        <v>60239.562962963006</v>
      </c>
      <c r="G167" s="217">
        <f t="shared" si="14"/>
        <v>1608942.2222222516</v>
      </c>
      <c r="H167" s="207"/>
      <c r="I167" s="208"/>
      <c r="J167" s="208"/>
      <c r="K167" s="208"/>
    </row>
    <row r="168" spans="2:11">
      <c r="B168" s="216">
        <v>49217</v>
      </c>
      <c r="C168" s="217">
        <f t="shared" si="17"/>
        <v>1608942.2222222516</v>
      </c>
      <c r="D168" s="217">
        <f t="shared" si="15"/>
        <v>2681.5703703704194</v>
      </c>
      <c r="E168" s="217">
        <f t="shared" si="16"/>
        <v>57462.222222222219</v>
      </c>
      <c r="F168" s="217">
        <f t="shared" si="13"/>
        <v>60143.792592592639</v>
      </c>
      <c r="G168" s="217">
        <f t="shared" si="14"/>
        <v>1551480.0000000293</v>
      </c>
      <c r="H168" s="207"/>
      <c r="I168" s="208"/>
      <c r="J168" s="208"/>
      <c r="K168" s="208"/>
    </row>
    <row r="169" spans="2:11">
      <c r="B169" s="218">
        <v>49248</v>
      </c>
      <c r="C169" s="217">
        <f t="shared" si="17"/>
        <v>1551480.0000000293</v>
      </c>
      <c r="D169" s="217">
        <f t="shared" si="15"/>
        <v>2585.8000000000488</v>
      </c>
      <c r="E169" s="217">
        <f t="shared" si="16"/>
        <v>57462.222222222219</v>
      </c>
      <c r="F169" s="217">
        <f t="shared" si="13"/>
        <v>60048.022222222266</v>
      </c>
      <c r="G169" s="217">
        <f t="shared" si="14"/>
        <v>1494017.7777778071</v>
      </c>
      <c r="H169" s="207"/>
      <c r="I169" s="208"/>
      <c r="J169" s="208"/>
      <c r="K169" s="208"/>
    </row>
    <row r="170" spans="2:11">
      <c r="B170" s="216">
        <v>49278</v>
      </c>
      <c r="C170" s="217">
        <f t="shared" si="17"/>
        <v>1494017.7777778071</v>
      </c>
      <c r="D170" s="217">
        <f t="shared" si="15"/>
        <v>2490.0296296296788</v>
      </c>
      <c r="E170" s="217">
        <f t="shared" si="16"/>
        <v>57462.222222222219</v>
      </c>
      <c r="F170" s="217">
        <f t="shared" si="13"/>
        <v>59952.251851851899</v>
      </c>
      <c r="G170" s="217">
        <f t="shared" si="14"/>
        <v>1436555.5555555848</v>
      </c>
      <c r="H170" s="207"/>
      <c r="I170" s="208"/>
      <c r="J170" s="208"/>
      <c r="K170" s="208"/>
    </row>
    <row r="171" spans="2:11">
      <c r="B171" s="219">
        <v>49309</v>
      </c>
      <c r="C171" s="220">
        <f t="shared" si="17"/>
        <v>1436555.5555555848</v>
      </c>
      <c r="D171" s="220">
        <f t="shared" si="15"/>
        <v>2394.2592592593082</v>
      </c>
      <c r="E171" s="220">
        <f t="shared" si="16"/>
        <v>57462.222222222219</v>
      </c>
      <c r="F171" s="220">
        <f t="shared" si="13"/>
        <v>59856.481481481525</v>
      </c>
      <c r="G171" s="220">
        <f t="shared" si="14"/>
        <v>1379093.3333333626</v>
      </c>
      <c r="H171" s="213"/>
      <c r="I171" s="214">
        <f>SUM(D160:D171)</f>
        <v>35051.955555556146</v>
      </c>
      <c r="J171" s="214">
        <f>SUM(E160:E171)</f>
        <v>689546.66666666686</v>
      </c>
      <c r="K171" s="214">
        <f>I171+J171</f>
        <v>724598.62222222297</v>
      </c>
    </row>
    <row r="172" spans="2:11">
      <c r="B172" s="218">
        <v>49340</v>
      </c>
      <c r="C172" s="217">
        <f t="shared" si="17"/>
        <v>1379093.3333333626</v>
      </c>
      <c r="D172" s="217">
        <f t="shared" si="15"/>
        <v>2298.4888888889377</v>
      </c>
      <c r="E172" s="217">
        <f t="shared" si="16"/>
        <v>57462.222222222219</v>
      </c>
      <c r="F172" s="217">
        <f t="shared" si="13"/>
        <v>59760.711111111159</v>
      </c>
      <c r="G172" s="217">
        <f t="shared" si="14"/>
        <v>1321631.1111111403</v>
      </c>
      <c r="H172" s="207"/>
      <c r="I172" s="208"/>
      <c r="J172" s="208"/>
      <c r="K172" s="208"/>
    </row>
    <row r="173" spans="2:11">
      <c r="B173" s="216">
        <v>49368</v>
      </c>
      <c r="C173" s="217">
        <f t="shared" si="17"/>
        <v>1321631.1111111403</v>
      </c>
      <c r="D173" s="217">
        <f t="shared" si="15"/>
        <v>2202.7185185185672</v>
      </c>
      <c r="E173" s="217">
        <f t="shared" si="16"/>
        <v>57462.222222222219</v>
      </c>
      <c r="F173" s="217">
        <f t="shared" si="13"/>
        <v>59664.940740740785</v>
      </c>
      <c r="G173" s="217">
        <f t="shared" si="14"/>
        <v>1264168.8888889181</v>
      </c>
      <c r="H173" s="207"/>
      <c r="I173" s="208"/>
      <c r="J173" s="208"/>
      <c r="K173" s="208"/>
    </row>
    <row r="174" spans="2:11">
      <c r="B174" s="218">
        <v>49399</v>
      </c>
      <c r="C174" s="217">
        <f t="shared" si="17"/>
        <v>1264168.8888889181</v>
      </c>
      <c r="D174" s="217">
        <f t="shared" si="15"/>
        <v>2106.9481481481967</v>
      </c>
      <c r="E174" s="217">
        <f t="shared" si="16"/>
        <v>57462.222222222219</v>
      </c>
      <c r="F174" s="217">
        <f t="shared" si="13"/>
        <v>59569.170370370419</v>
      </c>
      <c r="G174" s="217">
        <f t="shared" si="14"/>
        <v>1206706.6666666958</v>
      </c>
      <c r="H174" s="207"/>
      <c r="I174" s="208"/>
      <c r="J174" s="208"/>
      <c r="K174" s="208"/>
    </row>
    <row r="175" spans="2:11">
      <c r="B175" s="216">
        <v>49429</v>
      </c>
      <c r="C175" s="217">
        <f t="shared" si="17"/>
        <v>1206706.6666666958</v>
      </c>
      <c r="D175" s="217">
        <f t="shared" si="15"/>
        <v>2011.1777777778263</v>
      </c>
      <c r="E175" s="217">
        <f t="shared" si="16"/>
        <v>57462.222222222219</v>
      </c>
      <c r="F175" s="217">
        <f t="shared" si="13"/>
        <v>59473.400000000045</v>
      </c>
      <c r="G175" s="217">
        <f t="shared" si="14"/>
        <v>1149244.4444444736</v>
      </c>
      <c r="H175" s="207"/>
      <c r="I175" s="208"/>
      <c r="J175" s="208"/>
      <c r="K175" s="208"/>
    </row>
    <row r="176" spans="2:11">
      <c r="B176" s="218">
        <v>49460</v>
      </c>
      <c r="C176" s="217">
        <f t="shared" si="17"/>
        <v>1149244.4444444736</v>
      </c>
      <c r="D176" s="217">
        <f t="shared" si="15"/>
        <v>1915.407407407456</v>
      </c>
      <c r="E176" s="217">
        <f t="shared" si="16"/>
        <v>57462.222222222219</v>
      </c>
      <c r="F176" s="217">
        <f t="shared" si="13"/>
        <v>59377.629629629679</v>
      </c>
      <c r="G176" s="217">
        <f t="shared" si="14"/>
        <v>1091782.2222222514</v>
      </c>
      <c r="H176" s="207"/>
      <c r="I176" s="208"/>
      <c r="J176" s="208"/>
      <c r="K176" s="208"/>
    </row>
    <row r="177" spans="2:11">
      <c r="B177" s="218">
        <v>49490</v>
      </c>
      <c r="C177" s="217">
        <f t="shared" si="17"/>
        <v>1091782.2222222514</v>
      </c>
      <c r="D177" s="217">
        <f t="shared" si="15"/>
        <v>1819.6370370370857</v>
      </c>
      <c r="E177" s="217">
        <f t="shared" si="16"/>
        <v>57462.222222222219</v>
      </c>
      <c r="F177" s="217">
        <f t="shared" si="13"/>
        <v>59281.859259259305</v>
      </c>
      <c r="G177" s="217">
        <f t="shared" si="14"/>
        <v>1034320.0000000291</v>
      </c>
      <c r="H177" s="207"/>
      <c r="I177" s="208"/>
      <c r="J177" s="208"/>
      <c r="K177" s="208"/>
    </row>
    <row r="178" spans="2:11">
      <c r="B178" s="216">
        <v>49521</v>
      </c>
      <c r="C178" s="217">
        <f t="shared" si="17"/>
        <v>1034320.0000000291</v>
      </c>
      <c r="D178" s="217">
        <f t="shared" si="15"/>
        <v>1723.8666666667152</v>
      </c>
      <c r="E178" s="217">
        <f t="shared" si="16"/>
        <v>57462.222222222219</v>
      </c>
      <c r="F178" s="217">
        <f t="shared" si="13"/>
        <v>59186.088888888931</v>
      </c>
      <c r="G178" s="217">
        <f t="shared" si="14"/>
        <v>976857.77777780686</v>
      </c>
      <c r="H178" s="207"/>
      <c r="I178" s="208"/>
      <c r="J178" s="208"/>
      <c r="K178" s="208"/>
    </row>
    <row r="179" spans="2:11">
      <c r="B179" s="218">
        <v>49552</v>
      </c>
      <c r="C179" s="217">
        <f t="shared" si="17"/>
        <v>976857.77777780686</v>
      </c>
      <c r="D179" s="217">
        <f t="shared" si="15"/>
        <v>1628.0962962963449</v>
      </c>
      <c r="E179" s="217">
        <f t="shared" si="16"/>
        <v>57462.222222222219</v>
      </c>
      <c r="F179" s="217">
        <f t="shared" si="13"/>
        <v>59090.318518518565</v>
      </c>
      <c r="G179" s="217">
        <f t="shared" si="14"/>
        <v>919395.55555558461</v>
      </c>
      <c r="H179" s="207"/>
      <c r="I179" s="208"/>
      <c r="J179" s="208"/>
      <c r="K179" s="208"/>
    </row>
    <row r="180" spans="2:11">
      <c r="B180" s="216">
        <v>49582</v>
      </c>
      <c r="C180" s="217">
        <f t="shared" si="17"/>
        <v>919395.55555558461</v>
      </c>
      <c r="D180" s="217">
        <f t="shared" si="15"/>
        <v>1532.3259259259742</v>
      </c>
      <c r="E180" s="217">
        <f t="shared" si="16"/>
        <v>57462.222222222219</v>
      </c>
      <c r="F180" s="217">
        <f t="shared" si="13"/>
        <v>58994.548148148191</v>
      </c>
      <c r="G180" s="217">
        <f t="shared" si="14"/>
        <v>861933.33333336236</v>
      </c>
      <c r="H180" s="207"/>
      <c r="I180" s="208"/>
      <c r="J180" s="208"/>
      <c r="K180" s="208"/>
    </row>
    <row r="181" spans="2:11">
      <c r="B181" s="218">
        <v>49613</v>
      </c>
      <c r="C181" s="217">
        <f t="shared" si="17"/>
        <v>861933.33333336236</v>
      </c>
      <c r="D181" s="217">
        <f t="shared" si="15"/>
        <v>1436.5555555556039</v>
      </c>
      <c r="E181" s="217">
        <f t="shared" si="16"/>
        <v>57462.222222222219</v>
      </c>
      <c r="F181" s="217">
        <f t="shared" si="13"/>
        <v>58898.777777777825</v>
      </c>
      <c r="G181" s="217">
        <f t="shared" si="14"/>
        <v>804471.11111114011</v>
      </c>
      <c r="H181" s="207"/>
      <c r="I181" s="208"/>
      <c r="J181" s="208"/>
      <c r="K181" s="208"/>
    </row>
    <row r="182" spans="2:11">
      <c r="B182" s="216">
        <v>49643</v>
      </c>
      <c r="C182" s="217">
        <f t="shared" si="17"/>
        <v>804471.11111114011</v>
      </c>
      <c r="D182" s="217">
        <f t="shared" si="15"/>
        <v>1340.7851851852336</v>
      </c>
      <c r="E182" s="217">
        <f t="shared" si="16"/>
        <v>57462.222222222219</v>
      </c>
      <c r="F182" s="217">
        <f t="shared" si="13"/>
        <v>58803.007407407451</v>
      </c>
      <c r="G182" s="217">
        <f t="shared" si="14"/>
        <v>747008.88888891786</v>
      </c>
      <c r="H182" s="207"/>
      <c r="I182" s="208"/>
      <c r="J182" s="208"/>
      <c r="K182" s="208"/>
    </row>
    <row r="183" spans="2:11">
      <c r="B183" s="219">
        <v>49674</v>
      </c>
      <c r="C183" s="220">
        <f t="shared" si="17"/>
        <v>747008.88888891786</v>
      </c>
      <c r="D183" s="220">
        <f t="shared" si="15"/>
        <v>1245.014814814863</v>
      </c>
      <c r="E183" s="220">
        <f t="shared" si="16"/>
        <v>57462.222222222219</v>
      </c>
      <c r="F183" s="220">
        <f t="shared" si="13"/>
        <v>58707.237037037085</v>
      </c>
      <c r="G183" s="220">
        <f t="shared" si="14"/>
        <v>689546.66666669562</v>
      </c>
      <c r="H183" s="213"/>
      <c r="I183" s="214">
        <f>SUM(D172:D183)</f>
        <v>21261.0222222228</v>
      </c>
      <c r="J183" s="214">
        <f>SUM(E172:E183)</f>
        <v>689546.66666666686</v>
      </c>
      <c r="K183" s="214">
        <f>I183+J183</f>
        <v>710807.68888888962</v>
      </c>
    </row>
    <row r="184" spans="2:11">
      <c r="B184" s="218">
        <v>49705</v>
      </c>
      <c r="C184" s="217">
        <f t="shared" si="17"/>
        <v>689546.66666669562</v>
      </c>
      <c r="D184" s="217">
        <f t="shared" si="15"/>
        <v>1149.2444444444927</v>
      </c>
      <c r="E184" s="217">
        <f t="shared" si="16"/>
        <v>57462.222222222219</v>
      </c>
      <c r="F184" s="217">
        <f t="shared" si="13"/>
        <v>58611.466666666711</v>
      </c>
      <c r="G184" s="217">
        <f t="shared" si="14"/>
        <v>632084.44444447337</v>
      </c>
      <c r="H184" s="207"/>
      <c r="I184" s="208"/>
      <c r="J184" s="208"/>
      <c r="K184" s="208"/>
    </row>
    <row r="185" spans="2:11">
      <c r="B185" s="216">
        <v>49734</v>
      </c>
      <c r="C185" s="217">
        <f t="shared" si="17"/>
        <v>632084.44444447337</v>
      </c>
      <c r="D185" s="217">
        <f t="shared" si="15"/>
        <v>1053.4740740741224</v>
      </c>
      <c r="E185" s="217">
        <f t="shared" si="16"/>
        <v>57462.222222222219</v>
      </c>
      <c r="F185" s="217">
        <f t="shared" si="13"/>
        <v>58515.696296296344</v>
      </c>
      <c r="G185" s="217">
        <f t="shared" si="14"/>
        <v>574622.22222225112</v>
      </c>
      <c r="H185" s="207"/>
      <c r="I185" s="208"/>
      <c r="J185" s="208"/>
      <c r="K185" s="208"/>
    </row>
    <row r="186" spans="2:11">
      <c r="B186" s="218">
        <v>49765</v>
      </c>
      <c r="C186" s="217">
        <f t="shared" si="17"/>
        <v>574622.22222225112</v>
      </c>
      <c r="D186" s="217">
        <f t="shared" si="15"/>
        <v>957.70370370375178</v>
      </c>
      <c r="E186" s="217">
        <f t="shared" si="16"/>
        <v>57462.222222222219</v>
      </c>
      <c r="F186" s="217">
        <f t="shared" si="13"/>
        <v>58419.925925925971</v>
      </c>
      <c r="G186" s="217">
        <f t="shared" si="14"/>
        <v>517160.00000002887</v>
      </c>
      <c r="H186" s="207"/>
      <c r="I186" s="208"/>
      <c r="J186" s="208"/>
      <c r="K186" s="208"/>
    </row>
    <row r="187" spans="2:11">
      <c r="B187" s="216">
        <v>49795</v>
      </c>
      <c r="C187" s="217">
        <f t="shared" si="17"/>
        <v>517160.00000002887</v>
      </c>
      <c r="D187" s="217">
        <f t="shared" si="15"/>
        <v>861.93333333338148</v>
      </c>
      <c r="E187" s="217">
        <f t="shared" si="16"/>
        <v>57462.222222222219</v>
      </c>
      <c r="F187" s="217">
        <f t="shared" si="13"/>
        <v>58324.155555555597</v>
      </c>
      <c r="G187" s="217">
        <f t="shared" si="14"/>
        <v>459697.77777780662</v>
      </c>
      <c r="H187" s="207"/>
      <c r="I187" s="208"/>
      <c r="J187" s="208"/>
      <c r="K187" s="208"/>
    </row>
    <row r="188" spans="2:11">
      <c r="B188" s="218">
        <v>49826</v>
      </c>
      <c r="C188" s="217">
        <f t="shared" si="17"/>
        <v>459697.77777780662</v>
      </c>
      <c r="D188" s="217">
        <f t="shared" si="15"/>
        <v>766.16296296301107</v>
      </c>
      <c r="E188" s="217">
        <f t="shared" si="16"/>
        <v>57462.222222222219</v>
      </c>
      <c r="F188" s="217">
        <f t="shared" si="13"/>
        <v>58228.385185185231</v>
      </c>
      <c r="G188" s="217">
        <f t="shared" si="14"/>
        <v>402235.55555558437</v>
      </c>
      <c r="H188" s="207"/>
      <c r="I188" s="208"/>
      <c r="J188" s="208"/>
      <c r="K188" s="208"/>
    </row>
    <row r="189" spans="2:11">
      <c r="B189" s="218">
        <v>49856</v>
      </c>
      <c r="C189" s="217">
        <f t="shared" si="17"/>
        <v>402235.55555558437</v>
      </c>
      <c r="D189" s="217">
        <f t="shared" si="15"/>
        <v>670.39259259264065</v>
      </c>
      <c r="E189" s="217">
        <f t="shared" si="16"/>
        <v>57462.222222222219</v>
      </c>
      <c r="F189" s="217">
        <f t="shared" si="13"/>
        <v>58132.614814814857</v>
      </c>
      <c r="G189" s="217">
        <f t="shared" si="14"/>
        <v>344773.33333336213</v>
      </c>
      <c r="H189" s="207"/>
      <c r="I189" s="208"/>
      <c r="J189" s="208"/>
      <c r="K189" s="208"/>
    </row>
    <row r="190" spans="2:11">
      <c r="B190" s="216">
        <v>49887</v>
      </c>
      <c r="C190" s="217">
        <f t="shared" si="17"/>
        <v>344773.33333336213</v>
      </c>
      <c r="D190" s="217">
        <f t="shared" si="15"/>
        <v>574.62222222227024</v>
      </c>
      <c r="E190" s="217">
        <f t="shared" si="16"/>
        <v>57462.222222222219</v>
      </c>
      <c r="F190" s="217">
        <f t="shared" si="13"/>
        <v>58036.84444444449</v>
      </c>
      <c r="G190" s="217">
        <f t="shared" si="14"/>
        <v>287311.11111113988</v>
      </c>
      <c r="H190" s="207"/>
      <c r="I190" s="208"/>
      <c r="J190" s="208"/>
      <c r="K190" s="208"/>
    </row>
    <row r="191" spans="2:11">
      <c r="B191" s="218">
        <v>49918</v>
      </c>
      <c r="C191" s="217">
        <f t="shared" si="17"/>
        <v>287311.11111113988</v>
      </c>
      <c r="D191" s="217">
        <f t="shared" si="15"/>
        <v>478.85185185189977</v>
      </c>
      <c r="E191" s="217">
        <f t="shared" si="16"/>
        <v>57462.222222222219</v>
      </c>
      <c r="F191" s="217">
        <f t="shared" si="13"/>
        <v>57941.074074074117</v>
      </c>
      <c r="G191" s="217">
        <f t="shared" si="14"/>
        <v>229848.88888891766</v>
      </c>
      <c r="H191" s="207"/>
      <c r="I191" s="208"/>
      <c r="J191" s="208"/>
      <c r="K191" s="208"/>
    </row>
    <row r="192" spans="2:11">
      <c r="B192" s="216">
        <v>49948</v>
      </c>
      <c r="C192" s="217">
        <f t="shared" si="17"/>
        <v>229848.88888891766</v>
      </c>
      <c r="D192" s="217">
        <f t="shared" si="15"/>
        <v>383.08148148152941</v>
      </c>
      <c r="E192" s="217">
        <f t="shared" si="16"/>
        <v>57462.222222222219</v>
      </c>
      <c r="F192" s="217">
        <f t="shared" si="13"/>
        <v>57845.30370370375</v>
      </c>
      <c r="G192" s="217">
        <f t="shared" si="14"/>
        <v>172386.66666669544</v>
      </c>
      <c r="H192" s="207"/>
      <c r="I192" s="208"/>
      <c r="J192" s="208"/>
      <c r="K192" s="208"/>
    </row>
    <row r="193" spans="2:11">
      <c r="B193" s="218">
        <v>49979</v>
      </c>
      <c r="C193" s="217">
        <f t="shared" si="17"/>
        <v>172386.66666669544</v>
      </c>
      <c r="D193" s="217">
        <f t="shared" si="15"/>
        <v>287.31111111115905</v>
      </c>
      <c r="E193" s="217">
        <f t="shared" si="16"/>
        <v>57462.222222222219</v>
      </c>
      <c r="F193" s="217">
        <f t="shared" si="13"/>
        <v>57749.533333333377</v>
      </c>
      <c r="G193" s="217">
        <f t="shared" si="14"/>
        <v>114924.44444447322</v>
      </c>
      <c r="H193" s="207"/>
      <c r="I193" s="208"/>
      <c r="J193" s="208"/>
      <c r="K193" s="208"/>
    </row>
    <row r="194" spans="2:11">
      <c r="B194" s="216">
        <v>50009</v>
      </c>
      <c r="C194" s="217">
        <f t="shared" si="17"/>
        <v>114924.44444447322</v>
      </c>
      <c r="D194" s="217">
        <f t="shared" si="15"/>
        <v>191.54074074078869</v>
      </c>
      <c r="E194" s="217">
        <f t="shared" si="16"/>
        <v>57462.222222222219</v>
      </c>
      <c r="F194" s="217">
        <f t="shared" si="13"/>
        <v>57653.76296296301</v>
      </c>
      <c r="G194" s="217">
        <f t="shared" si="14"/>
        <v>57462.222222251003</v>
      </c>
      <c r="H194" s="207"/>
      <c r="I194" s="208"/>
      <c r="J194" s="208"/>
      <c r="K194" s="208"/>
    </row>
    <row r="195" spans="2:11">
      <c r="B195" s="221">
        <v>50040</v>
      </c>
      <c r="C195" s="220">
        <f t="shared" si="17"/>
        <v>57462.222222251003</v>
      </c>
      <c r="D195" s="220">
        <f t="shared" si="15"/>
        <v>95.770370370418334</v>
      </c>
      <c r="E195" s="220">
        <f t="shared" si="16"/>
        <v>57462.222222222219</v>
      </c>
      <c r="F195" s="220">
        <f t="shared" si="13"/>
        <v>57557.992592592636</v>
      </c>
      <c r="G195" s="220">
        <f t="shared" si="14"/>
        <v>2.8783688321709633E-8</v>
      </c>
      <c r="H195" s="213"/>
      <c r="I195" s="214">
        <f>SUM(D184:D195)</f>
        <v>7470.088888889466</v>
      </c>
      <c r="J195" s="214">
        <f>SUM(E184:E195)</f>
        <v>689546.66666666686</v>
      </c>
      <c r="K195" s="214">
        <f>I195+J195</f>
        <v>697016.75555555627</v>
      </c>
    </row>
    <row r="196" spans="2:11">
      <c r="C196" s="206"/>
      <c r="D196" s="209">
        <f>SUM(D4:D195)</f>
        <v>1435499.3333333384</v>
      </c>
      <c r="E196" s="209">
        <f>SUM(E4:E195)</f>
        <v>10343199.999999972</v>
      </c>
      <c r="F196" s="210"/>
      <c r="G196" s="206"/>
      <c r="K196" s="206"/>
    </row>
    <row r="197" spans="2:11">
      <c r="C197" s="206"/>
      <c r="D197" s="206"/>
      <c r="E197" s="206"/>
      <c r="F197" s="206"/>
    </row>
    <row r="198" spans="2:11" ht="18">
      <c r="B198" s="211"/>
      <c r="C198" s="212"/>
      <c r="D198" s="206"/>
      <c r="E198" s="206"/>
      <c r="F198" s="206"/>
    </row>
    <row r="199" spans="2:11">
      <c r="C199" s="206"/>
      <c r="D199" s="206"/>
      <c r="E199" s="206"/>
      <c r="F199" s="206"/>
    </row>
    <row r="200" spans="2:11">
      <c r="C200" s="206"/>
      <c r="D200" s="206"/>
      <c r="E200" s="206"/>
      <c r="F200" s="206"/>
    </row>
    <row r="201" spans="2:11">
      <c r="C201" s="206"/>
      <c r="D201" s="206"/>
      <c r="E201" s="206"/>
      <c r="F201" s="206"/>
    </row>
    <row r="202" spans="2:11">
      <c r="C202" s="206"/>
      <c r="D202" s="206"/>
      <c r="E202" s="206"/>
      <c r="F202" s="206"/>
    </row>
    <row r="203" spans="2:11">
      <c r="C203" s="206"/>
      <c r="D203" s="206"/>
      <c r="E203" s="206"/>
      <c r="F203" s="206"/>
    </row>
    <row r="204" spans="2:11">
      <c r="C204" s="206"/>
      <c r="D204" s="206"/>
      <c r="E204" s="206"/>
      <c r="F204" s="206"/>
    </row>
    <row r="205" spans="2:11">
      <c r="C205" s="206"/>
      <c r="D205" s="206"/>
      <c r="E205" s="206"/>
      <c r="F205" s="206"/>
    </row>
    <row r="206" spans="2:11">
      <c r="C206" s="206"/>
      <c r="D206" s="206"/>
      <c r="E206" s="206"/>
      <c r="F206" s="206"/>
    </row>
    <row r="207" spans="2:11">
      <c r="C207" s="206"/>
      <c r="D207" s="206"/>
      <c r="E207" s="206"/>
      <c r="F207" s="206"/>
    </row>
    <row r="208" spans="2:11">
      <c r="C208" s="206"/>
      <c r="D208" s="206"/>
      <c r="E208" s="206"/>
      <c r="F208" s="206"/>
    </row>
    <row r="209" spans="3:6">
      <c r="C209" s="206"/>
      <c r="D209" s="206"/>
      <c r="E209" s="206"/>
      <c r="F209" s="206"/>
    </row>
    <row r="210" spans="3:6">
      <c r="C210" s="206"/>
      <c r="D210" s="206"/>
      <c r="E210" s="206"/>
      <c r="F210" s="206"/>
    </row>
    <row r="211" spans="3:6">
      <c r="C211" s="206"/>
      <c r="D211" s="206"/>
      <c r="E211" s="206"/>
      <c r="F211" s="206"/>
    </row>
    <row r="212" spans="3:6">
      <c r="C212" s="206"/>
      <c r="D212" s="206"/>
      <c r="E212" s="206"/>
      <c r="F212" s="206"/>
    </row>
    <row r="213" spans="3:6">
      <c r="C213" s="206"/>
      <c r="D213" s="206"/>
      <c r="E213" s="206"/>
      <c r="F213" s="206"/>
    </row>
    <row r="214" spans="3:6">
      <c r="C214" s="206"/>
      <c r="D214" s="206"/>
      <c r="E214" s="206"/>
      <c r="F214" s="206"/>
    </row>
    <row r="215" spans="3:6">
      <c r="C215" s="206"/>
      <c r="D215" s="206"/>
      <c r="E215" s="206"/>
      <c r="F215" s="206"/>
    </row>
    <row r="216" spans="3:6">
      <c r="C216" s="206"/>
      <c r="D216" s="206"/>
      <c r="E216" s="206"/>
      <c r="F216" s="206"/>
    </row>
    <row r="217" spans="3:6">
      <c r="C217" s="206"/>
      <c r="D217" s="206"/>
      <c r="E217" s="206"/>
      <c r="F217" s="206"/>
    </row>
    <row r="218" spans="3:6">
      <c r="C218" s="206"/>
      <c r="D218" s="206"/>
      <c r="E218" s="206"/>
      <c r="F218" s="206"/>
    </row>
    <row r="219" spans="3:6">
      <c r="C219" s="206"/>
      <c r="D219" s="206"/>
      <c r="E219" s="206"/>
      <c r="F219" s="206"/>
    </row>
    <row r="220" spans="3:6">
      <c r="C220" s="206"/>
      <c r="D220" s="206"/>
      <c r="E220" s="206"/>
      <c r="F220" s="206"/>
    </row>
    <row r="221" spans="3:6">
      <c r="C221" s="206"/>
      <c r="D221" s="206"/>
      <c r="E221" s="206"/>
      <c r="F221" s="206"/>
    </row>
    <row r="222" spans="3:6">
      <c r="C222" s="206"/>
      <c r="D222" s="206"/>
      <c r="E222" s="206"/>
      <c r="F222" s="206"/>
    </row>
    <row r="223" spans="3:6">
      <c r="C223" s="206"/>
      <c r="D223" s="206"/>
      <c r="E223" s="206"/>
      <c r="F223" s="206"/>
    </row>
    <row r="224" spans="3:6">
      <c r="C224" s="206"/>
      <c r="D224" s="206"/>
      <c r="E224" s="206"/>
      <c r="F224" s="206"/>
    </row>
    <row r="225" spans="3:6">
      <c r="C225" s="206"/>
      <c r="D225" s="206"/>
      <c r="E225" s="206"/>
      <c r="F225" s="206"/>
    </row>
    <row r="226" spans="3:6">
      <c r="C226" s="206"/>
      <c r="D226" s="206"/>
      <c r="E226" s="206"/>
      <c r="F226" s="206"/>
    </row>
    <row r="227" spans="3:6">
      <c r="C227" s="206"/>
      <c r="D227" s="206"/>
      <c r="E227" s="206"/>
      <c r="F227" s="206"/>
    </row>
    <row r="228" spans="3:6">
      <c r="C228" s="206"/>
      <c r="D228" s="206"/>
      <c r="E228" s="206"/>
      <c r="F228" s="206"/>
    </row>
    <row r="229" spans="3:6">
      <c r="C229" s="206"/>
      <c r="D229" s="206"/>
      <c r="E229" s="206"/>
      <c r="F229" s="206"/>
    </row>
    <row r="230" spans="3:6">
      <c r="C230" s="206"/>
      <c r="D230" s="206"/>
      <c r="E230" s="206"/>
      <c r="F230" s="206"/>
    </row>
    <row r="231" spans="3:6">
      <c r="C231" s="206"/>
      <c r="D231" s="206"/>
      <c r="E231" s="206"/>
      <c r="F231" s="206"/>
    </row>
    <row r="232" spans="3:6">
      <c r="C232" s="206"/>
      <c r="D232" s="206"/>
      <c r="E232" s="206"/>
      <c r="F232" s="206"/>
    </row>
    <row r="233" spans="3:6">
      <c r="C233" s="206"/>
      <c r="D233" s="206"/>
      <c r="E233" s="206"/>
      <c r="F233" s="206"/>
    </row>
    <row r="234" spans="3:6">
      <c r="C234" s="206"/>
      <c r="D234" s="206"/>
      <c r="E234" s="206"/>
      <c r="F234" s="206"/>
    </row>
    <row r="235" spans="3:6">
      <c r="C235" s="206"/>
      <c r="D235" s="206"/>
      <c r="E235" s="206"/>
      <c r="F235" s="206"/>
    </row>
    <row r="236" spans="3:6">
      <c r="C236" s="206"/>
      <c r="D236" s="206"/>
      <c r="E236" s="206"/>
      <c r="F236" s="206"/>
    </row>
    <row r="237" spans="3:6">
      <c r="C237" s="206"/>
      <c r="D237" s="206"/>
      <c r="E237" s="206"/>
      <c r="F237" s="206"/>
    </row>
    <row r="238" spans="3:6">
      <c r="C238" s="206"/>
      <c r="D238" s="206"/>
      <c r="E238" s="206"/>
      <c r="F238" s="206"/>
    </row>
    <row r="239" spans="3:6">
      <c r="C239" s="206"/>
      <c r="D239" s="206"/>
      <c r="E239" s="206"/>
      <c r="F239" s="206"/>
    </row>
    <row r="240" spans="3:6">
      <c r="C240" s="206"/>
      <c r="D240" s="206"/>
      <c r="E240" s="206"/>
      <c r="F240" s="206"/>
    </row>
    <row r="241" spans="3:6">
      <c r="C241" s="206"/>
      <c r="D241" s="206"/>
      <c r="E241" s="206"/>
      <c r="F241" s="206"/>
    </row>
    <row r="242" spans="3:6">
      <c r="C242" s="206"/>
      <c r="D242" s="206"/>
      <c r="E242" s="206"/>
      <c r="F242" s="206"/>
    </row>
    <row r="243" spans="3:6">
      <c r="C243" s="206"/>
      <c r="D243" s="206"/>
      <c r="E243" s="206"/>
      <c r="F243" s="206"/>
    </row>
    <row r="244" spans="3:6">
      <c r="C244" s="206"/>
      <c r="D244" s="206"/>
      <c r="E244" s="206"/>
      <c r="F244" s="206"/>
    </row>
    <row r="245" spans="3:6">
      <c r="C245" s="206"/>
      <c r="D245" s="206"/>
      <c r="E245" s="206"/>
      <c r="F245" s="206"/>
    </row>
    <row r="246" spans="3:6">
      <c r="C246" s="206"/>
      <c r="D246" s="206"/>
      <c r="E246" s="206"/>
      <c r="F246" s="206"/>
    </row>
    <row r="247" spans="3:6">
      <c r="C247" s="206"/>
      <c r="D247" s="206"/>
      <c r="E247" s="206"/>
      <c r="F247" s="206"/>
    </row>
    <row r="248" spans="3:6">
      <c r="C248" s="206"/>
      <c r="D248" s="206"/>
      <c r="E248" s="206"/>
      <c r="F248" s="206"/>
    </row>
    <row r="249" spans="3:6">
      <c r="C249" s="206"/>
      <c r="D249" s="206"/>
      <c r="E249" s="206"/>
      <c r="F249" s="206"/>
    </row>
    <row r="250" spans="3:6">
      <c r="C250" s="206"/>
      <c r="D250" s="206"/>
      <c r="E250" s="206"/>
      <c r="F250" s="206"/>
    </row>
    <row r="251" spans="3:6">
      <c r="C251" s="206"/>
      <c r="D251" s="206"/>
      <c r="E251" s="206"/>
      <c r="F251" s="206"/>
    </row>
    <row r="252" spans="3:6">
      <c r="C252" s="206"/>
      <c r="D252" s="206"/>
      <c r="E252" s="206"/>
      <c r="F252" s="206"/>
    </row>
    <row r="253" spans="3:6">
      <c r="C253" s="206"/>
      <c r="D253" s="206"/>
      <c r="E253" s="206"/>
      <c r="F253" s="206"/>
    </row>
    <row r="254" spans="3:6">
      <c r="C254" s="206"/>
      <c r="D254" s="206"/>
      <c r="E254" s="206"/>
      <c r="F254" s="206"/>
    </row>
    <row r="255" spans="3:6">
      <c r="C255" s="206"/>
      <c r="D255" s="206"/>
      <c r="E255" s="206"/>
      <c r="F255" s="206"/>
    </row>
    <row r="256" spans="3:6">
      <c r="C256" s="206"/>
      <c r="D256" s="206"/>
      <c r="E256" s="206"/>
      <c r="F256" s="206"/>
    </row>
    <row r="257" spans="3:6">
      <c r="C257" s="206"/>
      <c r="D257" s="206"/>
      <c r="E257" s="206"/>
      <c r="F257" s="206"/>
    </row>
    <row r="258" spans="3:6">
      <c r="C258" s="206"/>
      <c r="D258" s="206"/>
      <c r="E258" s="206"/>
      <c r="F258" s="206"/>
    </row>
    <row r="259" spans="3:6">
      <c r="C259" s="206"/>
      <c r="D259" s="206"/>
      <c r="E259" s="206"/>
      <c r="F259" s="206"/>
    </row>
    <row r="260" spans="3:6">
      <c r="C260" s="206"/>
      <c r="D260" s="206"/>
      <c r="E260" s="206"/>
      <c r="F260" s="206"/>
    </row>
    <row r="261" spans="3:6">
      <c r="C261" s="206"/>
      <c r="D261" s="206"/>
      <c r="E261" s="206"/>
      <c r="F261" s="206"/>
    </row>
    <row r="262" spans="3:6">
      <c r="C262" s="206"/>
      <c r="D262" s="206"/>
      <c r="E262" s="206"/>
      <c r="F262" s="206"/>
    </row>
    <row r="263" spans="3:6">
      <c r="C263" s="206"/>
      <c r="D263" s="206"/>
      <c r="E263" s="206"/>
      <c r="F263" s="206"/>
    </row>
    <row r="264" spans="3:6">
      <c r="C264" s="206"/>
      <c r="D264" s="206"/>
      <c r="E264" s="206"/>
      <c r="F264" s="206"/>
    </row>
    <row r="265" spans="3:6">
      <c r="C265" s="206"/>
      <c r="D265" s="206"/>
      <c r="E265" s="206"/>
      <c r="F265" s="206"/>
    </row>
    <row r="266" spans="3:6">
      <c r="C266" s="206"/>
      <c r="D266" s="206"/>
      <c r="E266" s="206"/>
      <c r="F266" s="206"/>
    </row>
    <row r="267" spans="3:6">
      <c r="C267" s="206"/>
      <c r="D267" s="206"/>
      <c r="E267" s="206"/>
      <c r="F267" s="206"/>
    </row>
    <row r="268" spans="3:6">
      <c r="C268" s="206"/>
      <c r="D268" s="206"/>
      <c r="E268" s="206"/>
      <c r="F268" s="206"/>
    </row>
    <row r="269" spans="3:6">
      <c r="C269" s="206"/>
      <c r="D269" s="206"/>
      <c r="E269" s="206"/>
      <c r="F269" s="206"/>
    </row>
    <row r="270" spans="3:6">
      <c r="C270" s="206"/>
      <c r="D270" s="206"/>
      <c r="E270" s="206"/>
      <c r="F270" s="206"/>
    </row>
    <row r="271" spans="3:6">
      <c r="C271" s="206"/>
      <c r="D271" s="206"/>
      <c r="E271" s="206"/>
      <c r="F271" s="206"/>
    </row>
    <row r="272" spans="3:6">
      <c r="C272" s="206"/>
      <c r="D272" s="206"/>
      <c r="E272" s="206"/>
      <c r="F272" s="206"/>
    </row>
    <row r="273" spans="3:6">
      <c r="C273" s="206"/>
      <c r="D273" s="206"/>
      <c r="E273" s="206"/>
      <c r="F273" s="206"/>
    </row>
    <row r="274" spans="3:6">
      <c r="C274" s="206"/>
      <c r="D274" s="206"/>
      <c r="E274" s="206"/>
      <c r="F274" s="206"/>
    </row>
    <row r="275" spans="3:6">
      <c r="C275" s="206"/>
      <c r="D275" s="206"/>
      <c r="E275" s="206"/>
      <c r="F275" s="206"/>
    </row>
    <row r="276" spans="3:6">
      <c r="C276" s="206"/>
      <c r="D276" s="206"/>
      <c r="E276" s="206"/>
      <c r="F276" s="206"/>
    </row>
    <row r="277" spans="3:6">
      <c r="C277" s="206"/>
      <c r="D277" s="206"/>
      <c r="E277" s="206"/>
      <c r="F277" s="206"/>
    </row>
    <row r="278" spans="3:6">
      <c r="C278" s="206"/>
      <c r="D278" s="206"/>
      <c r="E278" s="206"/>
      <c r="F278" s="206"/>
    </row>
    <row r="279" spans="3:6">
      <c r="C279" s="206"/>
      <c r="D279" s="206"/>
      <c r="E279" s="206"/>
      <c r="F279" s="206"/>
    </row>
    <row r="280" spans="3:6">
      <c r="C280" s="206"/>
      <c r="D280" s="206"/>
      <c r="E280" s="206"/>
      <c r="F280" s="206"/>
    </row>
    <row r="281" spans="3:6">
      <c r="C281" s="206"/>
      <c r="D281" s="206"/>
      <c r="E281" s="206"/>
      <c r="F281" s="206"/>
    </row>
    <row r="282" spans="3:6">
      <c r="C282" s="206"/>
      <c r="D282" s="206"/>
      <c r="E282" s="206"/>
      <c r="F282" s="206"/>
    </row>
    <row r="283" spans="3:6">
      <c r="C283" s="206"/>
      <c r="D283" s="206"/>
      <c r="E283" s="206"/>
      <c r="F283" s="206"/>
    </row>
    <row r="284" spans="3:6">
      <c r="C284" s="206"/>
      <c r="D284" s="206"/>
      <c r="E284" s="206"/>
      <c r="F284" s="206"/>
    </row>
    <row r="285" spans="3:6">
      <c r="C285" s="206"/>
      <c r="D285" s="206"/>
      <c r="E285" s="206"/>
      <c r="F285" s="206"/>
    </row>
    <row r="286" spans="3:6">
      <c r="C286" s="206"/>
      <c r="D286" s="206"/>
      <c r="E286" s="206"/>
      <c r="F286" s="206"/>
    </row>
    <row r="287" spans="3:6">
      <c r="C287" s="206"/>
      <c r="D287" s="206"/>
      <c r="E287" s="206"/>
      <c r="F287" s="206"/>
    </row>
    <row r="288" spans="3:6">
      <c r="C288" s="206"/>
      <c r="D288" s="206"/>
      <c r="E288" s="206"/>
      <c r="F288" s="206"/>
    </row>
    <row r="289" spans="3:6">
      <c r="C289" s="206"/>
      <c r="D289" s="206"/>
      <c r="E289" s="206"/>
      <c r="F289" s="206"/>
    </row>
    <row r="290" spans="3:6">
      <c r="C290" s="206"/>
      <c r="D290" s="206"/>
      <c r="E290" s="206"/>
      <c r="F290" s="206"/>
    </row>
    <row r="291" spans="3:6">
      <c r="C291" s="206"/>
      <c r="D291" s="206"/>
      <c r="E291" s="206"/>
      <c r="F291" s="206"/>
    </row>
    <row r="292" spans="3:6">
      <c r="C292" s="206"/>
      <c r="D292" s="206"/>
      <c r="E292" s="206"/>
      <c r="F292" s="206"/>
    </row>
    <row r="293" spans="3:6">
      <c r="C293" s="206"/>
      <c r="D293" s="206"/>
      <c r="E293" s="206"/>
      <c r="F293" s="206"/>
    </row>
    <row r="294" spans="3:6">
      <c r="C294" s="206"/>
      <c r="D294" s="206"/>
      <c r="E294" s="206"/>
      <c r="F294" s="206"/>
    </row>
    <row r="295" spans="3:6">
      <c r="C295" s="206"/>
      <c r="D295" s="206"/>
      <c r="E295" s="206"/>
      <c r="F295" s="206"/>
    </row>
    <row r="296" spans="3:6">
      <c r="C296" s="206"/>
      <c r="D296" s="206"/>
      <c r="E296" s="206"/>
      <c r="F296" s="206"/>
    </row>
    <row r="297" spans="3:6">
      <c r="C297" s="206"/>
      <c r="D297" s="206"/>
      <c r="E297" s="206"/>
      <c r="F297" s="206"/>
    </row>
    <row r="298" spans="3:6">
      <c r="C298" s="206"/>
      <c r="D298" s="206"/>
      <c r="E298" s="206"/>
      <c r="F298" s="206"/>
    </row>
    <row r="299" spans="3:6">
      <c r="C299" s="206"/>
      <c r="D299" s="206"/>
      <c r="E299" s="206"/>
      <c r="F299" s="206"/>
    </row>
    <row r="300" spans="3:6">
      <c r="C300" s="206"/>
      <c r="D300" s="206"/>
      <c r="E300" s="206"/>
      <c r="F300" s="206"/>
    </row>
    <row r="301" spans="3:6">
      <c r="C301" s="206"/>
      <c r="D301" s="206"/>
      <c r="E301" s="206"/>
      <c r="F301" s="206"/>
    </row>
    <row r="302" spans="3:6">
      <c r="C302" s="206"/>
      <c r="D302" s="206"/>
      <c r="E302" s="206"/>
      <c r="F302" s="206"/>
    </row>
    <row r="303" spans="3:6">
      <c r="C303" s="206"/>
      <c r="D303" s="206"/>
      <c r="E303" s="206"/>
      <c r="F303" s="206"/>
    </row>
    <row r="304" spans="3:6">
      <c r="C304" s="206"/>
      <c r="D304" s="206"/>
      <c r="E304" s="206"/>
      <c r="F304" s="206"/>
    </row>
    <row r="305" spans="3:6">
      <c r="C305" s="206"/>
      <c r="D305" s="206"/>
      <c r="E305" s="206"/>
      <c r="F305" s="206"/>
    </row>
    <row r="306" spans="3:6">
      <c r="C306" s="206"/>
      <c r="D306" s="206"/>
      <c r="E306" s="206"/>
      <c r="F306" s="206"/>
    </row>
    <row r="307" spans="3:6">
      <c r="C307" s="206"/>
      <c r="D307" s="206"/>
      <c r="E307" s="206"/>
      <c r="F307" s="206"/>
    </row>
    <row r="308" spans="3:6">
      <c r="C308" s="206"/>
      <c r="D308" s="206"/>
      <c r="E308" s="206"/>
      <c r="F308" s="206"/>
    </row>
    <row r="309" spans="3:6">
      <c r="C309" s="206"/>
      <c r="D309" s="206"/>
      <c r="E309" s="206"/>
      <c r="F309" s="206"/>
    </row>
    <row r="310" spans="3:6">
      <c r="C310" s="206"/>
      <c r="D310" s="206"/>
      <c r="E310" s="206"/>
      <c r="F310" s="206"/>
    </row>
    <row r="311" spans="3:6">
      <c r="C311" s="206"/>
      <c r="D311" s="206"/>
      <c r="E311" s="206"/>
      <c r="F311" s="206"/>
    </row>
    <row r="312" spans="3:6">
      <c r="C312" s="206"/>
      <c r="D312" s="206"/>
      <c r="E312" s="206"/>
      <c r="F312" s="206"/>
    </row>
    <row r="313" spans="3:6">
      <c r="C313" s="206"/>
      <c r="D313" s="206"/>
      <c r="E313" s="206"/>
      <c r="F313" s="206"/>
    </row>
    <row r="314" spans="3:6">
      <c r="C314" s="206"/>
      <c r="D314" s="206"/>
      <c r="E314" s="206"/>
      <c r="F314" s="206"/>
    </row>
    <row r="315" spans="3:6">
      <c r="C315" s="206"/>
      <c r="D315" s="206"/>
      <c r="E315" s="206"/>
      <c r="F315" s="206"/>
    </row>
    <row r="316" spans="3:6">
      <c r="C316" s="206"/>
      <c r="D316" s="206"/>
      <c r="E316" s="206"/>
      <c r="F316" s="206"/>
    </row>
    <row r="317" spans="3:6">
      <c r="C317" s="206"/>
      <c r="D317" s="206"/>
      <c r="E317" s="206"/>
      <c r="F317" s="206"/>
    </row>
    <row r="318" spans="3:6">
      <c r="C318" s="206"/>
      <c r="D318" s="206"/>
      <c r="E318" s="206"/>
      <c r="F318" s="206"/>
    </row>
    <row r="319" spans="3:6">
      <c r="C319" s="206"/>
      <c r="D319" s="206"/>
      <c r="E319" s="206"/>
      <c r="F319" s="206"/>
    </row>
    <row r="320" spans="3:6">
      <c r="C320" s="206"/>
      <c r="D320" s="206"/>
      <c r="E320" s="206"/>
      <c r="F320" s="206"/>
    </row>
    <row r="321" spans="3:6">
      <c r="C321" s="206"/>
      <c r="D321" s="206"/>
      <c r="E321" s="206"/>
      <c r="F321" s="206"/>
    </row>
    <row r="322" spans="3:6">
      <c r="C322" s="206"/>
      <c r="D322" s="206"/>
      <c r="E322" s="206"/>
      <c r="F322" s="206"/>
    </row>
    <row r="323" spans="3:6">
      <c r="C323" s="206"/>
      <c r="D323" s="206"/>
      <c r="E323" s="206"/>
      <c r="F323" s="206"/>
    </row>
    <row r="324" spans="3:6">
      <c r="C324" s="206"/>
      <c r="D324" s="206"/>
      <c r="E324" s="206"/>
      <c r="F324" s="206"/>
    </row>
    <row r="325" spans="3:6">
      <c r="C325" s="206"/>
      <c r="D325" s="206"/>
      <c r="E325" s="206"/>
      <c r="F325" s="206"/>
    </row>
    <row r="326" spans="3:6">
      <c r="C326" s="206"/>
      <c r="D326" s="206"/>
      <c r="E326" s="206"/>
      <c r="F326" s="206"/>
    </row>
    <row r="327" spans="3:6">
      <c r="C327" s="206"/>
      <c r="D327" s="206"/>
      <c r="E327" s="206"/>
      <c r="F327" s="206"/>
    </row>
    <row r="328" spans="3:6">
      <c r="C328" s="206"/>
      <c r="D328" s="206"/>
      <c r="E328" s="206"/>
      <c r="F328" s="206"/>
    </row>
    <row r="329" spans="3:6">
      <c r="C329" s="206"/>
      <c r="D329" s="206"/>
      <c r="E329" s="206"/>
      <c r="F329" s="206"/>
    </row>
    <row r="330" spans="3:6">
      <c r="C330" s="206"/>
      <c r="D330" s="206"/>
      <c r="E330" s="206"/>
      <c r="F330" s="206"/>
    </row>
    <row r="331" spans="3:6">
      <c r="C331" s="206"/>
      <c r="D331" s="206"/>
      <c r="E331" s="206"/>
      <c r="F331" s="206"/>
    </row>
    <row r="332" spans="3:6">
      <c r="C332" s="206"/>
      <c r="D332" s="206"/>
      <c r="E332" s="206"/>
      <c r="F332" s="206"/>
    </row>
    <row r="333" spans="3:6">
      <c r="C333" s="206"/>
      <c r="D333" s="206"/>
      <c r="E333" s="206"/>
      <c r="F333" s="206"/>
    </row>
    <row r="334" spans="3:6">
      <c r="C334" s="206"/>
      <c r="D334" s="206"/>
      <c r="E334" s="206"/>
      <c r="F334" s="206"/>
    </row>
    <row r="335" spans="3:6">
      <c r="C335" s="206"/>
      <c r="D335" s="206"/>
      <c r="E335" s="206"/>
      <c r="F335" s="206"/>
    </row>
    <row r="336" spans="3:6">
      <c r="C336" s="206"/>
      <c r="D336" s="206"/>
      <c r="E336" s="206"/>
      <c r="F336" s="206"/>
    </row>
    <row r="337" spans="3:6">
      <c r="C337" s="206"/>
      <c r="D337" s="206"/>
      <c r="E337" s="206"/>
      <c r="F337" s="206"/>
    </row>
    <row r="338" spans="3:6">
      <c r="C338" s="206"/>
      <c r="D338" s="206"/>
      <c r="E338" s="206"/>
      <c r="F338" s="206"/>
    </row>
    <row r="339" spans="3:6">
      <c r="C339" s="206"/>
      <c r="D339" s="206"/>
      <c r="E339" s="206"/>
      <c r="F339" s="206"/>
    </row>
    <row r="340" spans="3:6">
      <c r="C340" s="206"/>
      <c r="D340" s="206"/>
      <c r="E340" s="206"/>
      <c r="F340" s="206"/>
    </row>
    <row r="341" spans="3:6">
      <c r="C341" s="206"/>
      <c r="D341" s="206"/>
      <c r="E341" s="206"/>
      <c r="F341" s="206"/>
    </row>
    <row r="342" spans="3:6">
      <c r="C342" s="206"/>
      <c r="D342" s="206"/>
      <c r="E342" s="206"/>
      <c r="F342" s="206"/>
    </row>
    <row r="343" spans="3:6">
      <c r="C343" s="206"/>
      <c r="D343" s="206"/>
      <c r="E343" s="206"/>
      <c r="F343" s="206"/>
    </row>
    <row r="344" spans="3:6">
      <c r="C344" s="206"/>
      <c r="D344" s="206"/>
      <c r="E344" s="206"/>
      <c r="F344" s="206"/>
    </row>
    <row r="345" spans="3:6">
      <c r="C345" s="206"/>
      <c r="D345" s="206"/>
      <c r="E345" s="206"/>
      <c r="F345" s="206"/>
    </row>
    <row r="346" spans="3:6">
      <c r="C346" s="206"/>
      <c r="D346" s="206"/>
      <c r="E346" s="206"/>
      <c r="F346" s="206"/>
    </row>
    <row r="347" spans="3:6">
      <c r="C347" s="206"/>
      <c r="D347" s="206"/>
      <c r="E347" s="206"/>
      <c r="F347" s="206"/>
    </row>
    <row r="348" spans="3:6">
      <c r="C348" s="206"/>
      <c r="D348" s="206"/>
      <c r="E348" s="206"/>
      <c r="F348" s="206"/>
    </row>
    <row r="349" spans="3:6">
      <c r="C349" s="206"/>
      <c r="D349" s="206"/>
      <c r="E349" s="206"/>
      <c r="F349" s="206"/>
    </row>
    <row r="350" spans="3:6">
      <c r="C350" s="206"/>
      <c r="D350" s="206"/>
      <c r="E350" s="206"/>
      <c r="F350" s="206"/>
    </row>
    <row r="351" spans="3:6">
      <c r="C351" s="206"/>
      <c r="D351" s="206"/>
      <c r="E351" s="206"/>
      <c r="F351" s="206"/>
    </row>
    <row r="352" spans="3:6">
      <c r="C352" s="206"/>
      <c r="D352" s="206"/>
      <c r="E352" s="206"/>
      <c r="F352" s="206"/>
    </row>
    <row r="353" spans="3:6">
      <c r="C353" s="206"/>
      <c r="D353" s="206"/>
      <c r="E353" s="206"/>
      <c r="F353" s="206"/>
    </row>
    <row r="354" spans="3:6">
      <c r="C354" s="206"/>
      <c r="D354" s="206"/>
      <c r="E354" s="206"/>
      <c r="F354" s="206"/>
    </row>
    <row r="355" spans="3:6">
      <c r="C355" s="206"/>
      <c r="D355" s="206"/>
      <c r="E355" s="206"/>
      <c r="F355" s="206"/>
    </row>
    <row r="356" spans="3:6">
      <c r="C356" s="206"/>
      <c r="D356" s="206"/>
      <c r="E356" s="206"/>
      <c r="F356" s="206"/>
    </row>
    <row r="357" spans="3:6">
      <c r="C357" s="206"/>
      <c r="D357" s="206"/>
      <c r="E357" s="206"/>
      <c r="F357" s="206"/>
    </row>
    <row r="358" spans="3:6">
      <c r="C358" s="206"/>
      <c r="D358" s="206"/>
      <c r="E358" s="206"/>
      <c r="F358" s="206"/>
    </row>
    <row r="359" spans="3:6">
      <c r="C359" s="206"/>
      <c r="D359" s="206"/>
      <c r="E359" s="206"/>
      <c r="F359" s="206"/>
    </row>
    <row r="360" spans="3:6">
      <c r="C360" s="206"/>
      <c r="D360" s="206"/>
      <c r="E360" s="206"/>
      <c r="F360" s="206"/>
    </row>
    <row r="361" spans="3:6">
      <c r="C361" s="206"/>
      <c r="D361" s="206"/>
      <c r="E361" s="206"/>
      <c r="F361" s="206"/>
    </row>
    <row r="362" spans="3:6">
      <c r="C362" s="206"/>
      <c r="D362" s="206"/>
      <c r="E362" s="206"/>
      <c r="F362" s="206"/>
    </row>
    <row r="363" spans="3:6">
      <c r="C363" s="206"/>
      <c r="D363" s="206"/>
      <c r="E363" s="206"/>
      <c r="F363" s="206"/>
    </row>
    <row r="364" spans="3:6">
      <c r="C364" s="206"/>
      <c r="D364" s="206"/>
      <c r="E364" s="206"/>
      <c r="F364" s="206"/>
    </row>
    <row r="365" spans="3:6">
      <c r="C365" s="206"/>
      <c r="D365" s="206"/>
      <c r="E365" s="206"/>
      <c r="F365" s="206"/>
    </row>
    <row r="366" spans="3:6">
      <c r="C366" s="206"/>
      <c r="D366" s="206"/>
      <c r="E366" s="206"/>
      <c r="F366" s="206"/>
    </row>
    <row r="367" spans="3:6">
      <c r="C367" s="206"/>
      <c r="D367" s="206"/>
      <c r="E367" s="206"/>
      <c r="F367" s="206"/>
    </row>
    <row r="368" spans="3:6">
      <c r="C368" s="206"/>
      <c r="D368" s="206"/>
      <c r="E368" s="206"/>
      <c r="F368" s="206"/>
    </row>
    <row r="369" spans="3:6">
      <c r="C369" s="206"/>
      <c r="D369" s="206"/>
      <c r="E369" s="206"/>
      <c r="F369" s="206"/>
    </row>
    <row r="370" spans="3:6">
      <c r="C370" s="206"/>
      <c r="D370" s="206"/>
      <c r="E370" s="206"/>
      <c r="F370" s="206"/>
    </row>
    <row r="371" spans="3:6">
      <c r="C371" s="206"/>
      <c r="D371" s="206"/>
      <c r="E371" s="206"/>
      <c r="F371" s="206"/>
    </row>
    <row r="372" spans="3:6">
      <c r="C372" s="206"/>
      <c r="D372" s="206"/>
      <c r="E372" s="206"/>
      <c r="F372" s="206"/>
    </row>
    <row r="373" spans="3:6">
      <c r="C373" s="206"/>
      <c r="D373" s="206"/>
      <c r="E373" s="206"/>
      <c r="F373" s="206"/>
    </row>
    <row r="374" spans="3:6">
      <c r="C374" s="206"/>
      <c r="D374" s="206"/>
      <c r="E374" s="206"/>
      <c r="F374" s="206"/>
    </row>
    <row r="375" spans="3:6">
      <c r="C375" s="206"/>
      <c r="D375" s="206"/>
      <c r="E375" s="206"/>
      <c r="F375" s="206"/>
    </row>
    <row r="376" spans="3:6">
      <c r="C376" s="206"/>
      <c r="D376" s="206"/>
      <c r="E376" s="206"/>
      <c r="F376" s="206"/>
    </row>
    <row r="377" spans="3:6">
      <c r="C377" s="206"/>
      <c r="D377" s="206"/>
      <c r="E377" s="206"/>
      <c r="F377" s="206"/>
    </row>
    <row r="378" spans="3:6">
      <c r="C378" s="206"/>
      <c r="D378" s="206"/>
      <c r="E378" s="206"/>
      <c r="F378" s="206"/>
    </row>
    <row r="379" spans="3:6">
      <c r="C379" s="206"/>
      <c r="D379" s="206"/>
      <c r="E379" s="206"/>
      <c r="F379" s="206"/>
    </row>
    <row r="380" spans="3:6">
      <c r="C380" s="206"/>
      <c r="D380" s="206"/>
      <c r="E380" s="206"/>
      <c r="F380" s="206"/>
    </row>
    <row r="381" spans="3:6">
      <c r="C381" s="206"/>
      <c r="D381" s="206"/>
      <c r="E381" s="206"/>
      <c r="F381" s="206"/>
    </row>
    <row r="382" spans="3:6">
      <c r="C382" s="206"/>
      <c r="D382" s="206"/>
      <c r="E382" s="206"/>
      <c r="F382" s="206"/>
    </row>
    <row r="383" spans="3:6">
      <c r="C383" s="206"/>
      <c r="D383" s="206"/>
      <c r="E383" s="206"/>
      <c r="F383" s="206"/>
    </row>
    <row r="384" spans="3:6">
      <c r="C384" s="206"/>
      <c r="D384" s="206"/>
      <c r="E384" s="206"/>
      <c r="F384" s="206"/>
    </row>
    <row r="385" spans="3:6">
      <c r="C385" s="206"/>
      <c r="D385" s="206"/>
      <c r="E385" s="206"/>
      <c r="F385" s="206"/>
    </row>
    <row r="386" spans="3:6">
      <c r="C386" s="206"/>
      <c r="D386" s="206"/>
      <c r="E386" s="206"/>
      <c r="F386" s="206"/>
    </row>
    <row r="387" spans="3:6">
      <c r="C387" s="206"/>
      <c r="D387" s="206"/>
      <c r="E387" s="206"/>
      <c r="F387" s="206"/>
    </row>
    <row r="388" spans="3:6">
      <c r="C388" s="206"/>
      <c r="D388" s="206"/>
      <c r="E388" s="206"/>
      <c r="F388" s="206"/>
    </row>
    <row r="389" spans="3:6">
      <c r="C389" s="206"/>
      <c r="D389" s="206"/>
      <c r="E389" s="206"/>
      <c r="F389" s="206"/>
    </row>
    <row r="390" spans="3:6">
      <c r="C390" s="206"/>
      <c r="D390" s="206"/>
      <c r="E390" s="206"/>
      <c r="F390" s="206"/>
    </row>
    <row r="391" spans="3:6">
      <c r="C391" s="206"/>
      <c r="D391" s="206"/>
      <c r="E391" s="206"/>
      <c r="F391" s="206"/>
    </row>
    <row r="392" spans="3:6">
      <c r="C392" s="206"/>
      <c r="D392" s="206"/>
      <c r="E392" s="206"/>
      <c r="F392" s="206"/>
    </row>
    <row r="393" spans="3:6">
      <c r="C393" s="206"/>
      <c r="D393" s="206"/>
      <c r="E393" s="206"/>
      <c r="F393" s="206"/>
    </row>
    <row r="394" spans="3:6">
      <c r="C394" s="206"/>
      <c r="D394" s="206"/>
      <c r="E394" s="206"/>
      <c r="F394" s="206"/>
    </row>
    <row r="395" spans="3:6">
      <c r="C395" s="206"/>
      <c r="D395" s="206"/>
      <c r="E395" s="206"/>
      <c r="F395" s="206"/>
    </row>
    <row r="396" spans="3:6">
      <c r="C396" s="206"/>
      <c r="D396" s="206"/>
      <c r="E396" s="206"/>
      <c r="F396" s="206"/>
    </row>
    <row r="397" spans="3:6">
      <c r="C397" s="206"/>
      <c r="D397" s="206"/>
      <c r="E397" s="206"/>
      <c r="F397" s="206"/>
    </row>
    <row r="398" spans="3:6">
      <c r="C398" s="206"/>
      <c r="D398" s="206"/>
      <c r="E398" s="206"/>
      <c r="F398" s="206"/>
    </row>
    <row r="399" spans="3:6">
      <c r="C399" s="206"/>
      <c r="D399" s="206"/>
      <c r="E399" s="206"/>
      <c r="F399" s="206"/>
    </row>
    <row r="400" spans="3:6">
      <c r="C400" s="206"/>
      <c r="D400" s="206"/>
      <c r="E400" s="206"/>
      <c r="F400" s="206"/>
    </row>
    <row r="401" spans="3:6">
      <c r="C401" s="206"/>
      <c r="D401" s="206"/>
      <c r="E401" s="206"/>
      <c r="F401" s="206"/>
    </row>
    <row r="402" spans="3:6">
      <c r="C402" s="206"/>
      <c r="D402" s="206"/>
      <c r="E402" s="206"/>
      <c r="F402" s="206"/>
    </row>
    <row r="403" spans="3:6">
      <c r="C403" s="206"/>
      <c r="D403" s="206"/>
      <c r="E403" s="206"/>
      <c r="F403" s="206"/>
    </row>
    <row r="404" spans="3:6">
      <c r="C404" s="206"/>
      <c r="D404" s="206"/>
      <c r="E404" s="206"/>
      <c r="F404" s="206"/>
    </row>
    <row r="405" spans="3:6">
      <c r="C405" s="206"/>
      <c r="D405" s="206"/>
      <c r="E405" s="206"/>
      <c r="F405" s="206"/>
    </row>
    <row r="406" spans="3:6">
      <c r="C406" s="206"/>
      <c r="D406" s="206"/>
      <c r="E406" s="206"/>
      <c r="F406" s="206"/>
    </row>
    <row r="407" spans="3:6">
      <c r="C407" s="206"/>
      <c r="D407" s="206"/>
      <c r="E407" s="206"/>
      <c r="F407" s="206"/>
    </row>
    <row r="408" spans="3:6">
      <c r="C408" s="206"/>
      <c r="D408" s="206"/>
      <c r="E408" s="206"/>
      <c r="F408" s="206"/>
    </row>
    <row r="409" spans="3:6">
      <c r="C409" s="206"/>
      <c r="D409" s="206"/>
      <c r="E409" s="206"/>
      <c r="F409" s="206"/>
    </row>
    <row r="410" spans="3:6">
      <c r="C410" s="206"/>
      <c r="D410" s="206"/>
      <c r="E410" s="206"/>
      <c r="F410" s="206"/>
    </row>
    <row r="411" spans="3:6">
      <c r="C411" s="206"/>
      <c r="D411" s="206"/>
      <c r="E411" s="206"/>
      <c r="F411" s="206"/>
    </row>
    <row r="412" spans="3:6">
      <c r="C412" s="206"/>
      <c r="D412" s="206"/>
      <c r="E412" s="206"/>
      <c r="F412" s="206"/>
    </row>
    <row r="413" spans="3:6">
      <c r="C413" s="206"/>
      <c r="D413" s="206"/>
      <c r="E413" s="206"/>
      <c r="F413" s="206"/>
    </row>
    <row r="414" spans="3:6">
      <c r="C414" s="206"/>
      <c r="D414" s="206"/>
      <c r="E414" s="206"/>
      <c r="F414" s="206"/>
    </row>
    <row r="415" spans="3:6">
      <c r="C415" s="206"/>
      <c r="D415" s="206"/>
      <c r="E415" s="206"/>
      <c r="F415" s="206"/>
    </row>
    <row r="416" spans="3:6">
      <c r="C416" s="206"/>
      <c r="D416" s="206"/>
      <c r="E416" s="206"/>
      <c r="F416" s="206"/>
    </row>
    <row r="417" spans="3:6">
      <c r="C417" s="206"/>
      <c r="D417" s="206"/>
      <c r="E417" s="206"/>
      <c r="F417" s="206"/>
    </row>
    <row r="418" spans="3:6">
      <c r="C418" s="206"/>
      <c r="D418" s="206"/>
      <c r="E418" s="206"/>
      <c r="F418" s="206"/>
    </row>
    <row r="419" spans="3:6">
      <c r="C419" s="206"/>
      <c r="D419" s="206"/>
      <c r="E419" s="206"/>
      <c r="F419" s="206"/>
    </row>
    <row r="420" spans="3:6">
      <c r="C420" s="206"/>
      <c r="D420" s="206"/>
      <c r="E420" s="206"/>
      <c r="F420" s="206"/>
    </row>
    <row r="421" spans="3:6">
      <c r="C421" s="206"/>
      <c r="D421" s="206"/>
      <c r="E421" s="206"/>
      <c r="F421" s="206"/>
    </row>
    <row r="422" spans="3:6">
      <c r="C422" s="206"/>
      <c r="D422" s="206"/>
      <c r="E422" s="206"/>
      <c r="F422" s="206"/>
    </row>
    <row r="423" spans="3:6">
      <c r="C423" s="206"/>
      <c r="D423" s="206"/>
      <c r="E423" s="206"/>
      <c r="F423" s="206"/>
    </row>
    <row r="424" spans="3:6">
      <c r="C424" s="206"/>
      <c r="D424" s="206"/>
      <c r="E424" s="206"/>
      <c r="F424" s="206"/>
    </row>
    <row r="425" spans="3:6">
      <c r="C425" s="206"/>
      <c r="D425" s="206"/>
      <c r="E425" s="206"/>
      <c r="F425" s="206"/>
    </row>
    <row r="426" spans="3:6">
      <c r="C426" s="206"/>
      <c r="D426" s="206"/>
      <c r="E426" s="206"/>
      <c r="F426" s="206"/>
    </row>
    <row r="427" spans="3:6">
      <c r="C427" s="206"/>
      <c r="D427" s="206"/>
      <c r="E427" s="206"/>
      <c r="F427" s="206"/>
    </row>
    <row r="428" spans="3:6">
      <c r="C428" s="206"/>
      <c r="D428" s="206"/>
      <c r="E428" s="206"/>
      <c r="F428" s="206"/>
    </row>
    <row r="429" spans="3:6">
      <c r="C429" s="206"/>
      <c r="D429" s="206"/>
      <c r="E429" s="206"/>
      <c r="F429" s="206"/>
    </row>
    <row r="430" spans="3:6">
      <c r="C430" s="206"/>
      <c r="D430" s="206"/>
      <c r="E430" s="206"/>
      <c r="F430" s="206"/>
    </row>
    <row r="431" spans="3:6">
      <c r="C431" s="206"/>
      <c r="D431" s="206"/>
      <c r="E431" s="206"/>
      <c r="F431" s="206"/>
    </row>
    <row r="432" spans="3:6">
      <c r="C432" s="206"/>
      <c r="D432" s="206"/>
      <c r="E432" s="206"/>
      <c r="F432" s="206"/>
    </row>
    <row r="433" spans="3:6">
      <c r="C433" s="206"/>
      <c r="D433" s="206"/>
      <c r="E433" s="206"/>
      <c r="F433" s="206"/>
    </row>
    <row r="434" spans="3:6">
      <c r="C434" s="206"/>
      <c r="D434" s="206"/>
      <c r="E434" s="206"/>
      <c r="F434" s="206"/>
    </row>
    <row r="435" spans="3:6">
      <c r="C435" s="206"/>
      <c r="D435" s="206"/>
      <c r="E435" s="206"/>
      <c r="F435" s="206"/>
    </row>
    <row r="436" spans="3:6">
      <c r="C436" s="206"/>
      <c r="D436" s="206"/>
      <c r="E436" s="206"/>
      <c r="F436" s="206"/>
    </row>
    <row r="437" spans="3:6">
      <c r="C437" s="206"/>
      <c r="D437" s="206"/>
      <c r="E437" s="206"/>
      <c r="F437" s="206"/>
    </row>
    <row r="438" spans="3:6">
      <c r="C438" s="206"/>
      <c r="D438" s="206"/>
      <c r="E438" s="206"/>
      <c r="F438" s="206"/>
    </row>
    <row r="439" spans="3:6">
      <c r="C439" s="206"/>
      <c r="D439" s="206"/>
      <c r="E439" s="206"/>
      <c r="F439" s="206"/>
    </row>
    <row r="440" spans="3:6">
      <c r="C440" s="206"/>
      <c r="D440" s="206"/>
      <c r="E440" s="206"/>
      <c r="F440" s="206"/>
    </row>
    <row r="441" spans="3:6">
      <c r="C441" s="206"/>
      <c r="D441" s="206"/>
      <c r="E441" s="206"/>
      <c r="F441" s="206"/>
    </row>
    <row r="442" spans="3:6">
      <c r="C442" s="206"/>
      <c r="D442" s="206"/>
      <c r="E442" s="206"/>
      <c r="F442" s="206"/>
    </row>
    <row r="443" spans="3:6">
      <c r="C443" s="206"/>
      <c r="D443" s="206"/>
      <c r="E443" s="206"/>
      <c r="F443" s="206"/>
    </row>
    <row r="444" spans="3:6">
      <c r="C444" s="206"/>
      <c r="D444" s="206"/>
      <c r="E444" s="206"/>
      <c r="F444" s="206"/>
    </row>
    <row r="445" spans="3:6">
      <c r="C445" s="206"/>
      <c r="D445" s="206"/>
      <c r="E445" s="206"/>
      <c r="F445" s="206"/>
    </row>
    <row r="446" spans="3:6">
      <c r="C446" s="206"/>
      <c r="D446" s="206"/>
      <c r="E446" s="206"/>
      <c r="F446" s="206"/>
    </row>
    <row r="447" spans="3:6">
      <c r="C447" s="206"/>
      <c r="D447" s="206"/>
      <c r="E447" s="206"/>
      <c r="F447" s="206"/>
    </row>
    <row r="448" spans="3:6">
      <c r="C448" s="206"/>
      <c r="D448" s="206"/>
      <c r="E448" s="206"/>
      <c r="F448" s="206"/>
    </row>
    <row r="449" spans="3:6">
      <c r="C449" s="206"/>
      <c r="D449" s="206"/>
      <c r="E449" s="206"/>
      <c r="F449" s="206"/>
    </row>
    <row r="450" spans="3:6">
      <c r="C450" s="206"/>
      <c r="D450" s="206"/>
      <c r="E450" s="206"/>
      <c r="F450" s="206"/>
    </row>
    <row r="451" spans="3:6">
      <c r="C451" s="206"/>
      <c r="D451" s="206"/>
      <c r="E451" s="206"/>
      <c r="F451" s="206"/>
    </row>
    <row r="452" spans="3:6">
      <c r="C452" s="206"/>
      <c r="D452" s="206"/>
      <c r="E452" s="206"/>
      <c r="F452" s="206"/>
    </row>
    <row r="453" spans="3:6">
      <c r="C453" s="206"/>
      <c r="D453" s="206"/>
      <c r="E453" s="206"/>
      <c r="F453" s="206"/>
    </row>
    <row r="454" spans="3:6">
      <c r="C454" s="206"/>
      <c r="D454" s="206"/>
      <c r="E454" s="206"/>
      <c r="F454" s="206"/>
    </row>
    <row r="455" spans="3:6">
      <c r="C455" s="206"/>
      <c r="D455" s="206"/>
      <c r="E455" s="206"/>
      <c r="F455" s="206"/>
    </row>
    <row r="456" spans="3:6">
      <c r="C456" s="206"/>
      <c r="D456" s="206"/>
      <c r="E456" s="206"/>
      <c r="F456" s="206"/>
    </row>
    <row r="457" spans="3:6">
      <c r="C457" s="206"/>
      <c r="D457" s="206"/>
      <c r="E457" s="206"/>
      <c r="F457" s="206"/>
    </row>
    <row r="458" spans="3:6">
      <c r="C458" s="206"/>
      <c r="D458" s="206"/>
      <c r="E458" s="206"/>
      <c r="F458" s="206"/>
    </row>
    <row r="459" spans="3:6">
      <c r="C459" s="206"/>
      <c r="D459" s="206"/>
      <c r="E459" s="206"/>
      <c r="F459" s="206"/>
    </row>
    <row r="460" spans="3:6">
      <c r="C460" s="206"/>
      <c r="D460" s="206"/>
      <c r="E460" s="206"/>
      <c r="F460" s="206"/>
    </row>
    <row r="461" spans="3:6">
      <c r="C461" s="206"/>
      <c r="D461" s="206"/>
      <c r="E461" s="206"/>
      <c r="F461" s="206"/>
    </row>
    <row r="462" spans="3:6">
      <c r="C462" s="206"/>
      <c r="D462" s="206"/>
      <c r="E462" s="206"/>
      <c r="F462" s="206"/>
    </row>
    <row r="463" spans="3:6">
      <c r="C463" s="206"/>
      <c r="D463" s="206"/>
      <c r="E463" s="206"/>
      <c r="F463" s="206"/>
    </row>
    <row r="464" spans="3:6">
      <c r="C464" s="206"/>
      <c r="D464" s="206"/>
      <c r="E464" s="206"/>
      <c r="F464" s="206"/>
    </row>
    <row r="465" spans="3:6">
      <c r="C465" s="206"/>
      <c r="D465" s="206"/>
      <c r="E465" s="206"/>
      <c r="F465" s="206"/>
    </row>
    <row r="466" spans="3:6">
      <c r="C466" s="206"/>
      <c r="D466" s="206"/>
      <c r="E466" s="206"/>
      <c r="F466" s="206"/>
    </row>
    <row r="467" spans="3:6">
      <c r="C467" s="206"/>
      <c r="D467" s="206"/>
      <c r="E467" s="206"/>
      <c r="F467" s="206"/>
    </row>
    <row r="468" spans="3:6">
      <c r="C468" s="206"/>
      <c r="D468" s="206"/>
      <c r="E468" s="206"/>
      <c r="F468" s="206"/>
    </row>
    <row r="469" spans="3:6">
      <c r="C469" s="206"/>
      <c r="D469" s="206"/>
      <c r="E469" s="206"/>
      <c r="F469" s="206"/>
    </row>
    <row r="470" spans="3:6">
      <c r="C470" s="206"/>
      <c r="D470" s="206"/>
      <c r="E470" s="206"/>
      <c r="F470" s="206"/>
    </row>
    <row r="471" spans="3:6">
      <c r="C471" s="206"/>
      <c r="D471" s="206"/>
      <c r="E471" s="206"/>
      <c r="F471" s="206"/>
    </row>
    <row r="472" spans="3:6">
      <c r="C472" s="206"/>
      <c r="D472" s="206"/>
      <c r="E472" s="206"/>
      <c r="F472" s="206"/>
    </row>
    <row r="473" spans="3:6">
      <c r="C473" s="206"/>
      <c r="D473" s="206"/>
      <c r="E473" s="206"/>
      <c r="F473" s="206"/>
    </row>
    <row r="474" spans="3:6">
      <c r="C474" s="206"/>
      <c r="D474" s="206"/>
      <c r="E474" s="206"/>
      <c r="F474" s="206"/>
    </row>
    <row r="475" spans="3:6">
      <c r="C475" s="206"/>
      <c r="D475" s="206"/>
      <c r="E475" s="206"/>
      <c r="F475" s="206"/>
    </row>
    <row r="476" spans="3:6">
      <c r="C476" s="206"/>
      <c r="D476" s="206"/>
      <c r="E476" s="206"/>
      <c r="F476" s="206"/>
    </row>
    <row r="477" spans="3:6">
      <c r="C477" s="206"/>
      <c r="D477" s="206"/>
      <c r="E477" s="206"/>
      <c r="F477" s="206"/>
    </row>
    <row r="478" spans="3:6">
      <c r="C478" s="206"/>
      <c r="D478" s="206"/>
      <c r="E478" s="206"/>
      <c r="F478" s="206"/>
    </row>
    <row r="479" spans="3:6">
      <c r="C479" s="206"/>
      <c r="D479" s="206"/>
      <c r="E479" s="206"/>
      <c r="F479" s="206"/>
    </row>
    <row r="480" spans="3:6">
      <c r="C480" s="206"/>
      <c r="D480" s="206"/>
      <c r="E480" s="206"/>
      <c r="F480" s="206"/>
    </row>
    <row r="481" spans="3:6">
      <c r="C481" s="206"/>
      <c r="D481" s="206"/>
      <c r="E481" s="206"/>
      <c r="F481" s="206"/>
    </row>
    <row r="482" spans="3:6">
      <c r="C482" s="206"/>
      <c r="D482" s="206"/>
      <c r="E482" s="206"/>
      <c r="F482" s="206"/>
    </row>
    <row r="483" spans="3:6">
      <c r="C483" s="206"/>
      <c r="D483" s="206"/>
      <c r="E483" s="206"/>
      <c r="F483" s="206"/>
    </row>
    <row r="484" spans="3:6">
      <c r="C484" s="206"/>
      <c r="D484" s="206"/>
      <c r="E484" s="206"/>
      <c r="F484" s="206"/>
    </row>
    <row r="485" spans="3:6">
      <c r="C485" s="206"/>
      <c r="E485" s="206"/>
      <c r="F485" s="206"/>
    </row>
    <row r="486" spans="3:6">
      <c r="C486" s="206"/>
      <c r="E486" s="206"/>
      <c r="F486" s="206"/>
    </row>
    <row r="487" spans="3:6">
      <c r="C487" s="206"/>
      <c r="E487" s="206"/>
      <c r="F487" s="206"/>
    </row>
    <row r="488" spans="3:6">
      <c r="C488" s="206"/>
      <c r="E488" s="206"/>
      <c r="F488" s="206"/>
    </row>
    <row r="489" spans="3:6">
      <c r="C489" s="206"/>
      <c r="E489" s="206"/>
      <c r="F489" s="206"/>
    </row>
    <row r="490" spans="3:6">
      <c r="C490" s="206"/>
      <c r="E490" s="206"/>
      <c r="F490" s="206"/>
    </row>
    <row r="491" spans="3:6">
      <c r="C491" s="206"/>
      <c r="E491" s="206"/>
      <c r="F491" s="206"/>
    </row>
    <row r="492" spans="3:6">
      <c r="C492" s="206"/>
      <c r="E492" s="206"/>
      <c r="F492" s="206"/>
    </row>
    <row r="493" spans="3:6">
      <c r="C493" s="206"/>
      <c r="E493" s="206"/>
      <c r="F493" s="206"/>
    </row>
    <row r="494" spans="3:6">
      <c r="C494" s="206"/>
      <c r="E494" s="206"/>
      <c r="F494" s="206"/>
    </row>
    <row r="495" spans="3:6">
      <c r="C495" s="206"/>
      <c r="E495" s="206"/>
      <c r="F495" s="206"/>
    </row>
    <row r="496" spans="3:6">
      <c r="C496" s="206"/>
      <c r="E496" s="206"/>
      <c r="F496" s="206"/>
    </row>
    <row r="497" spans="3:6">
      <c r="C497" s="206"/>
      <c r="E497" s="206"/>
      <c r="F497" s="206"/>
    </row>
    <row r="498" spans="3:6">
      <c r="C498" s="206"/>
      <c r="E498" s="206"/>
      <c r="F498" s="206"/>
    </row>
    <row r="499" spans="3:6">
      <c r="C499" s="206"/>
      <c r="E499" s="206"/>
      <c r="F499" s="206"/>
    </row>
    <row r="500" spans="3:6">
      <c r="C500" s="206"/>
      <c r="E500" s="206"/>
      <c r="F500" s="206"/>
    </row>
    <row r="501" spans="3:6">
      <c r="C501" s="206"/>
      <c r="E501" s="206"/>
      <c r="F501" s="206"/>
    </row>
    <row r="502" spans="3:6">
      <c r="C502" s="206"/>
      <c r="E502" s="206"/>
      <c r="F502" s="206"/>
    </row>
    <row r="503" spans="3:6">
      <c r="C503" s="206"/>
      <c r="E503" s="206"/>
      <c r="F503" s="206"/>
    </row>
    <row r="504" spans="3:6">
      <c r="C504" s="206"/>
      <c r="E504" s="206"/>
      <c r="F504" s="206"/>
    </row>
    <row r="505" spans="3:6">
      <c r="C505" s="206"/>
      <c r="E505" s="206"/>
      <c r="F505" s="206"/>
    </row>
    <row r="506" spans="3:6">
      <c r="C506" s="206"/>
      <c r="E506" s="206"/>
      <c r="F506" s="206"/>
    </row>
    <row r="507" spans="3:6">
      <c r="C507" s="206"/>
      <c r="E507" s="206"/>
      <c r="F507" s="206"/>
    </row>
    <row r="508" spans="3:6">
      <c r="C508" s="206"/>
      <c r="E508" s="206"/>
      <c r="F508" s="206"/>
    </row>
    <row r="509" spans="3:6">
      <c r="C509" s="206"/>
      <c r="E509" s="206"/>
      <c r="F509" s="206"/>
    </row>
    <row r="510" spans="3:6">
      <c r="C510" s="206"/>
      <c r="E510" s="206"/>
      <c r="F510" s="206"/>
    </row>
    <row r="511" spans="3:6">
      <c r="C511" s="206"/>
      <c r="E511" s="206"/>
      <c r="F511" s="206"/>
    </row>
    <row r="512" spans="3:6">
      <c r="C512" s="206"/>
      <c r="E512" s="206"/>
      <c r="F512" s="206"/>
    </row>
    <row r="513" spans="3:6">
      <c r="C513" s="206"/>
      <c r="E513" s="206"/>
      <c r="F513" s="206"/>
    </row>
    <row r="514" spans="3:6">
      <c r="C514" s="206"/>
      <c r="E514" s="206"/>
      <c r="F514" s="206"/>
    </row>
    <row r="515" spans="3:6">
      <c r="C515" s="206"/>
      <c r="E515" s="206"/>
      <c r="F515" s="206"/>
    </row>
    <row r="516" spans="3:6">
      <c r="C516" s="206"/>
      <c r="E516" s="206"/>
      <c r="F516" s="206"/>
    </row>
    <row r="517" spans="3:6">
      <c r="C517" s="206"/>
      <c r="E517" s="206"/>
      <c r="F517" s="206"/>
    </row>
    <row r="518" spans="3:6">
      <c r="C518" s="206"/>
      <c r="E518" s="206"/>
      <c r="F518" s="206"/>
    </row>
    <row r="519" spans="3:6">
      <c r="C519" s="206"/>
      <c r="E519" s="206"/>
      <c r="F519" s="206"/>
    </row>
    <row r="520" spans="3:6">
      <c r="C520" s="206"/>
      <c r="E520" s="206"/>
      <c r="F520" s="206"/>
    </row>
    <row r="521" spans="3:6">
      <c r="C521" s="206"/>
      <c r="E521" s="206"/>
      <c r="F521" s="206"/>
    </row>
    <row r="522" spans="3:6">
      <c r="C522" s="206"/>
      <c r="E522" s="206"/>
      <c r="F522" s="206"/>
    </row>
    <row r="523" spans="3:6">
      <c r="C523" s="206"/>
      <c r="E523" s="206"/>
      <c r="F523" s="206"/>
    </row>
    <row r="524" spans="3:6">
      <c r="C524" s="206"/>
      <c r="E524" s="206"/>
      <c r="F524" s="206"/>
    </row>
    <row r="525" spans="3:6">
      <c r="C525" s="206"/>
      <c r="E525" s="206"/>
      <c r="F525" s="206"/>
    </row>
    <row r="526" spans="3:6">
      <c r="C526" s="206"/>
      <c r="E526" s="206"/>
      <c r="F526" s="206"/>
    </row>
    <row r="527" spans="3:6">
      <c r="C527" s="206"/>
      <c r="E527" s="206"/>
      <c r="F527" s="206"/>
    </row>
    <row r="528" spans="3:6">
      <c r="C528" s="206"/>
      <c r="E528" s="206"/>
      <c r="F528" s="206"/>
    </row>
    <row r="529" spans="3:6">
      <c r="C529" s="206"/>
      <c r="E529" s="206"/>
      <c r="F529" s="206"/>
    </row>
    <row r="530" spans="3:6">
      <c r="C530" s="206"/>
      <c r="E530" s="206"/>
      <c r="F530" s="206"/>
    </row>
    <row r="531" spans="3:6">
      <c r="C531" s="206"/>
      <c r="E531" s="206"/>
      <c r="F531" s="206"/>
    </row>
    <row r="532" spans="3:6">
      <c r="C532" s="206"/>
      <c r="E532" s="206"/>
      <c r="F532" s="206"/>
    </row>
    <row r="533" spans="3:6">
      <c r="C533" s="206"/>
      <c r="E533" s="206"/>
      <c r="F533" s="206"/>
    </row>
    <row r="534" spans="3:6">
      <c r="C534" s="206"/>
      <c r="E534" s="206"/>
      <c r="F534" s="206"/>
    </row>
    <row r="535" spans="3:6">
      <c r="C535" s="206"/>
      <c r="E535" s="206"/>
      <c r="F535" s="206"/>
    </row>
    <row r="536" spans="3:6">
      <c r="C536" s="206"/>
      <c r="E536" s="206"/>
      <c r="F536" s="206"/>
    </row>
    <row r="537" spans="3:6">
      <c r="C537" s="206"/>
      <c r="E537" s="206"/>
      <c r="F537" s="206"/>
    </row>
    <row r="538" spans="3:6">
      <c r="C538" s="206"/>
      <c r="E538" s="206"/>
      <c r="F538" s="206"/>
    </row>
    <row r="539" spans="3:6">
      <c r="C539" s="206"/>
      <c r="E539" s="206"/>
      <c r="F539" s="206"/>
    </row>
    <row r="540" spans="3:6">
      <c r="C540" s="206"/>
      <c r="E540" s="206"/>
      <c r="F540" s="206"/>
    </row>
    <row r="541" spans="3:6">
      <c r="C541" s="206"/>
      <c r="E541" s="206"/>
      <c r="F541" s="206"/>
    </row>
    <row r="542" spans="3:6">
      <c r="C542" s="206"/>
      <c r="E542" s="206"/>
      <c r="F542" s="206"/>
    </row>
    <row r="543" spans="3:6">
      <c r="C543" s="206"/>
      <c r="E543" s="206"/>
      <c r="F543" s="206"/>
    </row>
    <row r="544" spans="3:6">
      <c r="C544" s="206"/>
      <c r="E544" s="206"/>
      <c r="F544" s="206"/>
    </row>
    <row r="545" spans="3:6">
      <c r="C545" s="206"/>
      <c r="E545" s="206"/>
      <c r="F545" s="206"/>
    </row>
    <row r="546" spans="3:6">
      <c r="C546" s="206"/>
      <c r="E546" s="206"/>
      <c r="F546" s="206"/>
    </row>
    <row r="547" spans="3:6">
      <c r="C547" s="206"/>
      <c r="E547" s="206"/>
      <c r="F547" s="206"/>
    </row>
    <row r="548" spans="3:6">
      <c r="C548" s="206"/>
      <c r="E548" s="206"/>
      <c r="F548" s="206"/>
    </row>
    <row r="549" spans="3:6">
      <c r="C549" s="206"/>
      <c r="E549" s="206"/>
      <c r="F549" s="206"/>
    </row>
    <row r="550" spans="3:6">
      <c r="C550" s="206"/>
      <c r="E550" s="206"/>
      <c r="F550" s="206"/>
    </row>
    <row r="551" spans="3:6">
      <c r="C551" s="206"/>
      <c r="E551" s="206"/>
      <c r="F551" s="206"/>
    </row>
    <row r="552" spans="3:6">
      <c r="C552" s="206"/>
      <c r="E552" s="206"/>
      <c r="F552" s="206"/>
    </row>
    <row r="553" spans="3:6">
      <c r="C553" s="206"/>
      <c r="E553" s="206"/>
      <c r="F553" s="206"/>
    </row>
    <row r="554" spans="3:6">
      <c r="C554" s="206"/>
      <c r="E554" s="206"/>
      <c r="F554" s="206"/>
    </row>
    <row r="555" spans="3:6">
      <c r="C555" s="206"/>
      <c r="E555" s="206"/>
      <c r="F555" s="206"/>
    </row>
    <row r="556" spans="3:6">
      <c r="C556" s="206"/>
      <c r="E556" s="206"/>
      <c r="F556" s="206"/>
    </row>
    <row r="557" spans="3:6">
      <c r="C557" s="206"/>
      <c r="E557" s="206"/>
      <c r="F557" s="206"/>
    </row>
    <row r="558" spans="3:6">
      <c r="C558" s="206"/>
      <c r="E558" s="206"/>
      <c r="F558" s="206"/>
    </row>
    <row r="559" spans="3:6">
      <c r="C559" s="206"/>
      <c r="E559" s="206"/>
      <c r="F559" s="206"/>
    </row>
    <row r="560" spans="3:6">
      <c r="C560" s="206"/>
      <c r="E560" s="206"/>
      <c r="F560" s="206"/>
    </row>
    <row r="561" spans="3:6">
      <c r="C561" s="206"/>
      <c r="E561" s="206"/>
      <c r="F561" s="206"/>
    </row>
    <row r="562" spans="3:6">
      <c r="C562" s="206"/>
      <c r="E562" s="206"/>
      <c r="F562" s="206"/>
    </row>
    <row r="563" spans="3:6">
      <c r="C563" s="206"/>
      <c r="E563" s="206"/>
      <c r="F563" s="206"/>
    </row>
    <row r="564" spans="3:6">
      <c r="C564" s="206"/>
      <c r="E564" s="206"/>
      <c r="F564" s="206"/>
    </row>
    <row r="565" spans="3:6">
      <c r="C565" s="206"/>
      <c r="E565" s="206"/>
      <c r="F565" s="206"/>
    </row>
    <row r="566" spans="3:6">
      <c r="C566" s="206"/>
      <c r="E566" s="206"/>
      <c r="F566" s="206"/>
    </row>
    <row r="567" spans="3:6">
      <c r="C567" s="206"/>
      <c r="E567" s="206"/>
      <c r="F567" s="206"/>
    </row>
    <row r="568" spans="3:6">
      <c r="C568" s="206"/>
      <c r="E568" s="206"/>
      <c r="F568" s="206"/>
    </row>
    <row r="569" spans="3:6">
      <c r="C569" s="206"/>
      <c r="E569" s="206"/>
      <c r="F569" s="206"/>
    </row>
    <row r="570" spans="3:6">
      <c r="C570" s="206"/>
      <c r="E570" s="206"/>
      <c r="F570" s="206"/>
    </row>
    <row r="571" spans="3:6">
      <c r="C571" s="206"/>
      <c r="E571" s="206"/>
      <c r="F571" s="206"/>
    </row>
    <row r="572" spans="3:6">
      <c r="C572" s="206"/>
      <c r="E572" s="206"/>
      <c r="F572" s="206"/>
    </row>
    <row r="573" spans="3:6">
      <c r="C573" s="206"/>
      <c r="E573" s="206"/>
      <c r="F573" s="206"/>
    </row>
    <row r="574" spans="3:6">
      <c r="C574" s="206"/>
      <c r="E574" s="206"/>
      <c r="F574" s="206"/>
    </row>
    <row r="575" spans="3:6">
      <c r="C575" s="206"/>
      <c r="E575" s="206"/>
      <c r="F575" s="206"/>
    </row>
    <row r="576" spans="3:6">
      <c r="C576" s="206"/>
      <c r="E576" s="206"/>
      <c r="F576" s="206"/>
    </row>
    <row r="577" spans="3:6">
      <c r="C577" s="206"/>
      <c r="E577" s="206"/>
      <c r="F577" s="206"/>
    </row>
    <row r="578" spans="3:6">
      <c r="C578" s="206"/>
      <c r="E578" s="206"/>
      <c r="F578" s="206"/>
    </row>
    <row r="579" spans="3:6">
      <c r="C579" s="206"/>
      <c r="E579" s="206"/>
      <c r="F579" s="206"/>
    </row>
    <row r="580" spans="3:6">
      <c r="C580" s="206"/>
      <c r="E580" s="206"/>
      <c r="F580" s="206"/>
    </row>
    <row r="581" spans="3:6">
      <c r="C581" s="206"/>
      <c r="E581" s="206"/>
      <c r="F581" s="206"/>
    </row>
    <row r="582" spans="3:6">
      <c r="C582" s="206"/>
      <c r="E582" s="206"/>
      <c r="F582" s="206"/>
    </row>
    <row r="583" spans="3:6">
      <c r="C583" s="206"/>
      <c r="E583" s="206"/>
      <c r="F583" s="206"/>
    </row>
    <row r="584" spans="3:6">
      <c r="C584" s="206"/>
      <c r="E584" s="206"/>
      <c r="F584" s="206"/>
    </row>
    <row r="585" spans="3:6">
      <c r="C585" s="206"/>
      <c r="E585" s="206"/>
      <c r="F585" s="206"/>
    </row>
    <row r="586" spans="3:6">
      <c r="C586" s="206"/>
      <c r="E586" s="206"/>
      <c r="F586" s="206"/>
    </row>
    <row r="587" spans="3:6">
      <c r="C587" s="206"/>
      <c r="E587" s="206"/>
      <c r="F587" s="206"/>
    </row>
    <row r="588" spans="3:6">
      <c r="C588" s="206"/>
      <c r="E588" s="206"/>
      <c r="F588" s="206"/>
    </row>
    <row r="589" spans="3:6">
      <c r="C589" s="206"/>
      <c r="E589" s="206"/>
      <c r="F589" s="206"/>
    </row>
    <row r="590" spans="3:6">
      <c r="C590" s="206"/>
      <c r="E590" s="206"/>
      <c r="F590" s="206"/>
    </row>
    <row r="591" spans="3:6">
      <c r="C591" s="206"/>
      <c r="E591" s="206"/>
      <c r="F591" s="206"/>
    </row>
    <row r="592" spans="3:6">
      <c r="C592" s="206"/>
      <c r="E592" s="206"/>
      <c r="F592" s="206"/>
    </row>
    <row r="593" spans="3:6">
      <c r="C593" s="206"/>
      <c r="E593" s="206"/>
      <c r="F593" s="206"/>
    </row>
    <row r="594" spans="3:6">
      <c r="C594" s="206"/>
      <c r="E594" s="206"/>
      <c r="F594" s="206"/>
    </row>
    <row r="595" spans="3:6">
      <c r="C595" s="206"/>
      <c r="E595" s="206"/>
      <c r="F595" s="206"/>
    </row>
    <row r="596" spans="3:6">
      <c r="C596" s="206"/>
      <c r="E596" s="206"/>
      <c r="F596" s="206"/>
    </row>
    <row r="597" spans="3:6">
      <c r="C597" s="206"/>
      <c r="E597" s="206"/>
      <c r="F597" s="206"/>
    </row>
    <row r="598" spans="3:6">
      <c r="C598" s="206"/>
      <c r="E598" s="206"/>
      <c r="F598" s="206"/>
    </row>
    <row r="599" spans="3:6">
      <c r="C599" s="206"/>
      <c r="E599" s="206"/>
      <c r="F599" s="206"/>
    </row>
    <row r="600" spans="3:6">
      <c r="C600" s="206"/>
      <c r="E600" s="206"/>
      <c r="F600" s="206"/>
    </row>
    <row r="601" spans="3:6">
      <c r="C601" s="206"/>
      <c r="E601" s="206"/>
      <c r="F601" s="206"/>
    </row>
    <row r="602" spans="3:6">
      <c r="C602" s="206"/>
      <c r="E602" s="206"/>
      <c r="F602" s="206"/>
    </row>
    <row r="603" spans="3:6">
      <c r="C603" s="206"/>
      <c r="E603" s="206"/>
      <c r="F603" s="206"/>
    </row>
    <row r="604" spans="3:6">
      <c r="C604" s="206"/>
      <c r="E604" s="206"/>
      <c r="F604" s="206"/>
    </row>
    <row r="605" spans="3:6">
      <c r="C605" s="206"/>
      <c r="E605" s="206"/>
      <c r="F605" s="206"/>
    </row>
    <row r="606" spans="3:6">
      <c r="C606" s="206"/>
      <c r="E606" s="206"/>
      <c r="F606" s="206"/>
    </row>
    <row r="607" spans="3:6">
      <c r="C607" s="206"/>
      <c r="E607" s="206"/>
      <c r="F607" s="206"/>
    </row>
    <row r="608" spans="3:6">
      <c r="C608" s="206"/>
      <c r="E608" s="206"/>
      <c r="F608" s="206"/>
    </row>
    <row r="609" spans="3:6">
      <c r="C609" s="206"/>
      <c r="E609" s="206"/>
      <c r="F609" s="206"/>
    </row>
    <row r="610" spans="3:6">
      <c r="C610" s="206"/>
      <c r="E610" s="206"/>
      <c r="F610" s="206"/>
    </row>
    <row r="611" spans="3:6">
      <c r="C611" s="206"/>
      <c r="E611" s="206"/>
      <c r="F611" s="206"/>
    </row>
    <row r="612" spans="3:6">
      <c r="C612" s="206"/>
      <c r="E612" s="206"/>
      <c r="F612" s="206"/>
    </row>
    <row r="613" spans="3:6">
      <c r="C613" s="206"/>
      <c r="E613" s="206"/>
      <c r="F613" s="206"/>
    </row>
    <row r="614" spans="3:6">
      <c r="C614" s="206"/>
      <c r="E614" s="206"/>
      <c r="F614" s="206"/>
    </row>
    <row r="615" spans="3:6">
      <c r="C615" s="206"/>
      <c r="E615" s="206"/>
      <c r="F615" s="206"/>
    </row>
    <row r="616" spans="3:6">
      <c r="C616" s="206"/>
      <c r="E616" s="206"/>
      <c r="F616" s="206"/>
    </row>
    <row r="617" spans="3:6">
      <c r="C617" s="206"/>
      <c r="E617" s="206"/>
      <c r="F617" s="206"/>
    </row>
    <row r="618" spans="3:6">
      <c r="C618" s="206"/>
      <c r="E618" s="206"/>
      <c r="F618" s="206"/>
    </row>
    <row r="619" spans="3:6">
      <c r="C619" s="206"/>
      <c r="E619" s="206"/>
      <c r="F619" s="206"/>
    </row>
    <row r="620" spans="3:6">
      <c r="C620" s="206"/>
      <c r="E620" s="206"/>
      <c r="F620" s="206"/>
    </row>
    <row r="621" spans="3:6">
      <c r="C621" s="206"/>
      <c r="E621" s="206"/>
      <c r="F621" s="206"/>
    </row>
    <row r="622" spans="3:6">
      <c r="C622" s="206"/>
      <c r="E622" s="206"/>
      <c r="F622" s="206"/>
    </row>
    <row r="623" spans="3:6">
      <c r="C623" s="206"/>
      <c r="E623" s="206"/>
      <c r="F623" s="206"/>
    </row>
    <row r="624" spans="3:6">
      <c r="C624" s="206"/>
      <c r="E624" s="206"/>
      <c r="F624" s="206"/>
    </row>
    <row r="625" spans="3:6">
      <c r="C625" s="206"/>
      <c r="E625" s="206"/>
      <c r="F625" s="206"/>
    </row>
    <row r="626" spans="3:6">
      <c r="C626" s="206"/>
      <c r="E626" s="206"/>
      <c r="F626" s="206"/>
    </row>
    <row r="627" spans="3:6">
      <c r="C627" s="206"/>
      <c r="E627" s="206"/>
      <c r="F627" s="206"/>
    </row>
    <row r="628" spans="3:6">
      <c r="C628" s="206"/>
      <c r="E628" s="206"/>
      <c r="F628" s="206"/>
    </row>
    <row r="629" spans="3:6">
      <c r="C629" s="206"/>
      <c r="E629" s="206"/>
      <c r="F629" s="206"/>
    </row>
    <row r="630" spans="3:6">
      <c r="C630" s="206"/>
      <c r="E630" s="206"/>
      <c r="F630" s="206"/>
    </row>
    <row r="631" spans="3:6">
      <c r="C631" s="206"/>
      <c r="E631" s="206"/>
      <c r="F631" s="206"/>
    </row>
    <row r="632" spans="3:6">
      <c r="C632" s="206"/>
      <c r="E632" s="206"/>
      <c r="F632" s="206"/>
    </row>
    <row r="633" spans="3:6">
      <c r="C633" s="206"/>
      <c r="E633" s="206"/>
      <c r="F633" s="206"/>
    </row>
    <row r="634" spans="3:6">
      <c r="C634" s="206"/>
      <c r="E634" s="206"/>
      <c r="F634" s="206"/>
    </row>
    <row r="635" spans="3:6">
      <c r="C635" s="206"/>
      <c r="E635" s="206"/>
      <c r="F635" s="206"/>
    </row>
    <row r="636" spans="3:6">
      <c r="C636" s="206"/>
      <c r="E636" s="206"/>
      <c r="F636" s="206"/>
    </row>
    <row r="637" spans="3:6">
      <c r="C637" s="206"/>
      <c r="E637" s="206"/>
      <c r="F637" s="206"/>
    </row>
    <row r="638" spans="3:6">
      <c r="C638" s="206"/>
      <c r="E638" s="206"/>
      <c r="F638" s="206"/>
    </row>
    <row r="639" spans="3:6">
      <c r="C639" s="206"/>
      <c r="E639" s="206"/>
      <c r="F639" s="206"/>
    </row>
    <row r="640" spans="3:6">
      <c r="C640" s="206"/>
      <c r="E640" s="206"/>
      <c r="F640" s="206"/>
    </row>
    <row r="641" spans="3:6">
      <c r="C641" s="206"/>
      <c r="E641" s="206"/>
      <c r="F641" s="206"/>
    </row>
    <row r="642" spans="3:6">
      <c r="C642" s="206"/>
      <c r="E642" s="206"/>
      <c r="F642" s="206"/>
    </row>
    <row r="643" spans="3:6">
      <c r="C643" s="206"/>
      <c r="E643" s="206"/>
      <c r="F643" s="206"/>
    </row>
    <row r="644" spans="3:6">
      <c r="C644" s="206"/>
      <c r="E644" s="206"/>
      <c r="F644" s="206"/>
    </row>
    <row r="645" spans="3:6">
      <c r="C645" s="206"/>
      <c r="E645" s="206"/>
      <c r="F645" s="206"/>
    </row>
    <row r="646" spans="3:6">
      <c r="C646" s="206"/>
      <c r="E646" s="206"/>
      <c r="F646" s="206"/>
    </row>
    <row r="647" spans="3:6">
      <c r="C647" s="206"/>
      <c r="E647" s="206"/>
      <c r="F647" s="206"/>
    </row>
    <row r="648" spans="3:6">
      <c r="C648" s="206"/>
      <c r="E648" s="206"/>
      <c r="F648" s="206"/>
    </row>
    <row r="649" spans="3:6">
      <c r="C649" s="206"/>
      <c r="E649" s="206"/>
      <c r="F649" s="206"/>
    </row>
    <row r="650" spans="3:6">
      <c r="C650" s="206"/>
      <c r="E650" s="206"/>
      <c r="F650" s="206"/>
    </row>
    <row r="651" spans="3:6">
      <c r="C651" s="206"/>
      <c r="E651" s="206"/>
      <c r="F651" s="206"/>
    </row>
    <row r="652" spans="3:6">
      <c r="C652" s="206"/>
      <c r="E652" s="206"/>
      <c r="F652" s="206"/>
    </row>
    <row r="653" spans="3:6">
      <c r="C653" s="206"/>
      <c r="E653" s="206"/>
      <c r="F653" s="206"/>
    </row>
    <row r="654" spans="3:6">
      <c r="C654" s="206"/>
      <c r="E654" s="206"/>
      <c r="F654" s="206"/>
    </row>
    <row r="655" spans="3:6">
      <c r="C655" s="206"/>
      <c r="E655" s="206"/>
      <c r="F655" s="206"/>
    </row>
    <row r="656" spans="3:6">
      <c r="C656" s="206"/>
      <c r="E656" s="206"/>
      <c r="F656" s="206"/>
    </row>
    <row r="657" spans="3:6">
      <c r="C657" s="206"/>
      <c r="E657" s="206"/>
      <c r="F657" s="206"/>
    </row>
    <row r="658" spans="3:6">
      <c r="C658" s="206"/>
      <c r="E658" s="206"/>
      <c r="F658" s="206"/>
    </row>
    <row r="659" spans="3:6">
      <c r="C659" s="206"/>
      <c r="E659" s="206"/>
      <c r="F659" s="206"/>
    </row>
    <row r="660" spans="3:6">
      <c r="C660" s="206"/>
      <c r="E660" s="206"/>
      <c r="F660" s="206"/>
    </row>
    <row r="661" spans="3:6">
      <c r="C661" s="206"/>
      <c r="E661" s="206"/>
      <c r="F661" s="206"/>
    </row>
    <row r="662" spans="3:6">
      <c r="C662" s="206"/>
      <c r="E662" s="206"/>
      <c r="F662" s="206"/>
    </row>
    <row r="663" spans="3:6">
      <c r="C663" s="206"/>
      <c r="E663" s="206"/>
      <c r="F663" s="206"/>
    </row>
    <row r="664" spans="3:6">
      <c r="C664" s="206"/>
      <c r="E664" s="206"/>
      <c r="F664" s="206"/>
    </row>
    <row r="665" spans="3:6">
      <c r="C665" s="206"/>
      <c r="E665" s="206"/>
      <c r="F665" s="206"/>
    </row>
    <row r="666" spans="3:6">
      <c r="C666" s="206"/>
      <c r="E666" s="206"/>
      <c r="F666" s="206"/>
    </row>
    <row r="667" spans="3:6">
      <c r="C667" s="206"/>
      <c r="E667" s="206"/>
      <c r="F667" s="206"/>
    </row>
    <row r="668" spans="3:6">
      <c r="C668" s="206"/>
      <c r="E668" s="206"/>
      <c r="F668" s="206"/>
    </row>
    <row r="669" spans="3:6">
      <c r="C669" s="206"/>
      <c r="E669" s="206"/>
      <c r="F669" s="206"/>
    </row>
    <row r="670" spans="3:6">
      <c r="C670" s="206"/>
      <c r="E670" s="206"/>
      <c r="F670" s="206"/>
    </row>
    <row r="671" spans="3:6">
      <c r="C671" s="206"/>
      <c r="E671" s="206"/>
      <c r="F671" s="206"/>
    </row>
    <row r="672" spans="3:6">
      <c r="C672" s="206"/>
      <c r="E672" s="206"/>
      <c r="F672" s="206"/>
    </row>
    <row r="673" spans="3:6">
      <c r="C673" s="206"/>
      <c r="E673" s="206"/>
      <c r="F673" s="206"/>
    </row>
    <row r="674" spans="3:6">
      <c r="C674" s="206"/>
      <c r="E674" s="206"/>
      <c r="F674" s="206"/>
    </row>
    <row r="675" spans="3:6">
      <c r="C675" s="206"/>
      <c r="E675" s="206"/>
      <c r="F675" s="206"/>
    </row>
    <row r="676" spans="3:6">
      <c r="C676" s="206"/>
      <c r="E676" s="206"/>
      <c r="F676" s="206"/>
    </row>
    <row r="677" spans="3:6">
      <c r="C677" s="206"/>
      <c r="E677" s="206"/>
      <c r="F677" s="206"/>
    </row>
    <row r="678" spans="3:6">
      <c r="C678" s="206"/>
      <c r="E678" s="206"/>
      <c r="F678" s="206"/>
    </row>
    <row r="679" spans="3:6">
      <c r="C679" s="206"/>
      <c r="E679" s="206"/>
      <c r="F679" s="206"/>
    </row>
    <row r="680" spans="3:6">
      <c r="C680" s="206"/>
      <c r="E680" s="206"/>
      <c r="F680" s="206"/>
    </row>
    <row r="681" spans="3:6">
      <c r="C681" s="206"/>
      <c r="E681" s="206"/>
      <c r="F681" s="206"/>
    </row>
    <row r="682" spans="3:6">
      <c r="C682" s="206"/>
      <c r="E682" s="206"/>
      <c r="F682" s="206"/>
    </row>
    <row r="683" spans="3:6">
      <c r="C683" s="206"/>
      <c r="E683" s="206"/>
      <c r="F683" s="206"/>
    </row>
    <row r="684" spans="3:6">
      <c r="C684" s="206"/>
      <c r="E684" s="206"/>
      <c r="F684" s="206"/>
    </row>
    <row r="685" spans="3:6">
      <c r="C685" s="206"/>
      <c r="E685" s="206"/>
      <c r="F685" s="206"/>
    </row>
    <row r="686" spans="3:6">
      <c r="C686" s="206"/>
      <c r="E686" s="206"/>
      <c r="F686" s="206"/>
    </row>
    <row r="687" spans="3:6">
      <c r="C687" s="206"/>
      <c r="E687" s="206"/>
      <c r="F687" s="206"/>
    </row>
    <row r="688" spans="3:6">
      <c r="C688" s="206"/>
      <c r="E688" s="206"/>
      <c r="F688" s="206"/>
    </row>
    <row r="689" spans="3:6">
      <c r="C689" s="206"/>
      <c r="E689" s="206"/>
      <c r="F689" s="206"/>
    </row>
    <row r="690" spans="3:6">
      <c r="C690" s="206"/>
      <c r="E690" s="206"/>
      <c r="F690" s="206"/>
    </row>
    <row r="691" spans="3:6">
      <c r="C691" s="206"/>
      <c r="E691" s="206"/>
      <c r="F691" s="206"/>
    </row>
    <row r="692" spans="3:6">
      <c r="C692" s="206"/>
      <c r="E692" s="206"/>
      <c r="F692" s="206"/>
    </row>
    <row r="693" spans="3:6">
      <c r="C693" s="206"/>
      <c r="E693" s="206"/>
      <c r="F693" s="206"/>
    </row>
    <row r="694" spans="3:6">
      <c r="C694" s="206"/>
      <c r="E694" s="206"/>
      <c r="F694" s="206"/>
    </row>
    <row r="695" spans="3:6">
      <c r="C695" s="206"/>
      <c r="E695" s="206"/>
      <c r="F695" s="206"/>
    </row>
    <row r="696" spans="3:6">
      <c r="C696" s="206"/>
      <c r="E696" s="206"/>
      <c r="F696" s="206"/>
    </row>
    <row r="697" spans="3:6">
      <c r="C697" s="206"/>
      <c r="E697" s="206"/>
      <c r="F697" s="206"/>
    </row>
    <row r="698" spans="3:6">
      <c r="C698" s="206"/>
      <c r="E698" s="206"/>
      <c r="F698" s="206"/>
    </row>
    <row r="699" spans="3:6">
      <c r="C699" s="206"/>
      <c r="E699" s="206"/>
      <c r="F699" s="206"/>
    </row>
    <row r="700" spans="3:6">
      <c r="C700" s="206"/>
      <c r="E700" s="206"/>
      <c r="F700" s="206"/>
    </row>
    <row r="701" spans="3:6">
      <c r="C701" s="206"/>
      <c r="E701" s="206"/>
      <c r="F701" s="206"/>
    </row>
    <row r="702" spans="3:6">
      <c r="C702" s="206"/>
      <c r="E702" s="206"/>
      <c r="F702" s="206"/>
    </row>
    <row r="703" spans="3:6">
      <c r="C703" s="206"/>
      <c r="E703" s="206"/>
      <c r="F703" s="206"/>
    </row>
    <row r="704" spans="3:6">
      <c r="C704" s="206"/>
      <c r="E704" s="206"/>
      <c r="F704" s="206"/>
    </row>
    <row r="705" spans="3:6">
      <c r="C705" s="206"/>
      <c r="E705" s="206"/>
      <c r="F705" s="206"/>
    </row>
    <row r="706" spans="3:6">
      <c r="C706" s="206"/>
      <c r="E706" s="206"/>
      <c r="F706" s="206"/>
    </row>
    <row r="707" spans="3:6">
      <c r="C707" s="206"/>
      <c r="E707" s="206"/>
      <c r="F707" s="206"/>
    </row>
    <row r="708" spans="3:6">
      <c r="C708" s="206"/>
      <c r="E708" s="206"/>
      <c r="F708" s="206"/>
    </row>
    <row r="709" spans="3:6">
      <c r="C709" s="206"/>
      <c r="E709" s="206"/>
      <c r="F709" s="206"/>
    </row>
    <row r="710" spans="3:6">
      <c r="C710" s="206"/>
      <c r="E710" s="206"/>
      <c r="F710" s="206"/>
    </row>
    <row r="711" spans="3:6">
      <c r="C711" s="206"/>
      <c r="E711" s="206"/>
      <c r="F711" s="206"/>
    </row>
    <row r="712" spans="3:6">
      <c r="C712" s="206"/>
      <c r="E712" s="206"/>
      <c r="F712" s="206"/>
    </row>
    <row r="713" spans="3:6">
      <c r="C713" s="206"/>
      <c r="E713" s="206"/>
      <c r="F713" s="206"/>
    </row>
    <row r="714" spans="3:6">
      <c r="C714" s="206"/>
      <c r="E714" s="206"/>
      <c r="F714" s="206"/>
    </row>
    <row r="715" spans="3:6">
      <c r="C715" s="206"/>
      <c r="E715" s="206"/>
      <c r="F715" s="206"/>
    </row>
    <row r="716" spans="3:6">
      <c r="C716" s="206"/>
      <c r="E716" s="206"/>
      <c r="F716" s="206"/>
    </row>
    <row r="717" spans="3:6">
      <c r="C717" s="206"/>
      <c r="E717" s="206"/>
      <c r="F717" s="206"/>
    </row>
    <row r="718" spans="3:6">
      <c r="C718" s="206"/>
      <c r="E718" s="206"/>
      <c r="F718" s="206"/>
    </row>
    <row r="719" spans="3:6">
      <c r="C719" s="206"/>
      <c r="E719" s="206"/>
      <c r="F719" s="206"/>
    </row>
    <row r="720" spans="3:6">
      <c r="C720" s="206"/>
      <c r="E720" s="206"/>
      <c r="F720" s="206"/>
    </row>
    <row r="721" spans="3:6">
      <c r="C721" s="206"/>
      <c r="E721" s="206"/>
      <c r="F721" s="206"/>
    </row>
    <row r="722" spans="3:6">
      <c r="C722" s="206"/>
      <c r="E722" s="206"/>
      <c r="F722" s="206"/>
    </row>
    <row r="723" spans="3:6">
      <c r="C723" s="206"/>
      <c r="E723" s="206"/>
      <c r="F723" s="206"/>
    </row>
    <row r="724" spans="3:6">
      <c r="C724" s="206"/>
      <c r="E724" s="206"/>
      <c r="F724" s="206"/>
    </row>
    <row r="725" spans="3:6">
      <c r="C725" s="206"/>
      <c r="E725" s="206"/>
      <c r="F725" s="206"/>
    </row>
    <row r="726" spans="3:6">
      <c r="C726" s="206"/>
      <c r="E726" s="206"/>
      <c r="F726" s="206"/>
    </row>
    <row r="727" spans="3:6">
      <c r="C727" s="206"/>
      <c r="E727" s="206"/>
      <c r="F727" s="206"/>
    </row>
    <row r="728" spans="3:6">
      <c r="C728" s="206"/>
      <c r="E728" s="206"/>
      <c r="F728" s="206"/>
    </row>
    <row r="729" spans="3:6">
      <c r="C729" s="206"/>
      <c r="E729" s="206"/>
      <c r="F729" s="206"/>
    </row>
    <row r="730" spans="3:6">
      <c r="C730" s="206"/>
      <c r="E730" s="206"/>
      <c r="F730" s="206"/>
    </row>
    <row r="731" spans="3:6">
      <c r="C731" s="206"/>
      <c r="E731" s="206"/>
      <c r="F731" s="206"/>
    </row>
    <row r="732" spans="3:6">
      <c r="C732" s="206"/>
      <c r="E732" s="206"/>
      <c r="F732" s="206"/>
    </row>
    <row r="733" spans="3:6">
      <c r="C733" s="206"/>
      <c r="E733" s="206"/>
      <c r="F733" s="206"/>
    </row>
    <row r="734" spans="3:6">
      <c r="C734" s="206"/>
      <c r="E734" s="206"/>
      <c r="F734" s="206"/>
    </row>
    <row r="735" spans="3:6">
      <c r="C735" s="206"/>
      <c r="E735" s="206"/>
      <c r="F735" s="206"/>
    </row>
    <row r="736" spans="3:6">
      <c r="C736" s="206"/>
      <c r="E736" s="206"/>
      <c r="F736" s="206"/>
    </row>
    <row r="737" spans="3:6">
      <c r="C737" s="206"/>
      <c r="E737" s="206"/>
      <c r="F737" s="206"/>
    </row>
    <row r="738" spans="3:6">
      <c r="C738" s="206"/>
      <c r="E738" s="206"/>
      <c r="F738" s="206"/>
    </row>
    <row r="739" spans="3:6">
      <c r="C739" s="206"/>
      <c r="E739" s="206"/>
      <c r="F739" s="206"/>
    </row>
    <row r="740" spans="3:6">
      <c r="C740" s="206"/>
      <c r="E740" s="206"/>
      <c r="F740" s="206"/>
    </row>
    <row r="741" spans="3:6">
      <c r="C741" s="206"/>
      <c r="E741" s="206"/>
      <c r="F741" s="206"/>
    </row>
    <row r="742" spans="3:6">
      <c r="C742" s="206"/>
      <c r="E742" s="206"/>
      <c r="F742" s="206"/>
    </row>
    <row r="743" spans="3:6">
      <c r="C743" s="206"/>
      <c r="E743" s="206"/>
      <c r="F743" s="206"/>
    </row>
    <row r="744" spans="3:6">
      <c r="C744" s="206"/>
      <c r="E744" s="206"/>
      <c r="F744" s="206"/>
    </row>
    <row r="745" spans="3:6">
      <c r="C745" s="206"/>
      <c r="E745" s="206"/>
      <c r="F745" s="206"/>
    </row>
    <row r="746" spans="3:6">
      <c r="C746" s="206"/>
      <c r="E746" s="206"/>
      <c r="F746" s="206"/>
    </row>
    <row r="747" spans="3:6">
      <c r="C747" s="206"/>
      <c r="E747" s="206"/>
      <c r="F747" s="206"/>
    </row>
    <row r="748" spans="3:6">
      <c r="C748" s="206"/>
      <c r="E748" s="206"/>
      <c r="F748" s="206"/>
    </row>
    <row r="749" spans="3:6">
      <c r="C749" s="206"/>
      <c r="E749" s="206"/>
      <c r="F749" s="206"/>
    </row>
    <row r="750" spans="3:6">
      <c r="C750" s="206"/>
      <c r="E750" s="206"/>
      <c r="F750" s="206"/>
    </row>
    <row r="751" spans="3:6">
      <c r="C751" s="206"/>
      <c r="E751" s="206"/>
      <c r="F751" s="206"/>
    </row>
    <row r="752" spans="3:6">
      <c r="C752" s="206"/>
      <c r="E752" s="206"/>
      <c r="F752" s="206"/>
    </row>
    <row r="753" spans="3:6">
      <c r="C753" s="206"/>
      <c r="E753" s="206"/>
      <c r="F753" s="206"/>
    </row>
    <row r="754" spans="3:6">
      <c r="C754" s="206"/>
      <c r="E754" s="206"/>
      <c r="F754" s="206"/>
    </row>
    <row r="755" spans="3:6">
      <c r="C755" s="206"/>
      <c r="E755" s="206"/>
      <c r="F755" s="206"/>
    </row>
    <row r="756" spans="3:6">
      <c r="C756" s="206"/>
      <c r="E756" s="206"/>
      <c r="F756" s="206"/>
    </row>
    <row r="757" spans="3:6">
      <c r="C757" s="206"/>
      <c r="E757" s="206"/>
      <c r="F757" s="206"/>
    </row>
    <row r="758" spans="3:6">
      <c r="C758" s="206"/>
      <c r="E758" s="206"/>
      <c r="F758" s="206"/>
    </row>
    <row r="759" spans="3:6">
      <c r="C759" s="206"/>
      <c r="E759" s="206"/>
      <c r="F759" s="206"/>
    </row>
    <row r="760" spans="3:6">
      <c r="C760" s="206"/>
      <c r="E760" s="206"/>
      <c r="F760" s="206"/>
    </row>
    <row r="761" spans="3:6">
      <c r="C761" s="206"/>
      <c r="E761" s="206"/>
      <c r="F761" s="206"/>
    </row>
    <row r="762" spans="3:6">
      <c r="C762" s="206"/>
      <c r="E762" s="206"/>
      <c r="F762" s="206"/>
    </row>
    <row r="763" spans="3:6">
      <c r="C763" s="206"/>
      <c r="E763" s="206"/>
      <c r="F763" s="206"/>
    </row>
    <row r="764" spans="3:6">
      <c r="C764" s="206"/>
      <c r="E764" s="206"/>
      <c r="F764" s="206"/>
    </row>
    <row r="765" spans="3:6">
      <c r="C765" s="206"/>
      <c r="E765" s="206"/>
      <c r="F765" s="206"/>
    </row>
    <row r="766" spans="3:6">
      <c r="C766" s="206"/>
      <c r="E766" s="206"/>
      <c r="F766" s="206"/>
    </row>
    <row r="767" spans="3:6">
      <c r="C767" s="206"/>
      <c r="E767" s="206"/>
      <c r="F767" s="206"/>
    </row>
    <row r="768" spans="3:6">
      <c r="C768" s="206"/>
      <c r="E768" s="206"/>
      <c r="F768" s="206"/>
    </row>
    <row r="769" spans="3:6">
      <c r="C769" s="206"/>
      <c r="E769" s="206"/>
      <c r="F769" s="206"/>
    </row>
    <row r="770" spans="3:6">
      <c r="C770" s="206"/>
      <c r="E770" s="206"/>
      <c r="F770" s="206"/>
    </row>
    <row r="771" spans="3:6">
      <c r="C771" s="206"/>
      <c r="E771" s="206"/>
      <c r="F771" s="206"/>
    </row>
    <row r="772" spans="3:6">
      <c r="C772" s="206"/>
      <c r="E772" s="206"/>
      <c r="F772" s="206"/>
    </row>
    <row r="773" spans="3:6">
      <c r="C773" s="206"/>
      <c r="E773" s="206"/>
      <c r="F773" s="206"/>
    </row>
    <row r="774" spans="3:6">
      <c r="C774" s="206"/>
      <c r="E774" s="206"/>
      <c r="F774" s="206"/>
    </row>
    <row r="775" spans="3:6">
      <c r="C775" s="206"/>
      <c r="E775" s="206"/>
      <c r="F775" s="206"/>
    </row>
    <row r="776" spans="3:6">
      <c r="C776" s="206"/>
      <c r="E776" s="206"/>
      <c r="F776" s="206"/>
    </row>
    <row r="777" spans="3:6">
      <c r="C777" s="206"/>
      <c r="E777" s="206"/>
      <c r="F777" s="206"/>
    </row>
    <row r="778" spans="3:6">
      <c r="C778" s="206"/>
      <c r="E778" s="206"/>
      <c r="F778" s="206"/>
    </row>
    <row r="779" spans="3:6">
      <c r="C779" s="206"/>
      <c r="E779" s="206"/>
      <c r="F779" s="206"/>
    </row>
    <row r="780" spans="3:6">
      <c r="C780" s="206"/>
      <c r="E780" s="206"/>
      <c r="F780" s="206"/>
    </row>
    <row r="781" spans="3:6">
      <c r="C781" s="206"/>
      <c r="E781" s="206"/>
      <c r="F781" s="206"/>
    </row>
    <row r="782" spans="3:6">
      <c r="C782" s="206"/>
      <c r="E782" s="206"/>
      <c r="F782" s="206"/>
    </row>
    <row r="783" spans="3:6">
      <c r="C783" s="206"/>
      <c r="E783" s="206"/>
      <c r="F783" s="206"/>
    </row>
    <row r="784" spans="3:6">
      <c r="C784" s="206"/>
      <c r="E784" s="206"/>
      <c r="F784" s="206"/>
    </row>
    <row r="785" spans="3:6">
      <c r="C785" s="206"/>
      <c r="E785" s="206"/>
      <c r="F785" s="206"/>
    </row>
    <row r="786" spans="3:6">
      <c r="C786" s="206"/>
      <c r="E786" s="206"/>
      <c r="F786" s="206"/>
    </row>
    <row r="787" spans="3:6">
      <c r="C787" s="206"/>
      <c r="E787" s="206"/>
      <c r="F787" s="206"/>
    </row>
    <row r="788" spans="3:6">
      <c r="C788" s="206"/>
      <c r="E788" s="206"/>
      <c r="F788" s="206"/>
    </row>
    <row r="789" spans="3:6">
      <c r="C789" s="206"/>
      <c r="E789" s="206"/>
      <c r="F789" s="206"/>
    </row>
    <row r="790" spans="3:6">
      <c r="C790" s="206"/>
      <c r="E790" s="206"/>
      <c r="F790" s="206"/>
    </row>
    <row r="791" spans="3:6">
      <c r="C791" s="206"/>
      <c r="E791" s="206"/>
      <c r="F791" s="206"/>
    </row>
    <row r="792" spans="3:6">
      <c r="C792" s="206"/>
      <c r="E792" s="206"/>
      <c r="F792" s="206"/>
    </row>
    <row r="793" spans="3:6">
      <c r="C793" s="206"/>
      <c r="E793" s="206"/>
      <c r="F793" s="206"/>
    </row>
    <row r="794" spans="3:6">
      <c r="C794" s="206"/>
      <c r="E794" s="206"/>
      <c r="F794" s="206"/>
    </row>
    <row r="795" spans="3:6">
      <c r="C795" s="206"/>
      <c r="E795" s="206"/>
      <c r="F795" s="206"/>
    </row>
    <row r="796" spans="3:6">
      <c r="C796" s="206"/>
      <c r="E796" s="206"/>
      <c r="F796" s="206"/>
    </row>
    <row r="797" spans="3:6">
      <c r="C797" s="206"/>
      <c r="E797" s="206"/>
      <c r="F797" s="206"/>
    </row>
    <row r="798" spans="3:6">
      <c r="C798" s="206"/>
      <c r="E798" s="206"/>
      <c r="F798" s="206"/>
    </row>
    <row r="799" spans="3:6">
      <c r="C799" s="206"/>
      <c r="E799" s="206"/>
      <c r="F799" s="206"/>
    </row>
    <row r="800" spans="3:6">
      <c r="C800" s="206"/>
      <c r="E800" s="206"/>
      <c r="F800" s="206"/>
    </row>
    <row r="801" spans="3:6">
      <c r="C801" s="206"/>
      <c r="E801" s="206"/>
      <c r="F801" s="206"/>
    </row>
    <row r="802" spans="3:6">
      <c r="C802" s="206"/>
      <c r="E802" s="206"/>
      <c r="F802" s="206"/>
    </row>
    <row r="803" spans="3:6">
      <c r="C803" s="206"/>
      <c r="E803" s="206"/>
      <c r="F803" s="206"/>
    </row>
    <row r="804" spans="3:6">
      <c r="C804" s="206"/>
      <c r="E804" s="206"/>
      <c r="F804" s="206"/>
    </row>
    <row r="805" spans="3:6">
      <c r="C805" s="206"/>
      <c r="E805" s="206"/>
      <c r="F805" s="206"/>
    </row>
    <row r="806" spans="3:6">
      <c r="C806" s="206"/>
      <c r="E806" s="206"/>
      <c r="F806" s="206"/>
    </row>
    <row r="807" spans="3:6">
      <c r="C807" s="206"/>
      <c r="E807" s="206"/>
      <c r="F807" s="206"/>
    </row>
    <row r="808" spans="3:6">
      <c r="C808" s="206"/>
      <c r="E808" s="206"/>
      <c r="F808" s="206"/>
    </row>
    <row r="809" spans="3:6">
      <c r="C809" s="206"/>
      <c r="E809" s="206"/>
      <c r="F809" s="206"/>
    </row>
    <row r="810" spans="3:6">
      <c r="C810" s="206"/>
      <c r="E810" s="206"/>
      <c r="F810" s="206"/>
    </row>
    <row r="811" spans="3:6">
      <c r="C811" s="206"/>
      <c r="E811" s="206"/>
      <c r="F811" s="206"/>
    </row>
    <row r="812" spans="3:6">
      <c r="C812" s="206"/>
      <c r="E812" s="206"/>
      <c r="F812" s="206"/>
    </row>
    <row r="813" spans="3:6">
      <c r="C813" s="206"/>
      <c r="E813" s="206"/>
      <c r="F813" s="206"/>
    </row>
    <row r="814" spans="3:6">
      <c r="C814" s="206"/>
      <c r="E814" s="206"/>
      <c r="F814" s="206"/>
    </row>
    <row r="815" spans="3:6">
      <c r="C815" s="206"/>
      <c r="E815" s="206"/>
      <c r="F815" s="206"/>
    </row>
    <row r="816" spans="3:6">
      <c r="C816" s="206"/>
      <c r="E816" s="206"/>
      <c r="F816" s="206"/>
    </row>
    <row r="817" spans="3:6">
      <c r="C817" s="206"/>
      <c r="E817" s="206"/>
      <c r="F817" s="206"/>
    </row>
    <row r="818" spans="3:6">
      <c r="C818" s="206"/>
      <c r="E818" s="206"/>
      <c r="F818" s="206"/>
    </row>
    <row r="819" spans="3:6">
      <c r="C819" s="206"/>
      <c r="E819" s="206"/>
      <c r="F819" s="206"/>
    </row>
    <row r="820" spans="3:6">
      <c r="C820" s="206"/>
      <c r="E820" s="206"/>
      <c r="F820" s="206"/>
    </row>
    <row r="821" spans="3:6">
      <c r="C821" s="206"/>
      <c r="E821" s="206"/>
      <c r="F821" s="206"/>
    </row>
    <row r="822" spans="3:6">
      <c r="C822" s="206"/>
      <c r="E822" s="206"/>
      <c r="F822" s="206"/>
    </row>
    <row r="823" spans="3:6">
      <c r="C823" s="206"/>
      <c r="E823" s="206"/>
      <c r="F823" s="206"/>
    </row>
    <row r="824" spans="3:6">
      <c r="C824" s="206"/>
      <c r="E824" s="206"/>
      <c r="F824" s="206"/>
    </row>
    <row r="825" spans="3:6">
      <c r="C825" s="206"/>
      <c r="E825" s="206"/>
      <c r="F825" s="206"/>
    </row>
    <row r="826" spans="3:6">
      <c r="C826" s="206"/>
      <c r="E826" s="206"/>
      <c r="F826" s="206"/>
    </row>
    <row r="827" spans="3:6">
      <c r="C827" s="206"/>
      <c r="E827" s="206"/>
      <c r="F827" s="206"/>
    </row>
    <row r="828" spans="3:6">
      <c r="C828" s="206"/>
      <c r="E828" s="206"/>
      <c r="F828" s="206"/>
    </row>
    <row r="829" spans="3:6">
      <c r="C829" s="206"/>
      <c r="E829" s="206"/>
      <c r="F829" s="206"/>
    </row>
    <row r="830" spans="3:6">
      <c r="C830" s="206"/>
      <c r="E830" s="206"/>
      <c r="F830" s="206"/>
    </row>
    <row r="831" spans="3:6">
      <c r="C831" s="206"/>
      <c r="E831" s="206"/>
      <c r="F831" s="206"/>
    </row>
    <row r="832" spans="3:6">
      <c r="C832" s="206"/>
      <c r="E832" s="206"/>
      <c r="F832" s="206"/>
    </row>
    <row r="833" spans="3:6">
      <c r="C833" s="206"/>
      <c r="E833" s="206"/>
      <c r="F833" s="206"/>
    </row>
    <row r="834" spans="3:6">
      <c r="C834" s="206"/>
      <c r="E834" s="206"/>
      <c r="F834" s="206"/>
    </row>
    <row r="835" spans="3:6">
      <c r="C835" s="206"/>
      <c r="E835" s="206"/>
      <c r="F835" s="206"/>
    </row>
    <row r="836" spans="3:6">
      <c r="C836" s="206"/>
      <c r="E836" s="206"/>
      <c r="F836" s="206"/>
    </row>
    <row r="837" spans="3:6">
      <c r="C837" s="206"/>
      <c r="E837" s="206"/>
      <c r="F837" s="206"/>
    </row>
    <row r="838" spans="3:6">
      <c r="C838" s="206"/>
      <c r="E838" s="206"/>
      <c r="F838" s="206"/>
    </row>
    <row r="839" spans="3:6">
      <c r="C839" s="206"/>
      <c r="E839" s="206"/>
      <c r="F839" s="206"/>
    </row>
    <row r="840" spans="3:6">
      <c r="C840" s="206"/>
      <c r="E840" s="206"/>
      <c r="F840" s="206"/>
    </row>
    <row r="841" spans="3:6">
      <c r="C841" s="206"/>
      <c r="E841" s="206"/>
      <c r="F841" s="206"/>
    </row>
    <row r="842" spans="3:6">
      <c r="C842" s="206"/>
      <c r="E842" s="206"/>
      <c r="F842" s="206"/>
    </row>
    <row r="843" spans="3:6">
      <c r="C843" s="206"/>
      <c r="E843" s="206"/>
      <c r="F843" s="206"/>
    </row>
    <row r="844" spans="3:6">
      <c r="C844" s="206"/>
      <c r="E844" s="206"/>
      <c r="F844" s="206"/>
    </row>
    <row r="845" spans="3:6">
      <c r="C845" s="206"/>
      <c r="E845" s="206"/>
      <c r="F845" s="206"/>
    </row>
    <row r="846" spans="3:6">
      <c r="C846" s="206"/>
      <c r="E846" s="206"/>
      <c r="F846" s="206"/>
    </row>
    <row r="847" spans="3:6">
      <c r="C847" s="206"/>
      <c r="E847" s="206"/>
      <c r="F847" s="206"/>
    </row>
    <row r="848" spans="3:6">
      <c r="C848" s="206"/>
      <c r="E848" s="206"/>
      <c r="F848" s="206"/>
    </row>
    <row r="849" spans="3:6">
      <c r="C849" s="206"/>
      <c r="E849" s="206"/>
      <c r="F849" s="206"/>
    </row>
    <row r="850" spans="3:6">
      <c r="C850" s="206"/>
      <c r="E850" s="206"/>
      <c r="F850" s="206"/>
    </row>
    <row r="851" spans="3:6">
      <c r="C851" s="206"/>
      <c r="E851" s="206"/>
      <c r="F851" s="206"/>
    </row>
    <row r="852" spans="3:6">
      <c r="C852" s="206"/>
      <c r="E852" s="206"/>
      <c r="F852" s="206"/>
    </row>
    <row r="853" spans="3:6">
      <c r="C853" s="206"/>
      <c r="E853" s="206"/>
      <c r="F853" s="206"/>
    </row>
    <row r="854" spans="3:6">
      <c r="C854" s="206"/>
      <c r="E854" s="206"/>
      <c r="F854" s="206"/>
    </row>
    <row r="855" spans="3:6">
      <c r="C855" s="206"/>
      <c r="E855" s="206"/>
      <c r="F855" s="206"/>
    </row>
    <row r="856" spans="3:6">
      <c r="C856" s="206"/>
      <c r="E856" s="206"/>
      <c r="F856" s="206"/>
    </row>
    <row r="857" spans="3:6">
      <c r="C857" s="206"/>
      <c r="E857" s="206"/>
      <c r="F857" s="206"/>
    </row>
    <row r="858" spans="3:6">
      <c r="C858" s="206"/>
      <c r="E858" s="206"/>
      <c r="F858" s="206"/>
    </row>
    <row r="859" spans="3:6">
      <c r="C859" s="206"/>
      <c r="E859" s="206"/>
      <c r="F859" s="206"/>
    </row>
    <row r="860" spans="3:6">
      <c r="C860" s="206"/>
      <c r="E860" s="206"/>
      <c r="F860" s="206"/>
    </row>
    <row r="861" spans="3:6">
      <c r="C861" s="206"/>
      <c r="E861" s="206"/>
      <c r="F861" s="206"/>
    </row>
    <row r="862" spans="3:6">
      <c r="C862" s="206"/>
      <c r="E862" s="206"/>
      <c r="F862" s="206"/>
    </row>
    <row r="863" spans="3:6">
      <c r="C863" s="206"/>
      <c r="E863" s="206"/>
      <c r="F863" s="206"/>
    </row>
    <row r="864" spans="3:6">
      <c r="C864" s="206"/>
      <c r="E864" s="206"/>
      <c r="F864" s="206"/>
    </row>
    <row r="865" spans="3:6">
      <c r="C865" s="206"/>
      <c r="E865" s="206"/>
      <c r="F865" s="206"/>
    </row>
    <row r="866" spans="3:6">
      <c r="C866" s="206"/>
      <c r="E866" s="206"/>
      <c r="F866" s="206"/>
    </row>
    <row r="867" spans="3:6">
      <c r="C867" s="206"/>
      <c r="E867" s="206"/>
      <c r="F867" s="206"/>
    </row>
    <row r="868" spans="3:6">
      <c r="C868" s="206"/>
      <c r="E868" s="206"/>
      <c r="F868" s="206"/>
    </row>
    <row r="869" spans="3:6">
      <c r="C869" s="206"/>
      <c r="E869" s="206"/>
      <c r="F869" s="206"/>
    </row>
    <row r="870" spans="3:6">
      <c r="C870" s="206"/>
      <c r="E870" s="206"/>
      <c r="F870" s="206"/>
    </row>
    <row r="871" spans="3:6">
      <c r="C871" s="206"/>
      <c r="E871" s="206"/>
      <c r="F871" s="206"/>
    </row>
    <row r="872" spans="3:6">
      <c r="C872" s="206"/>
      <c r="E872" s="206"/>
      <c r="F872" s="206"/>
    </row>
    <row r="873" spans="3:6">
      <c r="C873" s="206"/>
      <c r="E873" s="206"/>
      <c r="F873" s="206"/>
    </row>
    <row r="874" spans="3:6">
      <c r="C874" s="206"/>
      <c r="E874" s="206"/>
      <c r="F874" s="206"/>
    </row>
    <row r="875" spans="3:6">
      <c r="C875" s="206"/>
      <c r="E875" s="206"/>
      <c r="F875" s="206"/>
    </row>
    <row r="876" spans="3:6">
      <c r="C876" s="206"/>
      <c r="E876" s="206"/>
      <c r="F876" s="206"/>
    </row>
    <row r="877" spans="3:6">
      <c r="C877" s="206"/>
      <c r="E877" s="206"/>
      <c r="F877" s="206"/>
    </row>
    <row r="878" spans="3:6">
      <c r="C878" s="206"/>
      <c r="E878" s="206"/>
      <c r="F878" s="206"/>
    </row>
    <row r="879" spans="3:6">
      <c r="C879" s="206"/>
      <c r="E879" s="206"/>
      <c r="F879" s="206"/>
    </row>
    <row r="880" spans="3:6">
      <c r="C880" s="206"/>
      <c r="E880" s="206"/>
      <c r="F880" s="206"/>
    </row>
    <row r="881" spans="3:6">
      <c r="C881" s="206"/>
      <c r="E881" s="206"/>
      <c r="F881" s="206"/>
    </row>
    <row r="882" spans="3:6">
      <c r="C882" s="206"/>
      <c r="E882" s="206"/>
      <c r="F882" s="206"/>
    </row>
    <row r="883" spans="3:6">
      <c r="C883" s="206"/>
      <c r="E883" s="206"/>
      <c r="F883" s="206"/>
    </row>
    <row r="884" spans="3:6">
      <c r="C884" s="206"/>
      <c r="E884" s="206"/>
      <c r="F884" s="206"/>
    </row>
    <row r="885" spans="3:6">
      <c r="C885" s="206"/>
      <c r="E885" s="206"/>
      <c r="F885" s="206"/>
    </row>
    <row r="886" spans="3:6">
      <c r="C886" s="206"/>
      <c r="E886" s="206"/>
      <c r="F886" s="206"/>
    </row>
    <row r="887" spans="3:6">
      <c r="C887" s="206"/>
      <c r="E887" s="206"/>
      <c r="F887" s="206"/>
    </row>
    <row r="888" spans="3:6">
      <c r="C888" s="206"/>
      <c r="E888" s="206"/>
      <c r="F888" s="206"/>
    </row>
    <row r="889" spans="3:6">
      <c r="C889" s="206"/>
      <c r="E889" s="206"/>
      <c r="F889" s="206"/>
    </row>
    <row r="890" spans="3:6">
      <c r="C890" s="206"/>
      <c r="E890" s="206"/>
      <c r="F890" s="206"/>
    </row>
    <row r="891" spans="3:6">
      <c r="C891" s="206"/>
      <c r="E891" s="206"/>
      <c r="F891" s="206"/>
    </row>
    <row r="892" spans="3:6">
      <c r="C892" s="206"/>
      <c r="E892" s="206"/>
      <c r="F892" s="206"/>
    </row>
    <row r="893" spans="3:6">
      <c r="C893" s="206"/>
      <c r="E893" s="206"/>
      <c r="F893" s="206"/>
    </row>
    <row r="894" spans="3:6">
      <c r="C894" s="206"/>
      <c r="E894" s="206"/>
      <c r="F894" s="206"/>
    </row>
    <row r="895" spans="3:6">
      <c r="C895" s="206"/>
      <c r="E895" s="206"/>
      <c r="F895" s="206"/>
    </row>
    <row r="896" spans="3:6">
      <c r="C896" s="206"/>
      <c r="E896" s="206"/>
      <c r="F896" s="206"/>
    </row>
    <row r="897" spans="3:6">
      <c r="C897" s="206"/>
      <c r="E897" s="206"/>
      <c r="F897" s="206"/>
    </row>
    <row r="898" spans="3:6">
      <c r="C898" s="206"/>
      <c r="E898" s="206"/>
      <c r="F898" s="206"/>
    </row>
    <row r="899" spans="3:6">
      <c r="C899" s="206"/>
      <c r="E899" s="206"/>
      <c r="F899" s="206"/>
    </row>
    <row r="900" spans="3:6">
      <c r="C900" s="206"/>
      <c r="E900" s="206"/>
      <c r="F900" s="206"/>
    </row>
    <row r="901" spans="3:6">
      <c r="C901" s="206"/>
      <c r="E901" s="206"/>
      <c r="F901" s="206"/>
    </row>
    <row r="902" spans="3:6">
      <c r="C902" s="206"/>
      <c r="E902" s="206"/>
      <c r="F902" s="206"/>
    </row>
    <row r="903" spans="3:6">
      <c r="C903" s="206"/>
      <c r="E903" s="206"/>
      <c r="F903" s="206"/>
    </row>
    <row r="904" spans="3:6">
      <c r="C904" s="206"/>
      <c r="E904" s="206"/>
      <c r="F904" s="206"/>
    </row>
    <row r="905" spans="3:6">
      <c r="C905" s="206"/>
      <c r="E905" s="206"/>
      <c r="F905" s="206"/>
    </row>
    <row r="906" spans="3:6">
      <c r="C906" s="206"/>
      <c r="E906" s="206"/>
      <c r="F906" s="206"/>
    </row>
    <row r="907" spans="3:6">
      <c r="C907" s="206"/>
      <c r="E907" s="206"/>
      <c r="F907" s="206"/>
    </row>
    <row r="908" spans="3:6">
      <c r="C908" s="206"/>
      <c r="E908" s="206"/>
      <c r="F908" s="206"/>
    </row>
    <row r="909" spans="3:6">
      <c r="C909" s="206"/>
      <c r="E909" s="206"/>
      <c r="F909" s="206"/>
    </row>
    <row r="910" spans="3:6">
      <c r="C910" s="206"/>
      <c r="E910" s="206"/>
      <c r="F910" s="206"/>
    </row>
    <row r="911" spans="3:6">
      <c r="C911" s="206"/>
      <c r="E911" s="206"/>
      <c r="F911" s="206"/>
    </row>
    <row r="912" spans="3:6">
      <c r="C912" s="206"/>
      <c r="E912" s="206"/>
      <c r="F912" s="206"/>
    </row>
    <row r="913" spans="3:6">
      <c r="C913" s="206"/>
      <c r="E913" s="206"/>
      <c r="F913" s="206"/>
    </row>
    <row r="914" spans="3:6">
      <c r="C914" s="206"/>
      <c r="E914" s="206"/>
      <c r="F914" s="206"/>
    </row>
    <row r="915" spans="3:6">
      <c r="C915" s="206"/>
      <c r="E915" s="206"/>
      <c r="F915" s="206"/>
    </row>
    <row r="916" spans="3:6">
      <c r="C916" s="206"/>
      <c r="E916" s="206"/>
      <c r="F916" s="206"/>
    </row>
    <row r="917" spans="3:6">
      <c r="C917" s="206"/>
      <c r="E917" s="206"/>
      <c r="F917" s="206"/>
    </row>
    <row r="918" spans="3:6">
      <c r="C918" s="206"/>
      <c r="E918" s="206"/>
      <c r="F918" s="206"/>
    </row>
    <row r="919" spans="3:6">
      <c r="C919" s="206"/>
      <c r="E919" s="206"/>
      <c r="F919" s="206"/>
    </row>
    <row r="920" spans="3:6">
      <c r="C920" s="206"/>
      <c r="E920" s="206"/>
      <c r="F920" s="206"/>
    </row>
    <row r="921" spans="3:6">
      <c r="C921" s="206"/>
      <c r="E921" s="206"/>
      <c r="F921" s="206"/>
    </row>
    <row r="922" spans="3:6">
      <c r="C922" s="206"/>
      <c r="E922" s="206"/>
      <c r="F922" s="206"/>
    </row>
    <row r="923" spans="3:6">
      <c r="C923" s="206"/>
      <c r="E923" s="206"/>
      <c r="F923" s="206"/>
    </row>
    <row r="924" spans="3:6">
      <c r="C924" s="206"/>
      <c r="E924" s="206"/>
      <c r="F924" s="206"/>
    </row>
    <row r="925" spans="3:6">
      <c r="C925" s="206"/>
      <c r="E925" s="206"/>
      <c r="F925" s="206"/>
    </row>
    <row r="926" spans="3:6">
      <c r="C926" s="206"/>
      <c r="E926" s="206"/>
      <c r="F926" s="206"/>
    </row>
    <row r="927" spans="3:6">
      <c r="C927" s="206"/>
      <c r="E927" s="206"/>
      <c r="F927" s="206"/>
    </row>
    <row r="928" spans="3:6">
      <c r="C928" s="206"/>
      <c r="E928" s="206"/>
      <c r="F928" s="206"/>
    </row>
    <row r="929" spans="3:6">
      <c r="C929" s="206"/>
      <c r="E929" s="206"/>
      <c r="F929" s="206"/>
    </row>
    <row r="930" spans="3:6">
      <c r="C930" s="206"/>
      <c r="E930" s="206"/>
      <c r="F930" s="206"/>
    </row>
    <row r="931" spans="3:6">
      <c r="C931" s="206"/>
      <c r="E931" s="206"/>
      <c r="F931" s="206"/>
    </row>
    <row r="932" spans="3:6">
      <c r="C932" s="206"/>
      <c r="E932" s="206"/>
      <c r="F932" s="206"/>
    </row>
    <row r="933" spans="3:6">
      <c r="C933" s="206"/>
      <c r="E933" s="206"/>
      <c r="F933" s="206"/>
    </row>
    <row r="934" spans="3:6">
      <c r="C934" s="206"/>
      <c r="E934" s="206"/>
      <c r="F934" s="206"/>
    </row>
    <row r="935" spans="3:6">
      <c r="C935" s="206"/>
      <c r="E935" s="206"/>
      <c r="F935" s="206"/>
    </row>
    <row r="936" spans="3:6">
      <c r="C936" s="206"/>
      <c r="E936" s="206"/>
      <c r="F936" s="206"/>
    </row>
    <row r="937" spans="3:6">
      <c r="C937" s="206"/>
      <c r="E937" s="206"/>
      <c r="F937" s="206"/>
    </row>
    <row r="938" spans="3:6">
      <c r="C938" s="206"/>
      <c r="E938" s="206"/>
      <c r="F938" s="206"/>
    </row>
    <row r="939" spans="3:6">
      <c r="C939" s="206"/>
      <c r="E939" s="206"/>
      <c r="F939" s="206"/>
    </row>
    <row r="940" spans="3:6">
      <c r="C940" s="206"/>
      <c r="E940" s="206"/>
      <c r="F940" s="206"/>
    </row>
    <row r="941" spans="3:6">
      <c r="C941" s="206"/>
      <c r="E941" s="206"/>
      <c r="F941" s="206"/>
    </row>
    <row r="942" spans="3:6">
      <c r="C942" s="206"/>
      <c r="E942" s="206"/>
      <c r="F942" s="206"/>
    </row>
    <row r="943" spans="3:6">
      <c r="C943" s="206"/>
      <c r="E943" s="206"/>
      <c r="F943" s="206"/>
    </row>
    <row r="944" spans="3:6">
      <c r="C944" s="206"/>
      <c r="E944" s="206"/>
      <c r="F944" s="206"/>
    </row>
    <row r="945" spans="3:6">
      <c r="C945" s="206"/>
      <c r="E945" s="206"/>
      <c r="F945" s="206"/>
    </row>
    <row r="946" spans="3:6">
      <c r="C946" s="206"/>
      <c r="E946" s="206"/>
      <c r="F946" s="206"/>
    </row>
    <row r="947" spans="3:6">
      <c r="C947" s="206"/>
      <c r="E947" s="206"/>
      <c r="F947" s="206"/>
    </row>
    <row r="948" spans="3:6">
      <c r="C948" s="206"/>
      <c r="E948" s="206"/>
      <c r="F948" s="206"/>
    </row>
    <row r="949" spans="3:6">
      <c r="C949" s="206"/>
      <c r="E949" s="206"/>
      <c r="F949" s="206"/>
    </row>
    <row r="950" spans="3:6">
      <c r="C950" s="206"/>
      <c r="E950" s="206"/>
      <c r="F950" s="206"/>
    </row>
    <row r="951" spans="3:6">
      <c r="C951" s="206"/>
      <c r="E951" s="206"/>
      <c r="F951" s="206"/>
    </row>
    <row r="952" spans="3:6">
      <c r="C952" s="206"/>
      <c r="E952" s="206"/>
      <c r="F952" s="206"/>
    </row>
    <row r="953" spans="3:6">
      <c r="C953" s="206"/>
      <c r="E953" s="206"/>
      <c r="F953" s="206"/>
    </row>
    <row r="954" spans="3:6">
      <c r="C954" s="206"/>
      <c r="E954" s="206"/>
      <c r="F954" s="206"/>
    </row>
    <row r="955" spans="3:6">
      <c r="C955" s="206"/>
      <c r="E955" s="206"/>
      <c r="F955" s="206"/>
    </row>
    <row r="956" spans="3:6">
      <c r="C956" s="206"/>
      <c r="E956" s="206"/>
      <c r="F956" s="206"/>
    </row>
    <row r="957" spans="3:6">
      <c r="C957" s="206"/>
      <c r="E957" s="206"/>
      <c r="F957" s="206"/>
    </row>
    <row r="958" spans="3:6">
      <c r="C958" s="206"/>
      <c r="E958" s="206"/>
      <c r="F958" s="206"/>
    </row>
    <row r="959" spans="3:6">
      <c r="C959" s="206"/>
      <c r="E959" s="206"/>
      <c r="F959" s="206"/>
    </row>
    <row r="960" spans="3:6">
      <c r="C960" s="206"/>
      <c r="E960" s="206"/>
      <c r="F960" s="206"/>
    </row>
    <row r="961" spans="3:6">
      <c r="C961" s="206"/>
      <c r="E961" s="206"/>
      <c r="F961" s="206"/>
    </row>
    <row r="962" spans="3:6">
      <c r="C962" s="206"/>
      <c r="E962" s="206"/>
      <c r="F962" s="206"/>
    </row>
    <row r="963" spans="3:6">
      <c r="C963" s="206"/>
      <c r="E963" s="206"/>
      <c r="F963" s="206"/>
    </row>
    <row r="964" spans="3:6">
      <c r="C964" s="206"/>
      <c r="E964" s="206"/>
      <c r="F964" s="206"/>
    </row>
    <row r="965" spans="3:6">
      <c r="C965" s="206"/>
      <c r="E965" s="206"/>
      <c r="F965" s="206"/>
    </row>
    <row r="966" spans="3:6">
      <c r="C966" s="206"/>
      <c r="E966" s="206"/>
      <c r="F966" s="206"/>
    </row>
    <row r="967" spans="3:6">
      <c r="C967" s="206"/>
      <c r="E967" s="206"/>
      <c r="F967" s="206"/>
    </row>
    <row r="968" spans="3:6">
      <c r="C968" s="206"/>
      <c r="E968" s="206"/>
      <c r="F968" s="206"/>
    </row>
    <row r="969" spans="3:6">
      <c r="C969" s="206"/>
      <c r="E969" s="206"/>
      <c r="F969" s="206"/>
    </row>
    <row r="970" spans="3:6">
      <c r="C970" s="206"/>
      <c r="E970" s="206"/>
      <c r="F970" s="206"/>
    </row>
    <row r="971" spans="3:6">
      <c r="C971" s="206"/>
      <c r="E971" s="206"/>
      <c r="F971" s="206"/>
    </row>
    <row r="972" spans="3:6">
      <c r="C972" s="206"/>
      <c r="E972" s="206"/>
      <c r="F972" s="206"/>
    </row>
    <row r="973" spans="3:6">
      <c r="C973" s="206"/>
      <c r="E973" s="206"/>
      <c r="F973" s="206"/>
    </row>
    <row r="974" spans="3:6">
      <c r="C974" s="206"/>
      <c r="E974" s="206"/>
      <c r="F974" s="206"/>
    </row>
    <row r="975" spans="3:6">
      <c r="C975" s="206"/>
      <c r="E975" s="206"/>
      <c r="F975" s="206"/>
    </row>
    <row r="976" spans="3:6">
      <c r="C976" s="206"/>
      <c r="E976" s="206"/>
      <c r="F976" s="206"/>
    </row>
    <row r="977" spans="3:6">
      <c r="C977" s="206"/>
      <c r="E977" s="206"/>
      <c r="F977" s="206"/>
    </row>
    <row r="978" spans="3:6">
      <c r="C978" s="206"/>
      <c r="E978" s="206"/>
      <c r="F978" s="206"/>
    </row>
    <row r="979" spans="3:6">
      <c r="C979" s="206"/>
      <c r="E979" s="206"/>
      <c r="F979" s="206"/>
    </row>
    <row r="980" spans="3:6">
      <c r="C980" s="206"/>
      <c r="E980" s="206"/>
      <c r="F980" s="206"/>
    </row>
    <row r="981" spans="3:6">
      <c r="C981" s="206"/>
      <c r="E981" s="206"/>
      <c r="F981" s="206"/>
    </row>
    <row r="982" spans="3:6">
      <c r="C982" s="206"/>
      <c r="E982" s="206"/>
      <c r="F982" s="206"/>
    </row>
    <row r="983" spans="3:6">
      <c r="C983" s="206"/>
      <c r="E983" s="206"/>
      <c r="F983" s="206"/>
    </row>
    <row r="984" spans="3:6">
      <c r="C984" s="206"/>
      <c r="E984" s="206"/>
      <c r="F984" s="206"/>
    </row>
    <row r="985" spans="3:6">
      <c r="C985" s="206"/>
      <c r="E985" s="206"/>
      <c r="F985" s="206"/>
    </row>
    <row r="986" spans="3:6">
      <c r="C986" s="206"/>
      <c r="E986" s="206"/>
      <c r="F986" s="206"/>
    </row>
    <row r="987" spans="3:6">
      <c r="C987" s="206"/>
      <c r="E987" s="206"/>
      <c r="F987" s="206"/>
    </row>
    <row r="988" spans="3:6">
      <c r="C988" s="206"/>
      <c r="E988" s="206"/>
      <c r="F988" s="206"/>
    </row>
    <row r="989" spans="3:6">
      <c r="C989" s="206"/>
      <c r="E989" s="206"/>
      <c r="F989" s="206"/>
    </row>
    <row r="990" spans="3:6">
      <c r="C990" s="206"/>
      <c r="E990" s="206"/>
      <c r="F990" s="206"/>
    </row>
    <row r="991" spans="3:6">
      <c r="C991" s="206"/>
      <c r="E991" s="206"/>
      <c r="F991" s="206"/>
    </row>
    <row r="992" spans="3:6">
      <c r="C992" s="206"/>
      <c r="E992" s="206"/>
      <c r="F992" s="206"/>
    </row>
    <row r="993" spans="3:6">
      <c r="C993" s="206"/>
      <c r="E993" s="206"/>
      <c r="F993" s="206"/>
    </row>
    <row r="994" spans="3:6">
      <c r="C994" s="206"/>
      <c r="E994" s="206"/>
      <c r="F994" s="206"/>
    </row>
    <row r="995" spans="3:6">
      <c r="C995" s="206"/>
      <c r="E995" s="206"/>
      <c r="F995" s="206"/>
    </row>
    <row r="996" spans="3:6">
      <c r="C996" s="206"/>
      <c r="E996" s="206"/>
      <c r="F996" s="206"/>
    </row>
    <row r="997" spans="3:6">
      <c r="C997" s="206"/>
      <c r="E997" s="206"/>
      <c r="F997" s="206"/>
    </row>
    <row r="998" spans="3:6">
      <c r="C998" s="206"/>
      <c r="E998" s="206"/>
      <c r="F998" s="206"/>
    </row>
    <row r="999" spans="3:6">
      <c r="C999" s="206"/>
      <c r="E999" s="206"/>
      <c r="F999" s="206"/>
    </row>
    <row r="1000" spans="3:6">
      <c r="C1000" s="206"/>
      <c r="E1000" s="206"/>
      <c r="F1000" s="206"/>
    </row>
    <row r="1001" spans="3:6">
      <c r="C1001" s="206"/>
      <c r="E1001" s="206"/>
      <c r="F1001" s="206"/>
    </row>
    <row r="1002" spans="3:6">
      <c r="C1002" s="206"/>
      <c r="E1002" s="206"/>
      <c r="F1002" s="206"/>
    </row>
    <row r="1003" spans="3:6">
      <c r="C1003" s="206"/>
      <c r="E1003" s="206"/>
      <c r="F1003" s="206"/>
    </row>
    <row r="1004" spans="3:6">
      <c r="C1004" s="206"/>
      <c r="E1004" s="206"/>
      <c r="F1004" s="206"/>
    </row>
    <row r="1005" spans="3:6">
      <c r="C1005" s="206"/>
      <c r="E1005" s="206"/>
      <c r="F1005" s="206"/>
    </row>
    <row r="1006" spans="3:6">
      <c r="C1006" s="206"/>
      <c r="E1006" s="206"/>
      <c r="F1006" s="206"/>
    </row>
    <row r="1007" spans="3:6">
      <c r="C1007" s="206"/>
      <c r="E1007" s="206"/>
      <c r="F1007" s="206"/>
    </row>
    <row r="1008" spans="3:6">
      <c r="C1008" s="206"/>
      <c r="E1008" s="206"/>
      <c r="F1008" s="206"/>
    </row>
    <row r="1009" spans="3:6">
      <c r="C1009" s="206"/>
      <c r="E1009" s="206"/>
      <c r="F1009" s="206"/>
    </row>
    <row r="1010" spans="3:6">
      <c r="C1010" s="206"/>
      <c r="E1010" s="206"/>
      <c r="F1010" s="206"/>
    </row>
    <row r="1011" spans="3:6">
      <c r="C1011" s="206"/>
      <c r="E1011" s="206"/>
      <c r="F1011" s="206"/>
    </row>
    <row r="1012" spans="3:6">
      <c r="C1012" s="206"/>
      <c r="E1012" s="206"/>
      <c r="F1012" s="206"/>
    </row>
    <row r="1013" spans="3:6">
      <c r="C1013" s="206"/>
      <c r="E1013" s="206"/>
      <c r="F1013" s="206"/>
    </row>
    <row r="1014" spans="3:6">
      <c r="C1014" s="206"/>
      <c r="E1014" s="206"/>
      <c r="F1014" s="206"/>
    </row>
    <row r="1015" spans="3:6">
      <c r="C1015" s="206"/>
      <c r="E1015" s="206"/>
      <c r="F1015" s="206"/>
    </row>
    <row r="1016" spans="3:6">
      <c r="C1016" s="206"/>
      <c r="E1016" s="206"/>
      <c r="F1016" s="206"/>
    </row>
    <row r="1017" spans="3:6">
      <c r="C1017" s="206"/>
      <c r="E1017" s="206"/>
      <c r="F1017" s="206"/>
    </row>
    <row r="1018" spans="3:6">
      <c r="C1018" s="206"/>
      <c r="E1018" s="206"/>
      <c r="F1018" s="206"/>
    </row>
    <row r="1019" spans="3:6">
      <c r="C1019" s="206"/>
      <c r="E1019" s="206"/>
      <c r="F1019" s="206"/>
    </row>
    <row r="1020" spans="3:6">
      <c r="E1020" s="206"/>
      <c r="F1020" s="206"/>
    </row>
    <row r="1021" spans="3:6">
      <c r="E1021" s="206"/>
      <c r="F1021" s="206"/>
    </row>
    <row r="1022" spans="3:6">
      <c r="E1022" s="206"/>
      <c r="F1022" s="206"/>
    </row>
    <row r="1023" spans="3:6">
      <c r="E1023" s="206"/>
      <c r="F1023" s="206"/>
    </row>
    <row r="1024" spans="3:6">
      <c r="E1024" s="206"/>
      <c r="F1024" s="206"/>
    </row>
    <row r="1025" spans="5:6">
      <c r="E1025" s="206"/>
      <c r="F1025" s="206"/>
    </row>
    <row r="1026" spans="5:6">
      <c r="E1026" s="206"/>
      <c r="F1026" s="206"/>
    </row>
    <row r="1027" spans="5:6">
      <c r="E1027" s="206"/>
      <c r="F1027" s="206"/>
    </row>
    <row r="1028" spans="5:6">
      <c r="E1028" s="206"/>
      <c r="F1028" s="206"/>
    </row>
    <row r="1029" spans="5:6">
      <c r="E1029" s="206"/>
      <c r="F1029" s="206"/>
    </row>
    <row r="1030" spans="5:6">
      <c r="E1030" s="206"/>
      <c r="F1030" s="206"/>
    </row>
    <row r="1031" spans="5:6">
      <c r="E1031" s="206"/>
      <c r="F1031" s="206"/>
    </row>
    <row r="1032" spans="5:6">
      <c r="E1032" s="206"/>
      <c r="F1032" s="206"/>
    </row>
    <row r="1033" spans="5:6">
      <c r="E1033" s="206"/>
      <c r="F1033" s="206"/>
    </row>
    <row r="1034" spans="5:6">
      <c r="E1034" s="206"/>
      <c r="F1034" s="206"/>
    </row>
    <row r="1035" spans="5:6">
      <c r="E1035" s="206"/>
      <c r="F1035" s="206"/>
    </row>
    <row r="1036" spans="5:6">
      <c r="E1036" s="206"/>
      <c r="F1036" s="206"/>
    </row>
    <row r="1037" spans="5:6">
      <c r="E1037" s="206"/>
      <c r="F1037" s="206"/>
    </row>
    <row r="1038" spans="5:6">
      <c r="E1038" s="206"/>
      <c r="F1038" s="206"/>
    </row>
    <row r="1039" spans="5:6">
      <c r="E1039" s="206"/>
      <c r="F1039" s="206"/>
    </row>
    <row r="1040" spans="5:6">
      <c r="E1040" s="206"/>
      <c r="F1040" s="206"/>
    </row>
    <row r="1041" spans="5:6">
      <c r="E1041" s="206"/>
      <c r="F1041" s="206"/>
    </row>
    <row r="1042" spans="5:6">
      <c r="E1042" s="206"/>
      <c r="F1042" s="206"/>
    </row>
    <row r="1043" spans="5:6">
      <c r="E1043" s="206"/>
      <c r="F1043" s="206"/>
    </row>
    <row r="1044" spans="5:6">
      <c r="E1044" s="206"/>
      <c r="F1044" s="206"/>
    </row>
    <row r="1045" spans="5:6">
      <c r="E1045" s="206"/>
      <c r="F1045" s="206"/>
    </row>
    <row r="1046" spans="5:6">
      <c r="E1046" s="206"/>
      <c r="F1046" s="206"/>
    </row>
    <row r="1047" spans="5:6">
      <c r="E1047" s="206"/>
      <c r="F1047" s="206"/>
    </row>
    <row r="1048" spans="5:6">
      <c r="E1048" s="206"/>
      <c r="F1048" s="206"/>
    </row>
    <row r="1049" spans="5:6">
      <c r="E1049" s="206"/>
      <c r="F1049" s="206"/>
    </row>
    <row r="1050" spans="5:6">
      <c r="E1050" s="206"/>
      <c r="F1050" s="206"/>
    </row>
    <row r="1051" spans="5:6">
      <c r="E1051" s="206"/>
      <c r="F1051" s="206"/>
    </row>
    <row r="1052" spans="5:6">
      <c r="E1052" s="206"/>
      <c r="F1052" s="206"/>
    </row>
    <row r="1053" spans="5:6">
      <c r="E1053" s="206"/>
      <c r="F1053" s="206"/>
    </row>
    <row r="1054" spans="5:6">
      <c r="E1054" s="206"/>
      <c r="F1054" s="206"/>
    </row>
    <row r="1055" spans="5:6">
      <c r="E1055" s="206"/>
      <c r="F1055" s="206"/>
    </row>
    <row r="1056" spans="5:6">
      <c r="E1056" s="206"/>
      <c r="F1056" s="206"/>
    </row>
    <row r="1057" spans="5:6">
      <c r="E1057" s="206"/>
      <c r="F1057" s="206"/>
    </row>
    <row r="1058" spans="5:6">
      <c r="E1058" s="206"/>
      <c r="F1058" s="206"/>
    </row>
    <row r="1059" spans="5:6">
      <c r="E1059" s="206"/>
      <c r="F1059" s="206"/>
    </row>
    <row r="1060" spans="5:6">
      <c r="E1060" s="206"/>
      <c r="F1060" s="206"/>
    </row>
    <row r="1061" spans="5:6">
      <c r="E1061" s="206"/>
      <c r="F1061" s="206"/>
    </row>
    <row r="1062" spans="5:6">
      <c r="E1062" s="206"/>
      <c r="F1062" s="206"/>
    </row>
    <row r="1063" spans="5:6">
      <c r="E1063" s="206"/>
      <c r="F1063" s="206"/>
    </row>
    <row r="1064" spans="5:6">
      <c r="E1064" s="206"/>
      <c r="F1064" s="206"/>
    </row>
    <row r="1065" spans="5:6">
      <c r="E1065" s="206"/>
      <c r="F1065" s="206"/>
    </row>
    <row r="1066" spans="5:6">
      <c r="E1066" s="206"/>
      <c r="F1066" s="206"/>
    </row>
    <row r="1067" spans="5:6">
      <c r="E1067" s="206"/>
      <c r="F1067" s="206"/>
    </row>
    <row r="1068" spans="5:6">
      <c r="E1068" s="206"/>
      <c r="F1068" s="206"/>
    </row>
    <row r="1069" spans="5:6">
      <c r="E1069" s="206"/>
      <c r="F1069" s="206"/>
    </row>
    <row r="1070" spans="5:6">
      <c r="E1070" s="206"/>
      <c r="F1070" s="206"/>
    </row>
    <row r="1071" spans="5:6">
      <c r="E1071" s="206"/>
      <c r="F1071" s="206"/>
    </row>
    <row r="1072" spans="5:6">
      <c r="E1072" s="206"/>
      <c r="F1072" s="206"/>
    </row>
    <row r="1073" spans="5:6">
      <c r="E1073" s="206"/>
      <c r="F1073" s="206"/>
    </row>
    <row r="1074" spans="5:6">
      <c r="E1074" s="206"/>
      <c r="F1074" s="206"/>
    </row>
    <row r="1075" spans="5:6">
      <c r="E1075" s="206"/>
      <c r="F1075" s="206"/>
    </row>
    <row r="1076" spans="5:6">
      <c r="E1076" s="206"/>
      <c r="F1076" s="206"/>
    </row>
    <row r="1077" spans="5:6">
      <c r="E1077" s="206"/>
      <c r="F1077" s="206"/>
    </row>
    <row r="1078" spans="5:6">
      <c r="E1078" s="206"/>
      <c r="F1078" s="206"/>
    </row>
    <row r="1079" spans="5:6">
      <c r="E1079" s="206"/>
      <c r="F1079" s="206"/>
    </row>
    <row r="1080" spans="5:6">
      <c r="E1080" s="206"/>
      <c r="F1080" s="206"/>
    </row>
    <row r="1081" spans="5:6">
      <c r="E1081" s="206"/>
      <c r="F1081" s="206"/>
    </row>
    <row r="1082" spans="5:6">
      <c r="E1082" s="206"/>
      <c r="F1082" s="206"/>
    </row>
    <row r="1083" spans="5:6">
      <c r="E1083" s="206"/>
      <c r="F1083" s="206"/>
    </row>
    <row r="1084" spans="5:6">
      <c r="E1084" s="206"/>
      <c r="F1084" s="206"/>
    </row>
    <row r="1085" spans="5:6">
      <c r="E1085" s="206"/>
      <c r="F1085" s="206"/>
    </row>
    <row r="1086" spans="5:6">
      <c r="E1086" s="206"/>
      <c r="F1086" s="206"/>
    </row>
    <row r="1087" spans="5:6">
      <c r="E1087" s="206"/>
      <c r="F1087" s="206"/>
    </row>
    <row r="1088" spans="5:6">
      <c r="E1088" s="206"/>
      <c r="F1088" s="206"/>
    </row>
    <row r="1089" spans="5:6">
      <c r="E1089" s="206"/>
      <c r="F1089" s="206"/>
    </row>
    <row r="1090" spans="5:6">
      <c r="E1090" s="206"/>
      <c r="F1090" s="206"/>
    </row>
    <row r="1091" spans="5:6">
      <c r="E1091" s="206"/>
      <c r="F1091" s="206"/>
    </row>
    <row r="1092" spans="5:6">
      <c r="E1092" s="206"/>
      <c r="F1092" s="206"/>
    </row>
    <row r="1093" spans="5:6">
      <c r="E1093" s="206"/>
      <c r="F1093" s="206"/>
    </row>
    <row r="1094" spans="5:6">
      <c r="E1094" s="206"/>
      <c r="F1094" s="206"/>
    </row>
    <row r="1095" spans="5:6">
      <c r="E1095" s="206"/>
      <c r="F1095" s="206"/>
    </row>
    <row r="1096" spans="5:6">
      <c r="E1096" s="206"/>
      <c r="F1096" s="206"/>
    </row>
    <row r="1097" spans="5:6">
      <c r="E1097" s="206"/>
      <c r="F1097" s="206"/>
    </row>
    <row r="1098" spans="5:6">
      <c r="E1098" s="206"/>
      <c r="F1098" s="206"/>
    </row>
    <row r="1099" spans="5:6">
      <c r="E1099" s="206"/>
      <c r="F1099" s="206"/>
    </row>
    <row r="1100" spans="5:6">
      <c r="E1100" s="206"/>
      <c r="F1100" s="206"/>
    </row>
    <row r="1101" spans="5:6">
      <c r="E1101" s="206"/>
      <c r="F1101" s="206"/>
    </row>
    <row r="1102" spans="5:6">
      <c r="E1102" s="206"/>
      <c r="F1102" s="206"/>
    </row>
    <row r="1103" spans="5:6">
      <c r="E1103" s="206"/>
      <c r="F1103" s="206"/>
    </row>
    <row r="1104" spans="5:6">
      <c r="E1104" s="206"/>
      <c r="F1104" s="206"/>
    </row>
    <row r="1105" spans="5:6">
      <c r="E1105" s="206"/>
      <c r="F1105" s="206"/>
    </row>
    <row r="1106" spans="5:6">
      <c r="E1106" s="206"/>
      <c r="F1106" s="206"/>
    </row>
    <row r="1107" spans="5:6">
      <c r="E1107" s="206"/>
      <c r="F1107" s="206"/>
    </row>
    <row r="1108" spans="5:6">
      <c r="E1108" s="206"/>
      <c r="F1108" s="206"/>
    </row>
    <row r="1109" spans="5:6">
      <c r="E1109" s="206"/>
      <c r="F1109" s="206"/>
    </row>
    <row r="1110" spans="5:6">
      <c r="E1110" s="206"/>
      <c r="F1110" s="206"/>
    </row>
    <row r="1111" spans="5:6">
      <c r="E1111" s="206"/>
      <c r="F1111" s="206"/>
    </row>
    <row r="1112" spans="5:6">
      <c r="E1112" s="206"/>
      <c r="F1112" s="206"/>
    </row>
    <row r="1113" spans="5:6">
      <c r="E1113" s="206"/>
      <c r="F1113" s="206"/>
    </row>
    <row r="1114" spans="5:6">
      <c r="E1114" s="206"/>
      <c r="F1114" s="206"/>
    </row>
    <row r="1115" spans="5:6">
      <c r="E1115" s="206"/>
      <c r="F1115" s="206"/>
    </row>
    <row r="1116" spans="5:6">
      <c r="E1116" s="206"/>
      <c r="F1116" s="206"/>
    </row>
    <row r="1117" spans="5:6">
      <c r="E1117" s="206"/>
      <c r="F1117" s="206"/>
    </row>
    <row r="1118" spans="5:6">
      <c r="E1118" s="206"/>
      <c r="F1118" s="206"/>
    </row>
    <row r="1119" spans="5:6">
      <c r="E1119" s="206"/>
      <c r="F1119" s="206"/>
    </row>
    <row r="1120" spans="5:6">
      <c r="E1120" s="206"/>
      <c r="F1120" s="206"/>
    </row>
    <row r="1121" spans="5:6">
      <c r="E1121" s="206"/>
      <c r="F1121" s="206"/>
    </row>
    <row r="1122" spans="5:6">
      <c r="E1122" s="206"/>
      <c r="F1122" s="206"/>
    </row>
    <row r="1123" spans="5:6">
      <c r="E1123" s="206"/>
      <c r="F1123" s="206"/>
    </row>
    <row r="1124" spans="5:6">
      <c r="E1124" s="206"/>
      <c r="F1124" s="206"/>
    </row>
    <row r="1125" spans="5:6">
      <c r="E1125" s="206"/>
      <c r="F1125" s="206"/>
    </row>
    <row r="1126" spans="5:6">
      <c r="E1126" s="206"/>
      <c r="F1126" s="206"/>
    </row>
    <row r="1127" spans="5:6">
      <c r="E1127" s="206"/>
      <c r="F1127" s="206"/>
    </row>
    <row r="1128" spans="5:6">
      <c r="E1128" s="206"/>
      <c r="F1128" s="206"/>
    </row>
    <row r="1129" spans="5:6">
      <c r="E1129" s="206"/>
      <c r="F1129" s="206"/>
    </row>
    <row r="1130" spans="5:6">
      <c r="E1130" s="206"/>
      <c r="F1130" s="206"/>
    </row>
    <row r="1131" spans="5:6">
      <c r="E1131" s="206"/>
      <c r="F1131" s="206"/>
    </row>
    <row r="1132" spans="5:6">
      <c r="E1132" s="206"/>
      <c r="F1132" s="206"/>
    </row>
    <row r="1133" spans="5:6">
      <c r="E1133" s="206"/>
      <c r="F1133" s="206"/>
    </row>
    <row r="1134" spans="5:6">
      <c r="E1134" s="206"/>
      <c r="F1134" s="206"/>
    </row>
    <row r="1135" spans="5:6">
      <c r="E1135" s="206"/>
      <c r="F1135" s="206"/>
    </row>
    <row r="1136" spans="5:6">
      <c r="E1136" s="206"/>
      <c r="F1136" s="206"/>
    </row>
    <row r="1137" spans="5:6">
      <c r="E1137" s="206"/>
      <c r="F1137" s="206"/>
    </row>
    <row r="1138" spans="5:6">
      <c r="E1138" s="206"/>
      <c r="F1138" s="206"/>
    </row>
    <row r="1139" spans="5:6">
      <c r="E1139" s="206"/>
      <c r="F1139" s="206"/>
    </row>
    <row r="1140" spans="5:6">
      <c r="E1140" s="206"/>
      <c r="F1140" s="206"/>
    </row>
    <row r="1141" spans="5:6">
      <c r="E1141" s="206"/>
      <c r="F1141" s="206"/>
    </row>
    <row r="1142" spans="5:6">
      <c r="E1142" s="206"/>
      <c r="F1142" s="206"/>
    </row>
    <row r="1143" spans="5:6">
      <c r="E1143" s="206"/>
      <c r="F1143" s="206"/>
    </row>
    <row r="1144" spans="5:6">
      <c r="E1144" s="206"/>
      <c r="F1144" s="206"/>
    </row>
    <row r="1145" spans="5:6">
      <c r="E1145" s="206"/>
      <c r="F1145" s="206"/>
    </row>
    <row r="1146" spans="5:6">
      <c r="E1146" s="206"/>
      <c r="F1146" s="206"/>
    </row>
    <row r="1147" spans="5:6">
      <c r="E1147" s="206"/>
      <c r="F1147" s="206"/>
    </row>
    <row r="1148" spans="5:6">
      <c r="E1148" s="206"/>
      <c r="F1148" s="206"/>
    </row>
    <row r="1149" spans="5:6">
      <c r="E1149" s="206"/>
      <c r="F1149" s="206"/>
    </row>
    <row r="1150" spans="5:6">
      <c r="E1150" s="206"/>
      <c r="F1150" s="206"/>
    </row>
    <row r="1151" spans="5:6">
      <c r="E1151" s="206"/>
      <c r="F1151" s="206"/>
    </row>
    <row r="1152" spans="5:6">
      <c r="E1152" s="206"/>
      <c r="F1152" s="206"/>
    </row>
    <row r="1153" spans="5:6">
      <c r="E1153" s="206"/>
      <c r="F1153" s="206"/>
    </row>
    <row r="1154" spans="5:6">
      <c r="E1154" s="206"/>
      <c r="F1154" s="206"/>
    </row>
    <row r="1155" spans="5:6">
      <c r="E1155" s="206"/>
      <c r="F1155" s="206"/>
    </row>
    <row r="1156" spans="5:6">
      <c r="E1156" s="206"/>
      <c r="F1156" s="206"/>
    </row>
    <row r="1157" spans="5:6">
      <c r="E1157" s="206"/>
      <c r="F1157" s="206"/>
    </row>
    <row r="1158" spans="5:6">
      <c r="E1158" s="206"/>
      <c r="F1158" s="206"/>
    </row>
    <row r="1159" spans="5:6">
      <c r="E1159" s="206"/>
      <c r="F1159" s="206"/>
    </row>
    <row r="1160" spans="5:6">
      <c r="E1160" s="206"/>
      <c r="F1160" s="206"/>
    </row>
    <row r="1161" spans="5:6">
      <c r="E1161" s="206"/>
      <c r="F1161" s="206"/>
    </row>
    <row r="1162" spans="5:6">
      <c r="E1162" s="206"/>
      <c r="F1162" s="206"/>
    </row>
    <row r="1163" spans="5:6">
      <c r="E1163" s="206"/>
      <c r="F1163" s="206"/>
    </row>
    <row r="1164" spans="5:6">
      <c r="E1164" s="206"/>
      <c r="F1164" s="206"/>
    </row>
    <row r="1165" spans="5:6">
      <c r="E1165" s="206"/>
      <c r="F1165" s="206"/>
    </row>
    <row r="1166" spans="5:6">
      <c r="E1166" s="206"/>
      <c r="F1166" s="206"/>
    </row>
    <row r="1167" spans="5:6">
      <c r="E1167" s="206"/>
      <c r="F1167" s="206"/>
    </row>
    <row r="1168" spans="5:6">
      <c r="E1168" s="206"/>
      <c r="F1168" s="206"/>
    </row>
    <row r="1169" spans="5:6">
      <c r="E1169" s="206"/>
      <c r="F1169" s="206"/>
    </row>
    <row r="1170" spans="5:6">
      <c r="E1170" s="206"/>
      <c r="F1170" s="206"/>
    </row>
    <row r="1171" spans="5:6">
      <c r="E1171" s="206"/>
      <c r="F1171" s="206"/>
    </row>
    <row r="1172" spans="5:6">
      <c r="E1172" s="206"/>
      <c r="F1172" s="206"/>
    </row>
    <row r="1173" spans="5:6">
      <c r="E1173" s="206"/>
      <c r="F1173" s="206"/>
    </row>
    <row r="1174" spans="5:6">
      <c r="E1174" s="206"/>
      <c r="F1174" s="206"/>
    </row>
    <row r="1175" spans="5:6">
      <c r="E1175" s="206"/>
      <c r="F1175" s="206"/>
    </row>
    <row r="1176" spans="5:6">
      <c r="E1176" s="206"/>
      <c r="F1176" s="206"/>
    </row>
    <row r="1177" spans="5:6">
      <c r="E1177" s="206"/>
      <c r="F1177" s="206"/>
    </row>
    <row r="1178" spans="5:6">
      <c r="E1178" s="206"/>
      <c r="F1178" s="206"/>
    </row>
    <row r="1179" spans="5:6">
      <c r="E1179" s="206"/>
      <c r="F1179" s="206"/>
    </row>
    <row r="1180" spans="5:6">
      <c r="E1180" s="206"/>
      <c r="F1180" s="206"/>
    </row>
    <row r="1181" spans="5:6">
      <c r="E1181" s="206"/>
      <c r="F1181" s="206"/>
    </row>
    <row r="1182" spans="5:6">
      <c r="E1182" s="206"/>
      <c r="F1182" s="206"/>
    </row>
    <row r="1183" spans="5:6">
      <c r="E1183" s="206"/>
      <c r="F1183" s="206"/>
    </row>
    <row r="1184" spans="5:6">
      <c r="E1184" s="206"/>
      <c r="F1184" s="206"/>
    </row>
    <row r="1185" spans="5:6">
      <c r="E1185" s="206"/>
      <c r="F1185" s="206"/>
    </row>
    <row r="1186" spans="5:6">
      <c r="E1186" s="206"/>
      <c r="F1186" s="206"/>
    </row>
    <row r="1187" spans="5:6">
      <c r="E1187" s="206"/>
      <c r="F1187" s="206"/>
    </row>
    <row r="1188" spans="5:6">
      <c r="E1188" s="206"/>
      <c r="F1188" s="206"/>
    </row>
    <row r="1189" spans="5:6">
      <c r="E1189" s="206"/>
      <c r="F1189" s="206"/>
    </row>
    <row r="1190" spans="5:6">
      <c r="E1190" s="206"/>
      <c r="F1190" s="206"/>
    </row>
    <row r="1191" spans="5:6">
      <c r="E1191" s="206"/>
      <c r="F1191" s="206"/>
    </row>
    <row r="1192" spans="5:6">
      <c r="E1192" s="206"/>
      <c r="F1192" s="206"/>
    </row>
    <row r="1193" spans="5:6">
      <c r="E1193" s="206"/>
      <c r="F1193" s="206"/>
    </row>
    <row r="1194" spans="5:6">
      <c r="E1194" s="206"/>
      <c r="F1194" s="206"/>
    </row>
    <row r="1195" spans="5:6">
      <c r="E1195" s="206"/>
      <c r="F1195" s="206"/>
    </row>
    <row r="1196" spans="5:6">
      <c r="E1196" s="206"/>
      <c r="F1196" s="206"/>
    </row>
    <row r="1197" spans="5:6">
      <c r="E1197" s="206"/>
      <c r="F1197" s="206"/>
    </row>
    <row r="1198" spans="5:6">
      <c r="E1198" s="206"/>
      <c r="F1198" s="206"/>
    </row>
    <row r="1199" spans="5:6">
      <c r="E1199" s="206"/>
      <c r="F1199" s="206"/>
    </row>
    <row r="1200" spans="5:6">
      <c r="E1200" s="206"/>
      <c r="F1200" s="206"/>
    </row>
    <row r="1201" spans="5:6">
      <c r="E1201" s="206"/>
      <c r="F1201" s="206"/>
    </row>
    <row r="1202" spans="5:6">
      <c r="E1202" s="206"/>
      <c r="F1202" s="206"/>
    </row>
    <row r="1203" spans="5:6">
      <c r="E1203" s="206"/>
      <c r="F1203" s="206"/>
    </row>
    <row r="1204" spans="5:6">
      <c r="E1204" s="206"/>
      <c r="F1204" s="206"/>
    </row>
    <row r="1205" spans="5:6">
      <c r="E1205" s="206"/>
      <c r="F1205" s="206"/>
    </row>
    <row r="1206" spans="5:6">
      <c r="E1206" s="206"/>
      <c r="F1206" s="206"/>
    </row>
    <row r="1207" spans="5:6">
      <c r="E1207" s="206"/>
      <c r="F1207" s="206"/>
    </row>
    <row r="1208" spans="5:6">
      <c r="E1208" s="206"/>
      <c r="F1208" s="206"/>
    </row>
    <row r="1209" spans="5:6">
      <c r="E1209" s="206"/>
      <c r="F1209" s="206"/>
    </row>
    <row r="1210" spans="5:6">
      <c r="E1210" s="206"/>
      <c r="F1210" s="206"/>
    </row>
    <row r="1211" spans="5:6">
      <c r="E1211" s="206"/>
      <c r="F1211" s="206"/>
    </row>
    <row r="1212" spans="5:6">
      <c r="E1212" s="206"/>
      <c r="F1212" s="206"/>
    </row>
    <row r="1213" spans="5:6">
      <c r="E1213" s="206"/>
      <c r="F1213" s="206"/>
    </row>
    <row r="1214" spans="5:6">
      <c r="E1214" s="206"/>
      <c r="F1214" s="206"/>
    </row>
    <row r="1215" spans="5:6">
      <c r="E1215" s="206"/>
      <c r="F1215" s="206"/>
    </row>
    <row r="1216" spans="5:6">
      <c r="E1216" s="206"/>
      <c r="F1216" s="206"/>
    </row>
    <row r="1217" spans="5:6">
      <c r="E1217" s="206"/>
      <c r="F1217" s="206"/>
    </row>
    <row r="1218" spans="5:6">
      <c r="E1218" s="206"/>
      <c r="F1218" s="206"/>
    </row>
    <row r="1219" spans="5:6">
      <c r="E1219" s="206"/>
      <c r="F1219" s="206"/>
    </row>
    <row r="1220" spans="5:6">
      <c r="E1220" s="206"/>
      <c r="F1220" s="206"/>
    </row>
    <row r="1221" spans="5:6">
      <c r="E1221" s="206"/>
      <c r="F1221" s="206"/>
    </row>
    <row r="1222" spans="5:6">
      <c r="E1222" s="206"/>
      <c r="F1222" s="206"/>
    </row>
    <row r="1223" spans="5:6">
      <c r="E1223" s="206"/>
      <c r="F1223" s="206"/>
    </row>
    <row r="1224" spans="5:6">
      <c r="E1224" s="206"/>
      <c r="F1224" s="206"/>
    </row>
    <row r="1225" spans="5:6">
      <c r="E1225" s="206"/>
      <c r="F1225" s="206"/>
    </row>
    <row r="1226" spans="5:6">
      <c r="E1226" s="206"/>
      <c r="F1226" s="206"/>
    </row>
    <row r="1227" spans="5:6">
      <c r="E1227" s="206"/>
      <c r="F1227" s="206"/>
    </row>
    <row r="1228" spans="5:6">
      <c r="E1228" s="206"/>
      <c r="F1228" s="206"/>
    </row>
    <row r="1229" spans="5:6">
      <c r="E1229" s="206"/>
      <c r="F1229" s="206"/>
    </row>
    <row r="1230" spans="5:6">
      <c r="E1230" s="206"/>
      <c r="F1230" s="206"/>
    </row>
    <row r="1231" spans="5:6">
      <c r="E1231" s="206"/>
      <c r="F1231" s="206"/>
    </row>
    <row r="1232" spans="5:6">
      <c r="E1232" s="206"/>
      <c r="F1232" s="206"/>
    </row>
    <row r="1233" spans="5:6">
      <c r="E1233" s="206"/>
      <c r="F1233" s="206"/>
    </row>
    <row r="1234" spans="5:6">
      <c r="E1234" s="206"/>
      <c r="F1234" s="206"/>
    </row>
    <row r="1235" spans="5:6">
      <c r="E1235" s="206"/>
      <c r="F1235" s="206"/>
    </row>
    <row r="1236" spans="5:6">
      <c r="E1236" s="206"/>
      <c r="F1236" s="206"/>
    </row>
    <row r="1237" spans="5:6">
      <c r="E1237" s="206"/>
      <c r="F1237" s="206"/>
    </row>
    <row r="1238" spans="5:6">
      <c r="E1238" s="206"/>
      <c r="F1238" s="206"/>
    </row>
    <row r="1239" spans="5:6">
      <c r="E1239" s="206"/>
      <c r="F1239" s="206"/>
    </row>
    <row r="1240" spans="5:6">
      <c r="E1240" s="206"/>
      <c r="F1240" s="206"/>
    </row>
    <row r="1241" spans="5:6">
      <c r="E1241" s="206"/>
      <c r="F1241" s="206"/>
    </row>
    <row r="1242" spans="5:6">
      <c r="E1242" s="206"/>
      <c r="F1242" s="206"/>
    </row>
    <row r="1243" spans="5:6">
      <c r="E1243" s="206"/>
      <c r="F1243" s="206"/>
    </row>
    <row r="1244" spans="5:6">
      <c r="E1244" s="206"/>
      <c r="F1244" s="206"/>
    </row>
    <row r="1245" spans="5:6">
      <c r="E1245" s="206"/>
      <c r="F1245" s="206"/>
    </row>
    <row r="1246" spans="5:6">
      <c r="E1246" s="206"/>
      <c r="F1246" s="206"/>
    </row>
    <row r="1247" spans="5:6">
      <c r="E1247" s="206"/>
      <c r="F1247" s="206"/>
    </row>
    <row r="1248" spans="5:6">
      <c r="E1248" s="206"/>
      <c r="F1248" s="206"/>
    </row>
    <row r="1249" spans="5:6">
      <c r="E1249" s="206"/>
      <c r="F1249" s="206"/>
    </row>
    <row r="1250" spans="5:6">
      <c r="E1250" s="206"/>
      <c r="F1250" s="206"/>
    </row>
    <row r="1251" spans="5:6">
      <c r="E1251" s="206"/>
      <c r="F1251" s="206"/>
    </row>
    <row r="1252" spans="5:6">
      <c r="E1252" s="206"/>
      <c r="F1252" s="206"/>
    </row>
    <row r="1253" spans="5:6">
      <c r="E1253" s="206"/>
      <c r="F1253" s="206"/>
    </row>
    <row r="1254" spans="5:6">
      <c r="E1254" s="206"/>
      <c r="F1254" s="206"/>
    </row>
    <row r="1255" spans="5:6">
      <c r="E1255" s="206"/>
      <c r="F1255" s="206"/>
    </row>
    <row r="1256" spans="5:6">
      <c r="E1256" s="206"/>
      <c r="F1256" s="206"/>
    </row>
    <row r="1257" spans="5:6">
      <c r="E1257" s="206"/>
      <c r="F1257" s="206"/>
    </row>
    <row r="1258" spans="5:6">
      <c r="E1258" s="206"/>
      <c r="F1258" s="206"/>
    </row>
    <row r="1259" spans="5:6">
      <c r="E1259" s="206"/>
      <c r="F1259" s="206"/>
    </row>
    <row r="1260" spans="5:6">
      <c r="E1260" s="206"/>
      <c r="F1260" s="206"/>
    </row>
    <row r="1261" spans="5:6">
      <c r="E1261" s="206"/>
      <c r="F1261" s="206"/>
    </row>
    <row r="1262" spans="5:6">
      <c r="E1262" s="206"/>
      <c r="F1262" s="206"/>
    </row>
    <row r="1263" spans="5:6">
      <c r="E1263" s="206"/>
      <c r="F1263" s="206"/>
    </row>
    <row r="1264" spans="5:6">
      <c r="E1264" s="206"/>
      <c r="F1264" s="206"/>
    </row>
    <row r="1265" spans="5:6">
      <c r="E1265" s="206"/>
      <c r="F1265" s="206"/>
    </row>
    <row r="1266" spans="5:6">
      <c r="E1266" s="206"/>
      <c r="F1266" s="206"/>
    </row>
    <row r="1267" spans="5:6">
      <c r="E1267" s="206"/>
      <c r="F1267" s="206"/>
    </row>
    <row r="1268" spans="5:6">
      <c r="E1268" s="206"/>
      <c r="F1268" s="206"/>
    </row>
    <row r="1269" spans="5:6">
      <c r="E1269" s="206"/>
      <c r="F1269" s="206"/>
    </row>
    <row r="1270" spans="5:6">
      <c r="E1270" s="206"/>
      <c r="F1270" s="206"/>
    </row>
    <row r="1271" spans="5:6">
      <c r="E1271" s="206"/>
      <c r="F1271" s="206"/>
    </row>
    <row r="1272" spans="5:6">
      <c r="E1272" s="206"/>
      <c r="F1272" s="206"/>
    </row>
    <row r="1273" spans="5:6">
      <c r="E1273" s="206"/>
      <c r="F1273" s="206"/>
    </row>
    <row r="1274" spans="5:6">
      <c r="E1274" s="206"/>
      <c r="F1274" s="206"/>
    </row>
    <row r="1275" spans="5:6">
      <c r="E1275" s="206"/>
      <c r="F1275" s="206"/>
    </row>
    <row r="1276" spans="5:6">
      <c r="E1276" s="206"/>
      <c r="F1276" s="206"/>
    </row>
    <row r="1277" spans="5:6">
      <c r="E1277" s="206"/>
      <c r="F1277" s="206"/>
    </row>
    <row r="1278" spans="5:6">
      <c r="E1278" s="206"/>
      <c r="F1278" s="206"/>
    </row>
    <row r="1279" spans="5:6">
      <c r="E1279" s="206"/>
      <c r="F1279" s="206"/>
    </row>
    <row r="1280" spans="5:6">
      <c r="E1280" s="206"/>
      <c r="F1280" s="206"/>
    </row>
    <row r="1281" spans="5:6">
      <c r="E1281" s="206"/>
      <c r="F1281" s="206"/>
    </row>
    <row r="1282" spans="5:6">
      <c r="E1282" s="206"/>
      <c r="F1282" s="206"/>
    </row>
    <row r="1283" spans="5:6">
      <c r="E1283" s="206"/>
      <c r="F1283" s="206"/>
    </row>
    <row r="1284" spans="5:6">
      <c r="E1284" s="206"/>
      <c r="F1284" s="206"/>
    </row>
    <row r="1285" spans="5:6">
      <c r="E1285" s="206"/>
      <c r="F1285" s="206"/>
    </row>
    <row r="1286" spans="5:6">
      <c r="E1286" s="206"/>
      <c r="F1286" s="206"/>
    </row>
    <row r="1287" spans="5:6">
      <c r="E1287" s="206"/>
      <c r="F1287" s="206"/>
    </row>
    <row r="1288" spans="5:6">
      <c r="E1288" s="206"/>
      <c r="F1288" s="206"/>
    </row>
    <row r="1289" spans="5:6">
      <c r="E1289" s="206"/>
      <c r="F1289" s="206"/>
    </row>
    <row r="1290" spans="5:6">
      <c r="E1290" s="206"/>
      <c r="F1290" s="206"/>
    </row>
    <row r="1291" spans="5:6">
      <c r="E1291" s="206"/>
      <c r="F1291" s="206"/>
    </row>
    <row r="1292" spans="5:6">
      <c r="E1292" s="206"/>
      <c r="F1292" s="206"/>
    </row>
    <row r="1293" spans="5:6">
      <c r="E1293" s="206"/>
      <c r="F1293" s="206"/>
    </row>
    <row r="1294" spans="5:6">
      <c r="E1294" s="206"/>
      <c r="F1294" s="206"/>
    </row>
    <row r="1295" spans="5:6">
      <c r="E1295" s="206"/>
      <c r="F1295" s="206"/>
    </row>
    <row r="1296" spans="5:6">
      <c r="E1296" s="206"/>
      <c r="F1296" s="206"/>
    </row>
    <row r="1297" spans="5:6">
      <c r="E1297" s="206"/>
      <c r="F1297" s="206"/>
    </row>
    <row r="1298" spans="5:6">
      <c r="E1298" s="206"/>
      <c r="F1298" s="206"/>
    </row>
    <row r="1299" spans="5:6">
      <c r="E1299" s="206"/>
      <c r="F1299" s="206"/>
    </row>
    <row r="1300" spans="5:6">
      <c r="E1300" s="206"/>
      <c r="F1300" s="206"/>
    </row>
    <row r="1301" spans="5:6">
      <c r="E1301" s="206"/>
      <c r="F1301" s="206"/>
    </row>
    <row r="1302" spans="5:6">
      <c r="E1302" s="206"/>
      <c r="F1302" s="206"/>
    </row>
    <row r="1303" spans="5:6">
      <c r="E1303" s="206"/>
      <c r="F1303" s="206"/>
    </row>
    <row r="1304" spans="5:6">
      <c r="E1304" s="206"/>
      <c r="F1304" s="206"/>
    </row>
    <row r="1305" spans="5:6">
      <c r="E1305" s="206"/>
      <c r="F1305" s="206"/>
    </row>
    <row r="1306" spans="5:6">
      <c r="E1306" s="206"/>
      <c r="F1306" s="206"/>
    </row>
    <row r="1307" spans="5:6">
      <c r="E1307" s="206"/>
      <c r="F1307" s="206"/>
    </row>
    <row r="1308" spans="5:6">
      <c r="E1308" s="206"/>
      <c r="F1308" s="206"/>
    </row>
    <row r="1309" spans="5:6">
      <c r="E1309" s="206"/>
      <c r="F1309" s="206"/>
    </row>
    <row r="1310" spans="5:6">
      <c r="E1310" s="206"/>
      <c r="F1310" s="206"/>
    </row>
    <row r="1311" spans="5:6">
      <c r="E1311" s="206"/>
      <c r="F1311" s="206"/>
    </row>
    <row r="1312" spans="5:6">
      <c r="E1312" s="206"/>
      <c r="F1312" s="206"/>
    </row>
    <row r="1313" spans="5:6">
      <c r="E1313" s="206"/>
      <c r="F1313" s="206"/>
    </row>
    <row r="1314" spans="5:6">
      <c r="E1314" s="206"/>
      <c r="F1314" s="206"/>
    </row>
    <row r="1315" spans="5:6">
      <c r="E1315" s="206"/>
      <c r="F1315" s="206"/>
    </row>
    <row r="1316" spans="5:6">
      <c r="E1316" s="206"/>
      <c r="F1316" s="206"/>
    </row>
    <row r="1317" spans="5:6">
      <c r="E1317" s="206"/>
      <c r="F1317" s="206"/>
    </row>
    <row r="1318" spans="5:6">
      <c r="E1318" s="206"/>
      <c r="F1318" s="206"/>
    </row>
    <row r="1319" spans="5:6">
      <c r="E1319" s="206"/>
      <c r="F1319" s="206"/>
    </row>
    <row r="1320" spans="5:6">
      <c r="E1320" s="206"/>
      <c r="F1320" s="206"/>
    </row>
    <row r="1321" spans="5:6">
      <c r="E1321" s="206"/>
      <c r="F1321" s="206"/>
    </row>
    <row r="1322" spans="5:6">
      <c r="E1322" s="206"/>
      <c r="F1322" s="206"/>
    </row>
    <row r="1323" spans="5:6">
      <c r="E1323" s="206"/>
      <c r="F1323" s="206"/>
    </row>
    <row r="1324" spans="5:6">
      <c r="E1324" s="206"/>
      <c r="F1324" s="206"/>
    </row>
    <row r="1325" spans="5:6">
      <c r="E1325" s="206"/>
      <c r="F1325" s="206"/>
    </row>
    <row r="1326" spans="5:6">
      <c r="E1326" s="206"/>
      <c r="F1326" s="206"/>
    </row>
    <row r="1327" spans="5:6">
      <c r="E1327" s="206"/>
      <c r="F1327" s="206"/>
    </row>
    <row r="1328" spans="5:6">
      <c r="E1328" s="206"/>
      <c r="F1328" s="206"/>
    </row>
    <row r="1329" spans="5:6">
      <c r="E1329" s="206"/>
      <c r="F1329" s="206"/>
    </row>
    <row r="1330" spans="5:6">
      <c r="E1330" s="206"/>
      <c r="F1330" s="206"/>
    </row>
    <row r="1331" spans="5:6">
      <c r="E1331" s="206"/>
      <c r="F1331" s="206"/>
    </row>
    <row r="1332" spans="5:6">
      <c r="E1332" s="206"/>
      <c r="F1332" s="206"/>
    </row>
    <row r="1333" spans="5:6">
      <c r="E1333" s="206"/>
      <c r="F1333" s="206"/>
    </row>
    <row r="1334" spans="5:6">
      <c r="E1334" s="206"/>
      <c r="F1334" s="206"/>
    </row>
    <row r="1335" spans="5:6">
      <c r="E1335" s="206"/>
      <c r="F1335" s="206"/>
    </row>
    <row r="1336" spans="5:6">
      <c r="E1336" s="206"/>
      <c r="F1336" s="206"/>
    </row>
    <row r="1337" spans="5:6">
      <c r="E1337" s="206"/>
      <c r="F1337" s="206"/>
    </row>
    <row r="1338" spans="5:6">
      <c r="E1338" s="206"/>
      <c r="F1338" s="206"/>
    </row>
    <row r="1339" spans="5:6">
      <c r="E1339" s="206"/>
      <c r="F1339" s="206"/>
    </row>
    <row r="1340" spans="5:6">
      <c r="E1340" s="206"/>
      <c r="F1340" s="206"/>
    </row>
    <row r="1341" spans="5:6">
      <c r="E1341" s="206"/>
      <c r="F1341" s="206"/>
    </row>
    <row r="1342" spans="5:6">
      <c r="E1342" s="206"/>
      <c r="F1342" s="206"/>
    </row>
    <row r="1343" spans="5:6">
      <c r="E1343" s="206"/>
      <c r="F1343" s="206"/>
    </row>
    <row r="1344" spans="5:6">
      <c r="E1344" s="206"/>
      <c r="F1344" s="206"/>
    </row>
    <row r="1345" spans="5:6">
      <c r="E1345" s="206"/>
      <c r="F1345" s="206"/>
    </row>
    <row r="1346" spans="5:6">
      <c r="E1346" s="206"/>
      <c r="F1346" s="206"/>
    </row>
    <row r="1347" spans="5:6">
      <c r="E1347" s="206"/>
      <c r="F1347" s="206"/>
    </row>
    <row r="1348" spans="5:6">
      <c r="E1348" s="206"/>
      <c r="F1348" s="206"/>
    </row>
    <row r="1349" spans="5:6">
      <c r="E1349" s="206"/>
      <c r="F1349" s="206"/>
    </row>
    <row r="1350" spans="5:6">
      <c r="E1350" s="206"/>
      <c r="F1350" s="206"/>
    </row>
    <row r="1351" spans="5:6">
      <c r="E1351" s="206"/>
      <c r="F1351" s="206"/>
    </row>
    <row r="1352" spans="5:6">
      <c r="E1352" s="206"/>
      <c r="F1352" s="206"/>
    </row>
    <row r="1353" spans="5:6">
      <c r="E1353" s="206"/>
      <c r="F1353" s="206"/>
    </row>
    <row r="1354" spans="5:6">
      <c r="E1354" s="206"/>
      <c r="F1354" s="206"/>
    </row>
    <row r="1355" spans="5:6">
      <c r="E1355" s="206"/>
      <c r="F1355" s="206"/>
    </row>
    <row r="1356" spans="5:6">
      <c r="E1356" s="206"/>
      <c r="F1356" s="206"/>
    </row>
    <row r="1357" spans="5:6">
      <c r="E1357" s="206"/>
      <c r="F1357" s="206"/>
    </row>
    <row r="1358" spans="5:6">
      <c r="E1358" s="206"/>
      <c r="F1358" s="206"/>
    </row>
    <row r="1359" spans="5:6">
      <c r="E1359" s="206"/>
      <c r="F1359" s="206"/>
    </row>
    <row r="1360" spans="5:6">
      <c r="E1360" s="206"/>
      <c r="F1360" s="206"/>
    </row>
    <row r="1361" spans="5:6">
      <c r="E1361" s="206"/>
      <c r="F1361" s="206"/>
    </row>
    <row r="1362" spans="5:6">
      <c r="E1362" s="206"/>
      <c r="F1362" s="206"/>
    </row>
    <row r="1363" spans="5:6">
      <c r="E1363" s="206"/>
      <c r="F1363" s="206"/>
    </row>
    <row r="1364" spans="5:6">
      <c r="E1364" s="206"/>
      <c r="F1364" s="206"/>
    </row>
    <row r="1365" spans="5:6">
      <c r="E1365" s="206"/>
      <c r="F1365" s="206"/>
    </row>
    <row r="1366" spans="5:6">
      <c r="E1366" s="206"/>
      <c r="F1366" s="206"/>
    </row>
    <row r="1367" spans="5:6">
      <c r="E1367" s="206"/>
      <c r="F1367" s="206"/>
    </row>
    <row r="1368" spans="5:6">
      <c r="E1368" s="206"/>
      <c r="F1368" s="206"/>
    </row>
    <row r="1369" spans="5:6">
      <c r="E1369" s="206"/>
      <c r="F1369" s="206"/>
    </row>
    <row r="1370" spans="5:6">
      <c r="E1370" s="206"/>
      <c r="F1370" s="206"/>
    </row>
    <row r="1371" spans="5:6">
      <c r="E1371" s="206"/>
      <c r="F1371" s="206"/>
    </row>
    <row r="1372" spans="5:6">
      <c r="E1372" s="206"/>
      <c r="F1372" s="206"/>
    </row>
    <row r="1373" spans="5:6">
      <c r="E1373" s="206"/>
      <c r="F1373" s="206"/>
    </row>
    <row r="1374" spans="5:6">
      <c r="E1374" s="206"/>
      <c r="F1374" s="206"/>
    </row>
    <row r="1375" spans="5:6">
      <c r="E1375" s="206"/>
      <c r="F1375" s="206"/>
    </row>
    <row r="1376" spans="5:6">
      <c r="E1376" s="206"/>
      <c r="F1376" s="206"/>
    </row>
    <row r="1377" spans="5:6">
      <c r="E1377" s="206"/>
      <c r="F1377" s="206"/>
    </row>
    <row r="1378" spans="5:6">
      <c r="E1378" s="206"/>
      <c r="F1378" s="206"/>
    </row>
    <row r="1379" spans="5:6">
      <c r="E1379" s="206"/>
      <c r="F1379" s="206"/>
    </row>
    <row r="1380" spans="5:6">
      <c r="E1380" s="206"/>
      <c r="F1380" s="206"/>
    </row>
    <row r="1381" spans="5:6">
      <c r="E1381" s="206"/>
      <c r="F1381" s="206"/>
    </row>
    <row r="1382" spans="5:6">
      <c r="E1382" s="206"/>
      <c r="F1382" s="206"/>
    </row>
    <row r="1383" spans="5:6">
      <c r="E1383" s="206"/>
      <c r="F1383" s="206"/>
    </row>
    <row r="1384" spans="5:6">
      <c r="E1384" s="206"/>
      <c r="F1384" s="206"/>
    </row>
    <row r="1385" spans="5:6">
      <c r="E1385" s="206"/>
      <c r="F1385" s="206"/>
    </row>
    <row r="1386" spans="5:6">
      <c r="E1386" s="206"/>
      <c r="F1386" s="206"/>
    </row>
    <row r="1387" spans="5:6">
      <c r="E1387" s="206"/>
      <c r="F1387" s="206"/>
    </row>
    <row r="1388" spans="5:6">
      <c r="E1388" s="206"/>
      <c r="F1388" s="206"/>
    </row>
    <row r="1389" spans="5:6">
      <c r="E1389" s="206"/>
      <c r="F1389" s="206"/>
    </row>
    <row r="1390" spans="5:6">
      <c r="E1390" s="206"/>
      <c r="F1390" s="206"/>
    </row>
    <row r="1391" spans="5:6">
      <c r="E1391" s="206"/>
      <c r="F1391" s="206"/>
    </row>
    <row r="1392" spans="5:6">
      <c r="E1392" s="206"/>
      <c r="F1392" s="206"/>
    </row>
    <row r="1393" spans="5:6">
      <c r="E1393" s="206"/>
      <c r="F1393" s="206"/>
    </row>
    <row r="1394" spans="5:6">
      <c r="E1394" s="206"/>
      <c r="F1394" s="206"/>
    </row>
    <row r="1395" spans="5:6">
      <c r="E1395" s="206"/>
      <c r="F1395" s="206"/>
    </row>
    <row r="1396" spans="5:6">
      <c r="E1396" s="206"/>
      <c r="F1396" s="206"/>
    </row>
    <row r="1397" spans="5:6">
      <c r="E1397" s="206"/>
      <c r="F1397" s="206"/>
    </row>
    <row r="1398" spans="5:6">
      <c r="E1398" s="206"/>
      <c r="F1398" s="206"/>
    </row>
    <row r="1399" spans="5:6">
      <c r="E1399" s="206"/>
      <c r="F1399" s="206"/>
    </row>
    <row r="1400" spans="5:6">
      <c r="E1400" s="206"/>
      <c r="F1400" s="206"/>
    </row>
    <row r="1401" spans="5:6">
      <c r="E1401" s="206"/>
      <c r="F1401" s="206"/>
    </row>
    <row r="1402" spans="5:6">
      <c r="E1402" s="206"/>
      <c r="F1402" s="206"/>
    </row>
    <row r="1403" spans="5:6">
      <c r="E1403" s="206"/>
      <c r="F1403" s="206"/>
    </row>
    <row r="1404" spans="5:6">
      <c r="E1404" s="206"/>
      <c r="F1404" s="206"/>
    </row>
    <row r="1405" spans="5:6">
      <c r="E1405" s="206"/>
      <c r="F1405" s="206"/>
    </row>
    <row r="1406" spans="5:6">
      <c r="E1406" s="206"/>
      <c r="F1406" s="206"/>
    </row>
    <row r="1407" spans="5:6">
      <c r="E1407" s="206"/>
      <c r="F1407" s="206"/>
    </row>
    <row r="1408" spans="5:6">
      <c r="E1408" s="206"/>
      <c r="F1408" s="206"/>
    </row>
    <row r="1409" spans="5:6">
      <c r="E1409" s="206"/>
      <c r="F1409" s="206"/>
    </row>
    <row r="1410" spans="5:6">
      <c r="E1410" s="206"/>
      <c r="F1410" s="206"/>
    </row>
    <row r="1411" spans="5:6">
      <c r="E1411" s="206"/>
      <c r="F1411" s="206"/>
    </row>
    <row r="1412" spans="5:6">
      <c r="E1412" s="206"/>
      <c r="F1412" s="206"/>
    </row>
    <row r="1413" spans="5:6">
      <c r="E1413" s="206"/>
      <c r="F1413" s="206"/>
    </row>
    <row r="1414" spans="5:6">
      <c r="E1414" s="206"/>
      <c r="F1414" s="206"/>
    </row>
    <row r="1415" spans="5:6">
      <c r="E1415" s="206"/>
      <c r="F1415" s="206"/>
    </row>
    <row r="1416" spans="5:6">
      <c r="E1416" s="206"/>
      <c r="F1416" s="206"/>
    </row>
    <row r="1417" spans="5:6">
      <c r="E1417" s="206"/>
      <c r="F1417" s="206"/>
    </row>
    <row r="1418" spans="5:6">
      <c r="E1418" s="206"/>
      <c r="F1418" s="206"/>
    </row>
    <row r="1419" spans="5:6">
      <c r="E1419" s="206"/>
      <c r="F1419" s="206"/>
    </row>
    <row r="1420" spans="5:6">
      <c r="E1420" s="206"/>
      <c r="F1420" s="206"/>
    </row>
    <row r="1421" spans="5:6">
      <c r="E1421" s="206"/>
      <c r="F1421" s="206"/>
    </row>
    <row r="1422" spans="5:6">
      <c r="E1422" s="206"/>
      <c r="F1422" s="206"/>
    </row>
    <row r="1423" spans="5:6">
      <c r="E1423" s="206"/>
      <c r="F1423" s="206"/>
    </row>
    <row r="1424" spans="5:6">
      <c r="E1424" s="206"/>
      <c r="F1424" s="206"/>
    </row>
    <row r="1425" spans="5:6">
      <c r="E1425" s="206"/>
      <c r="F1425" s="206"/>
    </row>
    <row r="1426" spans="5:6">
      <c r="E1426" s="206"/>
      <c r="F1426" s="206"/>
    </row>
    <row r="1427" spans="5:6">
      <c r="E1427" s="206"/>
      <c r="F1427" s="206"/>
    </row>
    <row r="1428" spans="5:6">
      <c r="E1428" s="206"/>
      <c r="F1428" s="206"/>
    </row>
    <row r="1429" spans="5:6">
      <c r="E1429" s="206"/>
      <c r="F1429" s="206"/>
    </row>
    <row r="1430" spans="5:6">
      <c r="E1430" s="206"/>
      <c r="F1430" s="206"/>
    </row>
    <row r="1431" spans="5:6">
      <c r="E1431" s="206"/>
      <c r="F1431" s="206"/>
    </row>
    <row r="1432" spans="5:6">
      <c r="E1432" s="206"/>
      <c r="F1432" s="206"/>
    </row>
    <row r="1433" spans="5:6">
      <c r="E1433" s="206"/>
      <c r="F1433" s="206"/>
    </row>
    <row r="1434" spans="5:6">
      <c r="E1434" s="206"/>
      <c r="F1434" s="206"/>
    </row>
    <row r="1435" spans="5:6">
      <c r="E1435" s="206"/>
      <c r="F1435" s="206"/>
    </row>
    <row r="1436" spans="5:6">
      <c r="E1436" s="206"/>
      <c r="F1436" s="206"/>
    </row>
    <row r="1437" spans="5:6">
      <c r="E1437" s="206"/>
      <c r="F1437" s="206"/>
    </row>
    <row r="1438" spans="5:6">
      <c r="E1438" s="206"/>
      <c r="F1438" s="206"/>
    </row>
    <row r="1439" spans="5:6">
      <c r="E1439" s="206"/>
      <c r="F1439" s="206"/>
    </row>
    <row r="1440" spans="5:6">
      <c r="E1440" s="206"/>
      <c r="F1440" s="206"/>
    </row>
    <row r="1441" spans="5:6">
      <c r="E1441" s="206"/>
      <c r="F1441" s="206"/>
    </row>
    <row r="1442" spans="5:6">
      <c r="E1442" s="206"/>
      <c r="F1442" s="206"/>
    </row>
    <row r="1443" spans="5:6">
      <c r="E1443" s="206"/>
      <c r="F1443" s="206"/>
    </row>
    <row r="1444" spans="5:6">
      <c r="E1444" s="206"/>
      <c r="F1444" s="206"/>
    </row>
    <row r="1445" spans="5:6">
      <c r="E1445" s="206"/>
      <c r="F1445" s="206"/>
    </row>
    <row r="1446" spans="5:6">
      <c r="E1446" s="206"/>
      <c r="F1446" s="206"/>
    </row>
    <row r="1447" spans="5:6">
      <c r="E1447" s="206"/>
      <c r="F1447" s="206"/>
    </row>
    <row r="1448" spans="5:6">
      <c r="E1448" s="206"/>
      <c r="F1448" s="206"/>
    </row>
    <row r="1449" spans="5:6">
      <c r="E1449" s="206"/>
      <c r="F1449" s="206"/>
    </row>
    <row r="1450" spans="5:6">
      <c r="E1450" s="206"/>
      <c r="F1450" s="206"/>
    </row>
    <row r="1451" spans="5:6">
      <c r="E1451" s="206"/>
      <c r="F1451" s="206"/>
    </row>
    <row r="1452" spans="5:6">
      <c r="E1452" s="206"/>
      <c r="F1452" s="206"/>
    </row>
    <row r="1453" spans="5:6">
      <c r="E1453" s="206"/>
      <c r="F1453" s="206"/>
    </row>
    <row r="1454" spans="5:6">
      <c r="E1454" s="206"/>
      <c r="F1454" s="206"/>
    </row>
    <row r="1455" spans="5:6">
      <c r="E1455" s="206"/>
      <c r="F1455" s="206"/>
    </row>
    <row r="1456" spans="5:6">
      <c r="E1456" s="206"/>
      <c r="F1456" s="206"/>
    </row>
    <row r="1457" spans="5:6">
      <c r="E1457" s="206"/>
      <c r="F1457" s="206"/>
    </row>
    <row r="1458" spans="5:6">
      <c r="E1458" s="206"/>
      <c r="F1458" s="206"/>
    </row>
    <row r="1459" spans="5:6">
      <c r="E1459" s="206"/>
      <c r="F1459" s="206"/>
    </row>
    <row r="1460" spans="5:6">
      <c r="E1460" s="206"/>
      <c r="F1460" s="206"/>
    </row>
    <row r="1461" spans="5:6">
      <c r="E1461" s="206"/>
      <c r="F1461" s="206"/>
    </row>
    <row r="1462" spans="5:6">
      <c r="E1462" s="206"/>
      <c r="F1462" s="206"/>
    </row>
    <row r="1463" spans="5:6">
      <c r="E1463" s="206"/>
      <c r="F1463" s="206"/>
    </row>
    <row r="1464" spans="5:6">
      <c r="E1464" s="206"/>
      <c r="F1464" s="206"/>
    </row>
    <row r="1465" spans="5:6">
      <c r="E1465" s="206"/>
      <c r="F1465" s="206"/>
    </row>
    <row r="1466" spans="5:6">
      <c r="E1466" s="206"/>
      <c r="F1466" s="206"/>
    </row>
    <row r="1467" spans="5:6">
      <c r="E1467" s="206"/>
      <c r="F1467" s="206"/>
    </row>
    <row r="1468" spans="5:6">
      <c r="E1468" s="206"/>
      <c r="F1468" s="206"/>
    </row>
    <row r="1469" spans="5:6">
      <c r="E1469" s="206"/>
      <c r="F1469" s="206"/>
    </row>
    <row r="1470" spans="5:6">
      <c r="E1470" s="206"/>
      <c r="F1470" s="206"/>
    </row>
    <row r="1471" spans="5:6">
      <c r="E1471" s="206"/>
      <c r="F1471" s="206"/>
    </row>
    <row r="1472" spans="5:6">
      <c r="E1472" s="206"/>
      <c r="F1472" s="206"/>
    </row>
    <row r="1473" spans="5:6">
      <c r="E1473" s="206"/>
      <c r="F1473" s="206"/>
    </row>
    <row r="1474" spans="5:6">
      <c r="E1474" s="206"/>
      <c r="F1474" s="206"/>
    </row>
    <row r="1475" spans="5:6">
      <c r="E1475" s="206"/>
      <c r="F1475" s="206"/>
    </row>
    <row r="1476" spans="5:6">
      <c r="E1476" s="206"/>
      <c r="F1476" s="206"/>
    </row>
    <row r="1477" spans="5:6">
      <c r="E1477" s="206"/>
      <c r="F1477" s="206"/>
    </row>
    <row r="1478" spans="5:6">
      <c r="E1478" s="206"/>
      <c r="F1478" s="206"/>
    </row>
    <row r="1479" spans="5:6">
      <c r="E1479" s="206"/>
      <c r="F1479" s="206"/>
    </row>
    <row r="1480" spans="5:6">
      <c r="E1480" s="206"/>
      <c r="F1480" s="206"/>
    </row>
    <row r="1481" spans="5:6">
      <c r="E1481" s="206"/>
      <c r="F1481" s="206"/>
    </row>
    <row r="1482" spans="5:6">
      <c r="E1482" s="206"/>
      <c r="F1482" s="206"/>
    </row>
    <row r="1483" spans="5:6">
      <c r="E1483" s="206"/>
      <c r="F1483" s="206"/>
    </row>
    <row r="1484" spans="5:6">
      <c r="E1484" s="206"/>
      <c r="F1484" s="206"/>
    </row>
    <row r="1485" spans="5:6">
      <c r="E1485" s="206"/>
      <c r="F1485" s="206"/>
    </row>
    <row r="1486" spans="5:6">
      <c r="E1486" s="206"/>
      <c r="F1486" s="206"/>
    </row>
    <row r="1487" spans="5:6">
      <c r="E1487" s="206"/>
      <c r="F1487" s="206"/>
    </row>
    <row r="1488" spans="5:6">
      <c r="E1488" s="206"/>
      <c r="F1488" s="206"/>
    </row>
    <row r="1489" spans="5:6">
      <c r="E1489" s="206"/>
      <c r="F1489" s="206"/>
    </row>
    <row r="1490" spans="5:6">
      <c r="E1490" s="206"/>
      <c r="F1490" s="206"/>
    </row>
    <row r="1491" spans="5:6">
      <c r="E1491" s="206"/>
      <c r="F1491" s="206"/>
    </row>
    <row r="1492" spans="5:6">
      <c r="E1492" s="206"/>
      <c r="F1492" s="206"/>
    </row>
    <row r="1493" spans="5:6">
      <c r="E1493" s="206"/>
      <c r="F1493" s="206"/>
    </row>
    <row r="1494" spans="5:6">
      <c r="E1494" s="206"/>
      <c r="F1494" s="206"/>
    </row>
    <row r="1495" spans="5:6">
      <c r="E1495" s="206"/>
      <c r="F1495" s="206"/>
    </row>
    <row r="1496" spans="5:6">
      <c r="E1496" s="206"/>
      <c r="F1496" s="206"/>
    </row>
    <row r="1497" spans="5:6">
      <c r="E1497" s="206"/>
      <c r="F1497" s="206"/>
    </row>
    <row r="1498" spans="5:6">
      <c r="E1498" s="206"/>
      <c r="F1498" s="206"/>
    </row>
    <row r="1499" spans="5:6">
      <c r="E1499" s="206"/>
      <c r="F1499" s="206"/>
    </row>
    <row r="1500" spans="5:6">
      <c r="E1500" s="206"/>
      <c r="F1500" s="206"/>
    </row>
    <row r="1501" spans="5:6">
      <c r="E1501" s="206"/>
      <c r="F1501" s="206"/>
    </row>
    <row r="1502" spans="5:6">
      <c r="E1502" s="206"/>
      <c r="F1502" s="206"/>
    </row>
    <row r="1503" spans="5:6">
      <c r="E1503" s="206"/>
      <c r="F1503" s="206"/>
    </row>
    <row r="1504" spans="5:6">
      <c r="E1504" s="206"/>
      <c r="F1504" s="206"/>
    </row>
    <row r="1505" spans="5:6">
      <c r="E1505" s="206"/>
      <c r="F1505" s="206"/>
    </row>
    <row r="1506" spans="5:6">
      <c r="E1506" s="206"/>
      <c r="F1506" s="206"/>
    </row>
    <row r="1507" spans="5:6">
      <c r="E1507" s="206"/>
      <c r="F1507" s="206"/>
    </row>
    <row r="1508" spans="5:6">
      <c r="E1508" s="206"/>
      <c r="F1508" s="206"/>
    </row>
    <row r="1509" spans="5:6">
      <c r="E1509" s="206"/>
      <c r="F1509" s="206"/>
    </row>
    <row r="1510" spans="5:6">
      <c r="E1510" s="206"/>
      <c r="F1510" s="206"/>
    </row>
    <row r="1511" spans="5:6">
      <c r="E1511" s="206"/>
      <c r="F1511" s="206"/>
    </row>
    <row r="1512" spans="5:6">
      <c r="E1512" s="206"/>
      <c r="F1512" s="206"/>
    </row>
    <row r="1513" spans="5:6">
      <c r="E1513" s="206"/>
      <c r="F1513" s="206"/>
    </row>
    <row r="1514" spans="5:6">
      <c r="E1514" s="206"/>
      <c r="F1514" s="206"/>
    </row>
    <row r="1515" spans="5:6">
      <c r="E1515" s="206"/>
      <c r="F1515" s="206"/>
    </row>
    <row r="1516" spans="5:6">
      <c r="E1516" s="206"/>
      <c r="F1516" s="206"/>
    </row>
    <row r="1517" spans="5:6">
      <c r="E1517" s="206"/>
      <c r="F1517" s="206"/>
    </row>
    <row r="1518" spans="5:6">
      <c r="E1518" s="206"/>
      <c r="F1518" s="206"/>
    </row>
    <row r="1519" spans="5:6">
      <c r="E1519" s="206"/>
      <c r="F1519" s="206"/>
    </row>
    <row r="1520" spans="5:6">
      <c r="E1520" s="206"/>
      <c r="F1520" s="206"/>
    </row>
    <row r="1521" spans="5:6">
      <c r="E1521" s="206"/>
      <c r="F1521" s="206"/>
    </row>
    <row r="1522" spans="5:6">
      <c r="E1522" s="206"/>
      <c r="F1522" s="206"/>
    </row>
    <row r="1523" spans="5:6">
      <c r="E1523" s="206"/>
      <c r="F1523" s="206"/>
    </row>
    <row r="1524" spans="5:6">
      <c r="E1524" s="206"/>
      <c r="F1524" s="206"/>
    </row>
    <row r="1525" spans="5:6">
      <c r="E1525" s="206"/>
      <c r="F1525" s="206"/>
    </row>
    <row r="1526" spans="5:6">
      <c r="E1526" s="206"/>
      <c r="F1526" s="206"/>
    </row>
    <row r="1527" spans="5:6">
      <c r="E1527" s="206"/>
      <c r="F1527" s="206"/>
    </row>
    <row r="1528" spans="5:6">
      <c r="E1528" s="206"/>
      <c r="F1528" s="206"/>
    </row>
    <row r="1529" spans="5:6">
      <c r="E1529" s="206"/>
      <c r="F1529" s="206"/>
    </row>
    <row r="1530" spans="5:6">
      <c r="E1530" s="206"/>
      <c r="F1530" s="206"/>
    </row>
    <row r="1531" spans="5:6">
      <c r="E1531" s="206"/>
      <c r="F1531" s="206"/>
    </row>
    <row r="1532" spans="5:6">
      <c r="E1532" s="206"/>
      <c r="F1532" s="206"/>
    </row>
    <row r="1533" spans="5:6">
      <c r="E1533" s="206"/>
      <c r="F1533" s="206"/>
    </row>
    <row r="1534" spans="5:6">
      <c r="E1534" s="206"/>
      <c r="F1534" s="206"/>
    </row>
    <row r="1535" spans="5:6">
      <c r="E1535" s="206"/>
      <c r="F1535" s="206"/>
    </row>
    <row r="1536" spans="5:6">
      <c r="E1536" s="206"/>
      <c r="F1536" s="206"/>
    </row>
    <row r="1537" spans="5:6">
      <c r="E1537" s="206"/>
      <c r="F1537" s="206"/>
    </row>
    <row r="1538" spans="5:6">
      <c r="E1538" s="206"/>
      <c r="F1538" s="206"/>
    </row>
    <row r="1539" spans="5:6">
      <c r="E1539" s="206"/>
      <c r="F1539" s="206"/>
    </row>
    <row r="1540" spans="5:6">
      <c r="E1540" s="206"/>
      <c r="F1540" s="206"/>
    </row>
    <row r="1541" spans="5:6">
      <c r="E1541" s="206"/>
      <c r="F1541" s="206"/>
    </row>
    <row r="1542" spans="5:6">
      <c r="E1542" s="206"/>
      <c r="F1542" s="206"/>
    </row>
    <row r="1543" spans="5:6">
      <c r="E1543" s="206"/>
      <c r="F1543" s="206"/>
    </row>
    <row r="1544" spans="5:6">
      <c r="E1544" s="206"/>
      <c r="F1544" s="206"/>
    </row>
    <row r="1545" spans="5:6">
      <c r="E1545" s="206"/>
      <c r="F1545" s="206"/>
    </row>
    <row r="1546" spans="5:6">
      <c r="E1546" s="206"/>
      <c r="F1546" s="206"/>
    </row>
    <row r="1547" spans="5:6">
      <c r="E1547" s="206"/>
      <c r="F1547" s="206"/>
    </row>
    <row r="1548" spans="5:6">
      <c r="E1548" s="206"/>
      <c r="F1548" s="206"/>
    </row>
    <row r="1549" spans="5:6">
      <c r="E1549" s="206"/>
      <c r="F1549" s="206"/>
    </row>
    <row r="1550" spans="5:6">
      <c r="E1550" s="206"/>
      <c r="F1550" s="206"/>
    </row>
    <row r="1551" spans="5:6">
      <c r="E1551" s="206"/>
      <c r="F1551" s="206"/>
    </row>
    <row r="1552" spans="5:6">
      <c r="E1552" s="206"/>
      <c r="F1552" s="206"/>
    </row>
    <row r="1553" spans="5:6">
      <c r="E1553" s="206"/>
      <c r="F1553" s="206"/>
    </row>
    <row r="1554" spans="5:6">
      <c r="E1554" s="206"/>
      <c r="F1554" s="206"/>
    </row>
    <row r="1555" spans="5:6">
      <c r="E1555" s="206"/>
      <c r="F1555" s="206"/>
    </row>
    <row r="1556" spans="5:6">
      <c r="E1556" s="206"/>
      <c r="F1556" s="206"/>
    </row>
    <row r="1557" spans="5:6">
      <c r="E1557" s="206"/>
      <c r="F1557" s="206"/>
    </row>
    <row r="1558" spans="5:6">
      <c r="E1558" s="206"/>
      <c r="F1558" s="206"/>
    </row>
    <row r="1559" spans="5:6">
      <c r="E1559" s="206"/>
      <c r="F1559" s="206"/>
    </row>
    <row r="1560" spans="5:6">
      <c r="E1560" s="206"/>
      <c r="F1560" s="206"/>
    </row>
    <row r="1561" spans="5:6">
      <c r="E1561" s="206"/>
      <c r="F1561" s="206"/>
    </row>
    <row r="1562" spans="5:6">
      <c r="E1562" s="206"/>
      <c r="F1562" s="206"/>
    </row>
    <row r="1563" spans="5:6">
      <c r="E1563" s="206"/>
      <c r="F1563" s="206"/>
    </row>
    <row r="1564" spans="5:6">
      <c r="E1564" s="206"/>
      <c r="F1564" s="206"/>
    </row>
    <row r="1565" spans="5:6">
      <c r="E1565" s="206"/>
      <c r="F1565" s="206"/>
    </row>
    <row r="1566" spans="5:6">
      <c r="E1566" s="206"/>
      <c r="F1566" s="206"/>
    </row>
    <row r="1567" spans="5:6">
      <c r="E1567" s="206"/>
      <c r="F1567" s="206"/>
    </row>
    <row r="1568" spans="5:6">
      <c r="E1568" s="206"/>
      <c r="F1568" s="206"/>
    </row>
    <row r="1569" spans="5:6">
      <c r="E1569" s="206"/>
      <c r="F1569" s="206"/>
    </row>
    <row r="1570" spans="5:6">
      <c r="E1570" s="206"/>
      <c r="F1570" s="206"/>
    </row>
    <row r="1571" spans="5:6">
      <c r="E1571" s="206"/>
      <c r="F1571" s="206"/>
    </row>
    <row r="1572" spans="5:6">
      <c r="E1572" s="206"/>
      <c r="F1572" s="206"/>
    </row>
    <row r="1573" spans="5:6">
      <c r="E1573" s="206"/>
      <c r="F1573" s="206"/>
    </row>
    <row r="1574" spans="5:6">
      <c r="E1574" s="206"/>
      <c r="F1574" s="206"/>
    </row>
    <row r="1575" spans="5:6">
      <c r="E1575" s="206"/>
      <c r="F1575" s="206"/>
    </row>
    <row r="1576" spans="5:6">
      <c r="E1576" s="206"/>
      <c r="F1576" s="206"/>
    </row>
    <row r="1577" spans="5:6">
      <c r="E1577" s="206"/>
      <c r="F1577" s="206"/>
    </row>
    <row r="1578" spans="5:6">
      <c r="E1578" s="206"/>
      <c r="F1578" s="206"/>
    </row>
    <row r="1579" spans="5:6">
      <c r="E1579" s="206"/>
      <c r="F1579" s="206"/>
    </row>
    <row r="1580" spans="5:6">
      <c r="E1580" s="206"/>
      <c r="F1580" s="206"/>
    </row>
    <row r="1581" spans="5:6">
      <c r="E1581" s="206"/>
      <c r="F1581" s="206"/>
    </row>
    <row r="1582" spans="5:6">
      <c r="E1582" s="206"/>
      <c r="F1582" s="206"/>
    </row>
    <row r="1583" spans="5:6">
      <c r="E1583" s="206"/>
      <c r="F1583" s="206"/>
    </row>
    <row r="1584" spans="5:6">
      <c r="E1584" s="206"/>
      <c r="F1584" s="206"/>
    </row>
    <row r="1585" spans="5:6">
      <c r="E1585" s="206"/>
      <c r="F1585" s="206"/>
    </row>
    <row r="1586" spans="5:6">
      <c r="E1586" s="206"/>
      <c r="F1586" s="206"/>
    </row>
    <row r="1587" spans="5:6">
      <c r="E1587" s="206"/>
      <c r="F1587" s="206"/>
    </row>
    <row r="1588" spans="5:6">
      <c r="E1588" s="206"/>
      <c r="F1588" s="206"/>
    </row>
    <row r="1589" spans="5:6">
      <c r="E1589" s="206"/>
      <c r="F1589" s="206"/>
    </row>
    <row r="1590" spans="5:6">
      <c r="E1590" s="206"/>
      <c r="F1590" s="206"/>
    </row>
    <row r="1591" spans="5:6">
      <c r="E1591" s="206"/>
      <c r="F1591" s="206"/>
    </row>
    <row r="1592" spans="5:6">
      <c r="E1592" s="206"/>
      <c r="F1592" s="206"/>
    </row>
    <row r="1593" spans="5:6">
      <c r="E1593" s="206"/>
      <c r="F1593" s="206"/>
    </row>
    <row r="1594" spans="5:6">
      <c r="E1594" s="206"/>
      <c r="F1594" s="206"/>
    </row>
    <row r="1595" spans="5:6">
      <c r="E1595" s="206"/>
      <c r="F1595" s="206"/>
    </row>
    <row r="1596" spans="5:6">
      <c r="E1596" s="206"/>
      <c r="F1596" s="206"/>
    </row>
    <row r="1597" spans="5:6">
      <c r="E1597" s="206"/>
      <c r="F1597" s="206"/>
    </row>
    <row r="1598" spans="5:6">
      <c r="E1598" s="206"/>
      <c r="F1598" s="206"/>
    </row>
    <row r="1599" spans="5:6">
      <c r="E1599" s="206"/>
      <c r="F1599" s="206"/>
    </row>
    <row r="1600" spans="5:6">
      <c r="E1600" s="206"/>
      <c r="F1600" s="206"/>
    </row>
    <row r="1601" spans="5:6">
      <c r="E1601" s="206"/>
      <c r="F1601" s="206"/>
    </row>
    <row r="1602" spans="5:6">
      <c r="E1602" s="206"/>
      <c r="F1602" s="206"/>
    </row>
    <row r="1603" spans="5:6">
      <c r="E1603" s="206"/>
      <c r="F1603" s="206"/>
    </row>
    <row r="1604" spans="5:6">
      <c r="E1604" s="206"/>
      <c r="F1604" s="206"/>
    </row>
    <row r="1605" spans="5:6">
      <c r="E1605" s="206"/>
      <c r="F1605" s="206"/>
    </row>
    <row r="1606" spans="5:6">
      <c r="E1606" s="206"/>
      <c r="F1606" s="206"/>
    </row>
    <row r="1607" spans="5:6">
      <c r="E1607" s="206"/>
      <c r="F1607" s="206"/>
    </row>
    <row r="1608" spans="5:6">
      <c r="E1608" s="206"/>
      <c r="F1608" s="206"/>
    </row>
    <row r="1609" spans="5:6">
      <c r="E1609" s="206"/>
      <c r="F1609" s="206"/>
    </row>
    <row r="1610" spans="5:6">
      <c r="E1610" s="206"/>
      <c r="F1610" s="206"/>
    </row>
    <row r="1611" spans="5:6">
      <c r="E1611" s="206"/>
      <c r="F1611" s="206"/>
    </row>
    <row r="1612" spans="5:6">
      <c r="E1612" s="206"/>
      <c r="F1612" s="206"/>
    </row>
    <row r="1613" spans="5:6">
      <c r="E1613" s="206"/>
      <c r="F1613" s="206"/>
    </row>
    <row r="1614" spans="5:6">
      <c r="E1614" s="206"/>
      <c r="F1614" s="206"/>
    </row>
    <row r="1615" spans="5:6">
      <c r="E1615" s="206"/>
      <c r="F1615" s="206"/>
    </row>
    <row r="1616" spans="5:6">
      <c r="E1616" s="206"/>
      <c r="F1616" s="206"/>
    </row>
    <row r="1617" spans="5:6">
      <c r="E1617" s="206"/>
      <c r="F1617" s="206"/>
    </row>
    <row r="1618" spans="5:6">
      <c r="E1618" s="206"/>
      <c r="F1618" s="206"/>
    </row>
    <row r="1619" spans="5:6">
      <c r="E1619" s="206"/>
      <c r="F1619" s="206"/>
    </row>
    <row r="1620" spans="5:6">
      <c r="E1620" s="206"/>
      <c r="F1620" s="206"/>
    </row>
    <row r="1621" spans="5:6">
      <c r="E1621" s="206"/>
      <c r="F1621" s="206"/>
    </row>
    <row r="1622" spans="5:6">
      <c r="E1622" s="206"/>
      <c r="F1622" s="206"/>
    </row>
    <row r="1623" spans="5:6">
      <c r="E1623" s="206"/>
      <c r="F1623" s="206"/>
    </row>
    <row r="1624" spans="5:6">
      <c r="E1624" s="206"/>
      <c r="F1624" s="206"/>
    </row>
    <row r="1625" spans="5:6">
      <c r="E1625" s="206"/>
      <c r="F1625" s="206"/>
    </row>
    <row r="1626" spans="5:6">
      <c r="E1626" s="206"/>
      <c r="F1626" s="206"/>
    </row>
    <row r="1627" spans="5:6">
      <c r="E1627" s="206"/>
      <c r="F1627" s="206"/>
    </row>
    <row r="1628" spans="5:6">
      <c r="E1628" s="206"/>
      <c r="F1628" s="206"/>
    </row>
    <row r="1629" spans="5:6">
      <c r="E1629" s="206"/>
      <c r="F1629" s="206"/>
    </row>
    <row r="1630" spans="5:6">
      <c r="E1630" s="206"/>
      <c r="F1630" s="206"/>
    </row>
    <row r="1631" spans="5:6">
      <c r="E1631" s="206"/>
      <c r="F1631" s="206"/>
    </row>
    <row r="1632" spans="5:6">
      <c r="E1632" s="206"/>
      <c r="F1632" s="206"/>
    </row>
    <row r="1633" spans="5:6">
      <c r="E1633" s="206"/>
      <c r="F1633" s="206"/>
    </row>
    <row r="1634" spans="5:6">
      <c r="E1634" s="206"/>
      <c r="F1634" s="206"/>
    </row>
    <row r="1635" spans="5:6">
      <c r="E1635" s="206"/>
      <c r="F1635" s="206"/>
    </row>
    <row r="1636" spans="5:6">
      <c r="E1636" s="206"/>
      <c r="F1636" s="206"/>
    </row>
    <row r="1637" spans="5:6">
      <c r="E1637" s="206"/>
      <c r="F1637" s="206"/>
    </row>
    <row r="1638" spans="5:6">
      <c r="E1638" s="206"/>
      <c r="F1638" s="206"/>
    </row>
    <row r="1639" spans="5:6">
      <c r="E1639" s="206"/>
      <c r="F1639" s="206"/>
    </row>
    <row r="1640" spans="5:6">
      <c r="E1640" s="206"/>
      <c r="F1640" s="206"/>
    </row>
    <row r="1641" spans="5:6">
      <c r="E1641" s="206"/>
      <c r="F1641" s="206"/>
    </row>
    <row r="1642" spans="5:6">
      <c r="E1642" s="206"/>
      <c r="F1642" s="206"/>
    </row>
    <row r="1643" spans="5:6">
      <c r="E1643" s="206"/>
      <c r="F1643" s="206"/>
    </row>
    <row r="1644" spans="5:6">
      <c r="E1644" s="206"/>
      <c r="F1644" s="206"/>
    </row>
    <row r="1645" spans="5:6">
      <c r="E1645" s="206"/>
      <c r="F1645" s="206"/>
    </row>
    <row r="1646" spans="5:6">
      <c r="E1646" s="206"/>
      <c r="F1646" s="206"/>
    </row>
    <row r="1647" spans="5:6">
      <c r="E1647" s="206"/>
      <c r="F1647" s="206"/>
    </row>
    <row r="1648" spans="5:6">
      <c r="E1648" s="206"/>
      <c r="F1648" s="206"/>
    </row>
    <row r="1649" spans="5:6">
      <c r="E1649" s="206"/>
      <c r="F1649" s="206"/>
    </row>
    <row r="1650" spans="5:6">
      <c r="E1650" s="206"/>
      <c r="F1650" s="206"/>
    </row>
    <row r="1651" spans="5:6">
      <c r="E1651" s="206"/>
      <c r="F1651" s="206"/>
    </row>
    <row r="1652" spans="5:6">
      <c r="E1652" s="206"/>
      <c r="F1652" s="206"/>
    </row>
    <row r="1653" spans="5:6">
      <c r="E1653" s="206"/>
      <c r="F1653" s="206"/>
    </row>
    <row r="1654" spans="5:6">
      <c r="E1654" s="206"/>
      <c r="F1654" s="206"/>
    </row>
    <row r="1655" spans="5:6">
      <c r="E1655" s="206"/>
      <c r="F1655" s="206"/>
    </row>
    <row r="1656" spans="5:6">
      <c r="E1656" s="206"/>
      <c r="F1656" s="206"/>
    </row>
    <row r="1657" spans="5:6">
      <c r="E1657" s="206"/>
      <c r="F1657" s="206"/>
    </row>
    <row r="1658" spans="5:6">
      <c r="E1658" s="206"/>
      <c r="F1658" s="206"/>
    </row>
    <row r="1659" spans="5:6">
      <c r="E1659" s="206"/>
      <c r="F1659" s="206"/>
    </row>
    <row r="1660" spans="5:6">
      <c r="E1660" s="206"/>
      <c r="F1660" s="206"/>
    </row>
    <row r="1661" spans="5:6">
      <c r="E1661" s="206"/>
      <c r="F1661" s="206"/>
    </row>
    <row r="1662" spans="5:6">
      <c r="E1662" s="206"/>
      <c r="F1662" s="206"/>
    </row>
    <row r="1663" spans="5:6">
      <c r="E1663" s="206"/>
      <c r="F1663" s="206"/>
    </row>
    <row r="1664" spans="5:6">
      <c r="E1664" s="206"/>
      <c r="F1664" s="206"/>
    </row>
    <row r="1665" spans="5:6">
      <c r="E1665" s="206"/>
      <c r="F1665" s="206"/>
    </row>
    <row r="1666" spans="5:6">
      <c r="E1666" s="206"/>
      <c r="F1666" s="206"/>
    </row>
    <row r="1667" spans="5:6">
      <c r="E1667" s="206"/>
      <c r="F1667" s="206"/>
    </row>
    <row r="1668" spans="5:6">
      <c r="E1668" s="206"/>
      <c r="F1668" s="206"/>
    </row>
    <row r="1669" spans="5:6">
      <c r="E1669" s="206"/>
      <c r="F1669" s="206"/>
    </row>
    <row r="1670" spans="5:6">
      <c r="E1670" s="206"/>
      <c r="F1670" s="206"/>
    </row>
    <row r="1671" spans="5:6">
      <c r="E1671" s="206"/>
      <c r="F1671" s="206"/>
    </row>
    <row r="1672" spans="5:6">
      <c r="E1672" s="206"/>
      <c r="F1672" s="206"/>
    </row>
    <row r="1673" spans="5:6">
      <c r="E1673" s="206"/>
      <c r="F1673" s="206"/>
    </row>
    <row r="1674" spans="5:6">
      <c r="E1674" s="206"/>
      <c r="F1674" s="206"/>
    </row>
    <row r="1675" spans="5:6">
      <c r="E1675" s="206"/>
      <c r="F1675" s="206"/>
    </row>
    <row r="1676" spans="5:6">
      <c r="E1676" s="206"/>
      <c r="F1676" s="206"/>
    </row>
    <row r="1677" spans="5:6">
      <c r="E1677" s="206"/>
      <c r="F1677" s="206"/>
    </row>
    <row r="1678" spans="5:6">
      <c r="E1678" s="206"/>
      <c r="F1678" s="206"/>
    </row>
    <row r="1679" spans="5:6">
      <c r="E1679" s="206"/>
      <c r="F1679" s="206"/>
    </row>
    <row r="1680" spans="5:6">
      <c r="E1680" s="206"/>
      <c r="F1680" s="206"/>
    </row>
    <row r="1681" spans="5:6">
      <c r="E1681" s="206"/>
      <c r="F1681" s="206"/>
    </row>
    <row r="1682" spans="5:6">
      <c r="E1682" s="206"/>
      <c r="F1682" s="206"/>
    </row>
    <row r="1683" spans="5:6">
      <c r="E1683" s="206"/>
      <c r="F1683" s="206"/>
    </row>
    <row r="1684" spans="5:6">
      <c r="E1684" s="206"/>
      <c r="F1684" s="206"/>
    </row>
    <row r="1685" spans="5:6">
      <c r="E1685" s="206"/>
      <c r="F1685" s="206"/>
    </row>
    <row r="1686" spans="5:6">
      <c r="E1686" s="206"/>
      <c r="F1686" s="206"/>
    </row>
    <row r="1687" spans="5:6">
      <c r="E1687" s="206"/>
      <c r="F1687" s="206"/>
    </row>
    <row r="1688" spans="5:6">
      <c r="E1688" s="206"/>
      <c r="F1688" s="206"/>
    </row>
    <row r="1689" spans="5:6">
      <c r="E1689" s="206"/>
      <c r="F1689" s="206"/>
    </row>
    <row r="1690" spans="5:6">
      <c r="E1690" s="206"/>
      <c r="F1690" s="206"/>
    </row>
    <row r="1691" spans="5:6">
      <c r="E1691" s="206"/>
      <c r="F1691" s="206"/>
    </row>
    <row r="1692" spans="5:6">
      <c r="E1692" s="206"/>
      <c r="F1692" s="206"/>
    </row>
    <row r="1693" spans="5:6">
      <c r="E1693" s="206"/>
      <c r="F1693" s="206"/>
    </row>
    <row r="1694" spans="5:6">
      <c r="E1694" s="206"/>
      <c r="F1694" s="206"/>
    </row>
    <row r="1695" spans="5:6">
      <c r="E1695" s="206"/>
      <c r="F1695" s="206"/>
    </row>
    <row r="1696" spans="5:6">
      <c r="E1696" s="206"/>
      <c r="F1696" s="206"/>
    </row>
    <row r="1697" spans="5:6">
      <c r="E1697" s="206"/>
      <c r="F1697" s="206"/>
    </row>
    <row r="1698" spans="5:6">
      <c r="E1698" s="206"/>
      <c r="F1698" s="206"/>
    </row>
    <row r="1699" spans="5:6">
      <c r="E1699" s="206"/>
      <c r="F1699" s="206"/>
    </row>
    <row r="1700" spans="5:6">
      <c r="E1700" s="206"/>
      <c r="F1700" s="206"/>
    </row>
    <row r="1701" spans="5:6">
      <c r="E1701" s="206"/>
      <c r="F1701" s="206"/>
    </row>
    <row r="1702" spans="5:6">
      <c r="E1702" s="206"/>
      <c r="F1702" s="206"/>
    </row>
    <row r="1703" spans="5:6">
      <c r="E1703" s="206"/>
      <c r="F1703" s="206"/>
    </row>
    <row r="1704" spans="5:6">
      <c r="E1704" s="206"/>
      <c r="F1704" s="206"/>
    </row>
    <row r="1705" spans="5:6">
      <c r="E1705" s="206"/>
      <c r="F1705" s="206"/>
    </row>
    <row r="1706" spans="5:6">
      <c r="E1706" s="206"/>
      <c r="F1706" s="206"/>
    </row>
    <row r="1707" spans="5:6">
      <c r="E1707" s="206"/>
      <c r="F1707" s="206"/>
    </row>
    <row r="1708" spans="5:6">
      <c r="E1708" s="206"/>
      <c r="F1708" s="206"/>
    </row>
    <row r="1709" spans="5:6">
      <c r="E1709" s="206"/>
      <c r="F1709" s="206"/>
    </row>
    <row r="1710" spans="5:6">
      <c r="E1710" s="206"/>
      <c r="F1710" s="206"/>
    </row>
    <row r="1711" spans="5:6">
      <c r="E1711" s="206"/>
      <c r="F1711" s="206"/>
    </row>
    <row r="1712" spans="5:6">
      <c r="E1712" s="206"/>
      <c r="F1712" s="206"/>
    </row>
    <row r="1713" spans="5:6">
      <c r="E1713" s="206"/>
      <c r="F1713" s="206"/>
    </row>
    <row r="1714" spans="5:6">
      <c r="E1714" s="206"/>
      <c r="F1714" s="206"/>
    </row>
    <row r="1715" spans="5:6">
      <c r="E1715" s="206"/>
      <c r="F1715" s="206"/>
    </row>
    <row r="1716" spans="5:6">
      <c r="E1716" s="206"/>
      <c r="F1716" s="206"/>
    </row>
    <row r="1717" spans="5:6">
      <c r="E1717" s="206"/>
      <c r="F1717" s="206"/>
    </row>
    <row r="1718" spans="5:6">
      <c r="E1718" s="206"/>
      <c r="F1718" s="206"/>
    </row>
    <row r="1719" spans="5:6">
      <c r="E1719" s="206"/>
      <c r="F1719" s="206"/>
    </row>
    <row r="1720" spans="5:6">
      <c r="E1720" s="206"/>
      <c r="F1720" s="206"/>
    </row>
    <row r="1721" spans="5:6">
      <c r="E1721" s="206"/>
      <c r="F1721" s="206"/>
    </row>
    <row r="1722" spans="5:6">
      <c r="E1722" s="206"/>
      <c r="F1722" s="206"/>
    </row>
    <row r="1723" spans="5:6">
      <c r="E1723" s="206"/>
      <c r="F1723" s="206"/>
    </row>
    <row r="1724" spans="5:6">
      <c r="E1724" s="206"/>
      <c r="F1724" s="206"/>
    </row>
    <row r="1725" spans="5:6">
      <c r="E1725" s="206"/>
      <c r="F1725" s="206"/>
    </row>
    <row r="1726" spans="5:6">
      <c r="E1726" s="206"/>
      <c r="F1726" s="206"/>
    </row>
    <row r="1727" spans="5:6">
      <c r="E1727" s="206"/>
      <c r="F1727" s="206"/>
    </row>
    <row r="1728" spans="5:6">
      <c r="E1728" s="206"/>
      <c r="F1728" s="206"/>
    </row>
    <row r="1729" spans="5:6">
      <c r="E1729" s="206"/>
      <c r="F1729" s="206"/>
    </row>
    <row r="1730" spans="5:6">
      <c r="E1730" s="206"/>
      <c r="F1730" s="206"/>
    </row>
    <row r="1731" spans="5:6">
      <c r="E1731" s="206"/>
      <c r="F1731" s="206"/>
    </row>
    <row r="1732" spans="5:6">
      <c r="E1732" s="206"/>
      <c r="F1732" s="206"/>
    </row>
    <row r="1733" spans="5:6">
      <c r="E1733" s="206"/>
      <c r="F1733" s="206"/>
    </row>
    <row r="1734" spans="5:6">
      <c r="E1734" s="206"/>
      <c r="F1734" s="206"/>
    </row>
    <row r="1735" spans="5:6">
      <c r="E1735" s="206"/>
      <c r="F1735" s="206"/>
    </row>
    <row r="1736" spans="5:6">
      <c r="E1736" s="206"/>
      <c r="F1736" s="206"/>
    </row>
    <row r="1737" spans="5:6">
      <c r="E1737" s="206"/>
      <c r="F1737" s="206"/>
    </row>
    <row r="1738" spans="5:6">
      <c r="E1738" s="206"/>
      <c r="F1738" s="206"/>
    </row>
    <row r="1739" spans="5:6">
      <c r="E1739" s="206"/>
      <c r="F1739" s="206"/>
    </row>
    <row r="1740" spans="5:6">
      <c r="E1740" s="206"/>
      <c r="F1740" s="206"/>
    </row>
    <row r="1741" spans="5:6">
      <c r="E1741" s="206"/>
      <c r="F1741" s="206"/>
    </row>
    <row r="1742" spans="5:6">
      <c r="E1742" s="206"/>
      <c r="F1742" s="206"/>
    </row>
    <row r="1743" spans="5:6">
      <c r="E1743" s="206"/>
      <c r="F1743" s="206"/>
    </row>
    <row r="1744" spans="5:6">
      <c r="E1744" s="206"/>
      <c r="F1744" s="206"/>
    </row>
    <row r="1745" spans="5:6">
      <c r="E1745" s="206"/>
      <c r="F1745" s="206"/>
    </row>
    <row r="1746" spans="5:6">
      <c r="E1746" s="206"/>
      <c r="F1746" s="206"/>
    </row>
    <row r="1747" spans="5:6">
      <c r="E1747" s="206"/>
      <c r="F1747" s="206"/>
    </row>
    <row r="1748" spans="5:6">
      <c r="E1748" s="206"/>
      <c r="F1748" s="206"/>
    </row>
    <row r="1749" spans="5:6">
      <c r="E1749" s="206"/>
      <c r="F1749" s="206"/>
    </row>
    <row r="1750" spans="5:6">
      <c r="E1750" s="206"/>
      <c r="F1750" s="206"/>
    </row>
    <row r="1751" spans="5:6">
      <c r="E1751" s="206"/>
      <c r="F1751" s="206"/>
    </row>
    <row r="1752" spans="5:6">
      <c r="E1752" s="206"/>
      <c r="F1752" s="206"/>
    </row>
    <row r="1753" spans="5:6">
      <c r="E1753" s="206"/>
      <c r="F1753" s="206"/>
    </row>
    <row r="1754" spans="5:6">
      <c r="E1754" s="206"/>
      <c r="F1754" s="206"/>
    </row>
    <row r="1755" spans="5:6">
      <c r="E1755" s="206"/>
      <c r="F1755" s="206"/>
    </row>
    <row r="1756" spans="5:6">
      <c r="E1756" s="206"/>
      <c r="F1756" s="206"/>
    </row>
    <row r="1757" spans="5:6">
      <c r="E1757" s="206"/>
      <c r="F1757" s="206"/>
    </row>
    <row r="1758" spans="5:6">
      <c r="E1758" s="206"/>
      <c r="F1758" s="206"/>
    </row>
    <row r="1759" spans="5:6">
      <c r="E1759" s="206"/>
      <c r="F1759" s="206"/>
    </row>
    <row r="1760" spans="5:6">
      <c r="E1760" s="206"/>
      <c r="F1760" s="206"/>
    </row>
    <row r="1761" spans="5:6">
      <c r="E1761" s="206"/>
      <c r="F1761" s="206"/>
    </row>
    <row r="1762" spans="5:6">
      <c r="E1762" s="206"/>
      <c r="F1762" s="206"/>
    </row>
    <row r="1763" spans="5:6">
      <c r="E1763" s="206"/>
      <c r="F1763" s="206"/>
    </row>
    <row r="1764" spans="5:6">
      <c r="E1764" s="206"/>
      <c r="F1764" s="206"/>
    </row>
    <row r="1765" spans="5:6">
      <c r="E1765" s="206"/>
      <c r="F1765" s="206"/>
    </row>
    <row r="1766" spans="5:6">
      <c r="E1766" s="206"/>
      <c r="F1766" s="206"/>
    </row>
    <row r="1767" spans="5:6">
      <c r="E1767" s="206"/>
      <c r="F1767" s="206"/>
    </row>
    <row r="1768" spans="5:6">
      <c r="E1768" s="206"/>
      <c r="F1768" s="206"/>
    </row>
    <row r="1769" spans="5:6">
      <c r="E1769" s="206"/>
      <c r="F1769" s="206"/>
    </row>
    <row r="1770" spans="5:6">
      <c r="E1770" s="206"/>
      <c r="F1770" s="206"/>
    </row>
    <row r="1771" spans="5:6">
      <c r="E1771" s="206"/>
      <c r="F1771" s="206"/>
    </row>
    <row r="1772" spans="5:6">
      <c r="E1772" s="206"/>
      <c r="F1772" s="206"/>
    </row>
    <row r="1773" spans="5:6">
      <c r="E1773" s="206"/>
      <c r="F1773" s="206"/>
    </row>
    <row r="1774" spans="5:6">
      <c r="E1774" s="206"/>
      <c r="F1774" s="206"/>
    </row>
    <row r="1775" spans="5:6">
      <c r="E1775" s="206"/>
      <c r="F1775" s="206"/>
    </row>
    <row r="1776" spans="5:6">
      <c r="E1776" s="206"/>
      <c r="F1776" s="206"/>
    </row>
    <row r="1777" spans="5:6">
      <c r="E1777" s="206"/>
      <c r="F1777" s="206"/>
    </row>
    <row r="1778" spans="5:6">
      <c r="E1778" s="206"/>
      <c r="F1778" s="206"/>
    </row>
    <row r="1779" spans="5:6">
      <c r="E1779" s="206"/>
      <c r="F1779" s="206"/>
    </row>
    <row r="1780" spans="5:6">
      <c r="E1780" s="206"/>
      <c r="F1780" s="206"/>
    </row>
    <row r="1781" spans="5:6">
      <c r="E1781" s="206"/>
      <c r="F1781" s="206"/>
    </row>
    <row r="1782" spans="5:6">
      <c r="E1782" s="206"/>
      <c r="F1782" s="206"/>
    </row>
    <row r="1783" spans="5:6">
      <c r="E1783" s="206"/>
      <c r="F1783" s="206"/>
    </row>
    <row r="1784" spans="5:6">
      <c r="E1784" s="206"/>
      <c r="F1784" s="206"/>
    </row>
    <row r="1785" spans="5:6">
      <c r="E1785" s="206"/>
      <c r="F1785" s="206"/>
    </row>
    <row r="1786" spans="5:6">
      <c r="E1786" s="206"/>
      <c r="F1786" s="206"/>
    </row>
    <row r="1787" spans="5:6">
      <c r="E1787" s="206"/>
      <c r="F1787" s="206"/>
    </row>
    <row r="1788" spans="5:6">
      <c r="E1788" s="206"/>
      <c r="F1788" s="206"/>
    </row>
    <row r="1789" spans="5:6">
      <c r="E1789" s="206"/>
      <c r="F1789" s="206"/>
    </row>
    <row r="1790" spans="5:6">
      <c r="E1790" s="206"/>
      <c r="F1790" s="206"/>
    </row>
    <row r="1791" spans="5:6">
      <c r="E1791" s="206"/>
      <c r="F1791" s="206"/>
    </row>
    <row r="1792" spans="5:6">
      <c r="E1792" s="206"/>
      <c r="F1792" s="206"/>
    </row>
    <row r="1793" spans="5:6">
      <c r="E1793" s="206"/>
      <c r="F1793" s="206"/>
    </row>
    <row r="1794" spans="5:6">
      <c r="E1794" s="206"/>
      <c r="F1794" s="206"/>
    </row>
    <row r="1795" spans="5:6">
      <c r="E1795" s="206"/>
      <c r="F1795" s="206"/>
    </row>
    <row r="1796" spans="5:6">
      <c r="E1796" s="206"/>
      <c r="F1796" s="206"/>
    </row>
    <row r="1797" spans="5:6">
      <c r="E1797" s="206"/>
      <c r="F1797" s="206"/>
    </row>
    <row r="1798" spans="5:6">
      <c r="E1798" s="206"/>
      <c r="F1798" s="206"/>
    </row>
    <row r="1799" spans="5:6">
      <c r="E1799" s="206"/>
      <c r="F1799" s="206"/>
    </row>
    <row r="1800" spans="5:6">
      <c r="E1800" s="206"/>
      <c r="F1800" s="206"/>
    </row>
    <row r="1801" spans="5:6">
      <c r="E1801" s="206"/>
      <c r="F1801" s="206"/>
    </row>
    <row r="1802" spans="5:6">
      <c r="E1802" s="206"/>
      <c r="F1802" s="206"/>
    </row>
    <row r="1803" spans="5:6">
      <c r="E1803" s="206"/>
      <c r="F1803" s="206"/>
    </row>
    <row r="1804" spans="5:6">
      <c r="E1804" s="206"/>
      <c r="F1804" s="206"/>
    </row>
    <row r="1805" spans="5:6">
      <c r="E1805" s="206"/>
      <c r="F1805" s="206"/>
    </row>
    <row r="1806" spans="5:6">
      <c r="E1806" s="206"/>
      <c r="F1806" s="206"/>
    </row>
    <row r="1807" spans="5:6">
      <c r="E1807" s="206"/>
      <c r="F1807" s="206"/>
    </row>
    <row r="1808" spans="5:6">
      <c r="E1808" s="206"/>
      <c r="F1808" s="206"/>
    </row>
    <row r="1809" spans="5:6">
      <c r="E1809" s="206"/>
      <c r="F1809" s="206"/>
    </row>
    <row r="1810" spans="5:6">
      <c r="E1810" s="206"/>
      <c r="F1810" s="206"/>
    </row>
    <row r="1811" spans="5:6">
      <c r="E1811" s="206"/>
      <c r="F1811" s="206"/>
    </row>
    <row r="1812" spans="5:6">
      <c r="E1812" s="206"/>
      <c r="F1812" s="206"/>
    </row>
    <row r="1813" spans="5:6">
      <c r="E1813" s="206"/>
      <c r="F1813" s="206"/>
    </row>
    <row r="1814" spans="5:6">
      <c r="E1814" s="206"/>
      <c r="F1814" s="206"/>
    </row>
    <row r="1815" spans="5:6">
      <c r="E1815" s="206"/>
      <c r="F1815" s="206"/>
    </row>
    <row r="1816" spans="5:6">
      <c r="E1816" s="206"/>
      <c r="F1816" s="206"/>
    </row>
    <row r="1817" spans="5:6">
      <c r="E1817" s="206"/>
      <c r="F1817" s="206"/>
    </row>
    <row r="1818" spans="5:6">
      <c r="E1818" s="206"/>
      <c r="F1818" s="206"/>
    </row>
    <row r="1819" spans="5:6">
      <c r="E1819" s="206"/>
      <c r="F1819" s="206"/>
    </row>
    <row r="1820" spans="5:6">
      <c r="E1820" s="206"/>
      <c r="F1820" s="206"/>
    </row>
    <row r="1821" spans="5:6">
      <c r="E1821" s="206"/>
      <c r="F1821" s="206"/>
    </row>
    <row r="1822" spans="5:6">
      <c r="E1822" s="206"/>
      <c r="F1822" s="206"/>
    </row>
    <row r="1823" spans="5:6">
      <c r="E1823" s="206"/>
      <c r="F1823" s="206"/>
    </row>
    <row r="1824" spans="5:6">
      <c r="E1824" s="206"/>
      <c r="F1824" s="206"/>
    </row>
    <row r="1825" spans="5:6">
      <c r="E1825" s="206"/>
      <c r="F1825" s="206"/>
    </row>
    <row r="1826" spans="5:6">
      <c r="E1826" s="206"/>
      <c r="F1826" s="206"/>
    </row>
    <row r="1827" spans="5:6">
      <c r="E1827" s="206"/>
      <c r="F1827" s="206"/>
    </row>
    <row r="1828" spans="5:6">
      <c r="E1828" s="206"/>
      <c r="F1828" s="206"/>
    </row>
    <row r="1829" spans="5:6">
      <c r="E1829" s="206"/>
      <c r="F1829" s="206"/>
    </row>
    <row r="1830" spans="5:6">
      <c r="E1830" s="206"/>
      <c r="F1830" s="206"/>
    </row>
    <row r="1831" spans="5:6">
      <c r="E1831" s="206"/>
      <c r="F1831" s="206"/>
    </row>
    <row r="1832" spans="5:6">
      <c r="E1832" s="206"/>
      <c r="F1832" s="206"/>
    </row>
    <row r="1833" spans="5:6">
      <c r="E1833" s="206"/>
      <c r="F1833" s="206"/>
    </row>
    <row r="1834" spans="5:6">
      <c r="E1834" s="206"/>
      <c r="F1834" s="206"/>
    </row>
    <row r="1835" spans="5:6">
      <c r="E1835" s="206"/>
      <c r="F1835" s="206"/>
    </row>
    <row r="1836" spans="5:6">
      <c r="E1836" s="206"/>
      <c r="F1836" s="206"/>
    </row>
    <row r="1837" spans="5:6">
      <c r="E1837" s="206"/>
      <c r="F1837" s="206"/>
    </row>
    <row r="1838" spans="5:6">
      <c r="E1838" s="206"/>
      <c r="F1838" s="206"/>
    </row>
    <row r="1839" spans="5:6">
      <c r="E1839" s="206"/>
      <c r="F1839" s="206"/>
    </row>
    <row r="1840" spans="5:6">
      <c r="E1840" s="206"/>
      <c r="F1840" s="206"/>
    </row>
    <row r="1841" spans="5:6">
      <c r="E1841" s="206"/>
      <c r="F1841" s="206"/>
    </row>
    <row r="1842" spans="5:6">
      <c r="E1842" s="206"/>
      <c r="F1842" s="206"/>
    </row>
    <row r="1843" spans="5:6">
      <c r="E1843" s="206"/>
      <c r="F1843" s="206"/>
    </row>
    <row r="1844" spans="5:6">
      <c r="E1844" s="206"/>
      <c r="F1844" s="206"/>
    </row>
    <row r="1845" spans="5:6">
      <c r="E1845" s="206"/>
      <c r="F1845" s="206"/>
    </row>
    <row r="1846" spans="5:6">
      <c r="E1846" s="206"/>
      <c r="F1846" s="206"/>
    </row>
    <row r="1847" spans="5:6">
      <c r="E1847" s="206"/>
      <c r="F1847" s="206"/>
    </row>
    <row r="1848" spans="5:6">
      <c r="E1848" s="206"/>
      <c r="F1848" s="206"/>
    </row>
    <row r="1849" spans="5:6">
      <c r="E1849" s="206"/>
      <c r="F1849" s="206"/>
    </row>
    <row r="1850" spans="5:6">
      <c r="E1850" s="206"/>
      <c r="F1850" s="206"/>
    </row>
    <row r="1851" spans="5:6">
      <c r="E1851" s="206"/>
      <c r="F1851" s="206"/>
    </row>
    <row r="1852" spans="5:6">
      <c r="E1852" s="206"/>
      <c r="F1852" s="206"/>
    </row>
    <row r="1853" spans="5:6">
      <c r="E1853" s="206"/>
      <c r="F1853" s="206"/>
    </row>
    <row r="1854" spans="5:6">
      <c r="E1854" s="206"/>
      <c r="F1854" s="206"/>
    </row>
    <row r="1855" spans="5:6">
      <c r="E1855" s="206"/>
      <c r="F1855" s="206"/>
    </row>
    <row r="1856" spans="5:6">
      <c r="E1856" s="206"/>
      <c r="F1856" s="206"/>
    </row>
    <row r="1857" spans="5:6">
      <c r="E1857" s="206"/>
      <c r="F1857" s="206"/>
    </row>
    <row r="1858" spans="5:6">
      <c r="E1858" s="206"/>
      <c r="F1858" s="206"/>
    </row>
    <row r="1859" spans="5:6">
      <c r="E1859" s="206"/>
      <c r="F1859" s="206"/>
    </row>
    <row r="1860" spans="5:6">
      <c r="E1860" s="206"/>
      <c r="F1860" s="206"/>
    </row>
    <row r="1861" spans="5:6">
      <c r="E1861" s="206"/>
      <c r="F1861" s="206"/>
    </row>
    <row r="1862" spans="5:6">
      <c r="E1862" s="206"/>
      <c r="F1862" s="206"/>
    </row>
    <row r="1863" spans="5:6">
      <c r="E1863" s="206"/>
      <c r="F1863" s="206"/>
    </row>
    <row r="1864" spans="5:6">
      <c r="E1864" s="206"/>
      <c r="F1864" s="206"/>
    </row>
    <row r="1865" spans="5:6">
      <c r="E1865" s="206"/>
      <c r="F1865" s="206"/>
    </row>
    <row r="1866" spans="5:6">
      <c r="E1866" s="206"/>
      <c r="F1866" s="206"/>
    </row>
    <row r="1867" spans="5:6">
      <c r="E1867" s="206"/>
      <c r="F1867" s="206"/>
    </row>
    <row r="1868" spans="5:6">
      <c r="E1868" s="206"/>
      <c r="F1868" s="206"/>
    </row>
    <row r="1869" spans="5:6">
      <c r="E1869" s="206"/>
      <c r="F1869" s="206"/>
    </row>
    <row r="1870" spans="5:6">
      <c r="E1870" s="206"/>
      <c r="F1870" s="206"/>
    </row>
    <row r="1871" spans="5:6">
      <c r="E1871" s="206"/>
      <c r="F1871" s="206"/>
    </row>
    <row r="1872" spans="5:6">
      <c r="E1872" s="206"/>
      <c r="F1872" s="206"/>
    </row>
    <row r="1873" spans="5:6">
      <c r="E1873" s="206"/>
      <c r="F1873" s="206"/>
    </row>
    <row r="1874" spans="5:6">
      <c r="E1874" s="206"/>
      <c r="F1874" s="206"/>
    </row>
    <row r="1875" spans="5:6">
      <c r="E1875" s="206"/>
      <c r="F1875" s="206"/>
    </row>
    <row r="1876" spans="5:6">
      <c r="E1876" s="206"/>
      <c r="F1876" s="206"/>
    </row>
    <row r="1877" spans="5:6">
      <c r="E1877" s="206"/>
      <c r="F1877" s="206"/>
    </row>
    <row r="1878" spans="5:6">
      <c r="E1878" s="206"/>
      <c r="F1878" s="206"/>
    </row>
    <row r="1879" spans="5:6">
      <c r="E1879" s="206"/>
      <c r="F1879" s="206"/>
    </row>
    <row r="1880" spans="5:6">
      <c r="E1880" s="206"/>
      <c r="F1880" s="206"/>
    </row>
    <row r="1881" spans="5:6">
      <c r="E1881" s="206"/>
      <c r="F1881" s="206"/>
    </row>
    <row r="1882" spans="5:6">
      <c r="E1882" s="206"/>
      <c r="F1882" s="206"/>
    </row>
    <row r="1883" spans="5:6">
      <c r="E1883" s="206"/>
      <c r="F1883" s="206"/>
    </row>
    <row r="1884" spans="5:6">
      <c r="E1884" s="206"/>
      <c r="F1884" s="206"/>
    </row>
    <row r="1885" spans="5:6">
      <c r="E1885" s="206"/>
      <c r="F1885" s="206"/>
    </row>
    <row r="1886" spans="5:6">
      <c r="E1886" s="206"/>
      <c r="F1886" s="206"/>
    </row>
    <row r="1887" spans="5:6">
      <c r="E1887" s="206"/>
      <c r="F1887" s="206"/>
    </row>
    <row r="1888" spans="5:6">
      <c r="E1888" s="206"/>
      <c r="F1888" s="206"/>
    </row>
    <row r="1889" spans="5:6">
      <c r="E1889" s="206"/>
      <c r="F1889" s="206"/>
    </row>
    <row r="1890" spans="5:6">
      <c r="E1890" s="206"/>
      <c r="F1890" s="206"/>
    </row>
    <row r="1891" spans="5:6">
      <c r="E1891" s="206"/>
      <c r="F1891" s="206"/>
    </row>
    <row r="1892" spans="5:6">
      <c r="E1892" s="206"/>
      <c r="F1892" s="206"/>
    </row>
    <row r="1893" spans="5:6">
      <c r="E1893" s="206"/>
      <c r="F1893" s="206"/>
    </row>
    <row r="1894" spans="5:6">
      <c r="E1894" s="206"/>
      <c r="F1894" s="206"/>
    </row>
    <row r="1895" spans="5:6">
      <c r="E1895" s="206"/>
      <c r="F1895" s="206"/>
    </row>
    <row r="1896" spans="5:6">
      <c r="E1896" s="206"/>
      <c r="F1896" s="206"/>
    </row>
    <row r="1897" spans="5:6">
      <c r="E1897" s="206"/>
      <c r="F1897" s="206"/>
    </row>
    <row r="1898" spans="5:6">
      <c r="E1898" s="206"/>
      <c r="F1898" s="206"/>
    </row>
    <row r="1899" spans="5:6">
      <c r="E1899" s="206"/>
      <c r="F1899" s="206"/>
    </row>
    <row r="1900" spans="5:6">
      <c r="E1900" s="206"/>
      <c r="F1900" s="206"/>
    </row>
    <row r="1901" spans="5:6">
      <c r="E1901" s="206"/>
      <c r="F1901" s="206"/>
    </row>
    <row r="1902" spans="5:6">
      <c r="E1902" s="206"/>
      <c r="F1902" s="206"/>
    </row>
    <row r="1903" spans="5:6">
      <c r="E1903" s="206"/>
      <c r="F1903" s="206"/>
    </row>
    <row r="1904" spans="5:6">
      <c r="E1904" s="206"/>
      <c r="F1904" s="206"/>
    </row>
    <row r="1905" spans="5:6">
      <c r="E1905" s="206"/>
      <c r="F1905" s="206"/>
    </row>
    <row r="1906" spans="5:6">
      <c r="E1906" s="206"/>
      <c r="F1906" s="206"/>
    </row>
    <row r="1907" spans="5:6">
      <c r="E1907" s="206"/>
      <c r="F1907" s="206"/>
    </row>
    <row r="1908" spans="5:6">
      <c r="E1908" s="206"/>
      <c r="F1908" s="206"/>
    </row>
    <row r="1909" spans="5:6">
      <c r="E1909" s="206"/>
      <c r="F1909" s="206"/>
    </row>
    <row r="1910" spans="5:6">
      <c r="E1910" s="206"/>
      <c r="F1910" s="206"/>
    </row>
    <row r="1911" spans="5:6">
      <c r="E1911" s="206"/>
      <c r="F1911" s="206"/>
    </row>
    <row r="1912" spans="5:6">
      <c r="E1912" s="206"/>
      <c r="F1912" s="206"/>
    </row>
    <row r="1913" spans="5:6">
      <c r="E1913" s="206"/>
      <c r="F1913" s="206"/>
    </row>
    <row r="1914" spans="5:6">
      <c r="E1914" s="206"/>
      <c r="F1914" s="206"/>
    </row>
    <row r="1915" spans="5:6">
      <c r="E1915" s="206"/>
      <c r="F1915" s="206"/>
    </row>
    <row r="1916" spans="5:6">
      <c r="E1916" s="206"/>
      <c r="F1916" s="206"/>
    </row>
    <row r="1917" spans="5:6">
      <c r="E1917" s="206"/>
      <c r="F1917" s="206"/>
    </row>
    <row r="1918" spans="5:6">
      <c r="E1918" s="206"/>
      <c r="F1918" s="206"/>
    </row>
    <row r="1919" spans="5:6">
      <c r="E1919" s="206"/>
      <c r="F1919" s="206"/>
    </row>
    <row r="1920" spans="5:6">
      <c r="E1920" s="206"/>
      <c r="F1920" s="206"/>
    </row>
    <row r="1921" spans="5:6">
      <c r="E1921" s="206"/>
      <c r="F1921" s="206"/>
    </row>
    <row r="1922" spans="5:6">
      <c r="E1922" s="206"/>
      <c r="F1922" s="206"/>
    </row>
    <row r="1923" spans="5:6">
      <c r="E1923" s="206"/>
      <c r="F1923" s="206"/>
    </row>
    <row r="1924" spans="5:6">
      <c r="E1924" s="206"/>
      <c r="F1924" s="206"/>
    </row>
    <row r="1925" spans="5:6">
      <c r="E1925" s="206"/>
      <c r="F1925" s="206"/>
    </row>
    <row r="1926" spans="5:6">
      <c r="E1926" s="206"/>
      <c r="F1926" s="206"/>
    </row>
    <row r="1927" spans="5:6">
      <c r="E1927" s="206"/>
      <c r="F1927" s="206"/>
    </row>
    <row r="1928" spans="5:6">
      <c r="E1928" s="206"/>
      <c r="F1928" s="206"/>
    </row>
    <row r="1929" spans="5:6">
      <c r="E1929" s="206"/>
      <c r="F1929" s="206"/>
    </row>
    <row r="1930" spans="5:6">
      <c r="E1930" s="206"/>
      <c r="F1930" s="206"/>
    </row>
    <row r="1931" spans="5:6">
      <c r="E1931" s="206"/>
      <c r="F1931" s="206"/>
    </row>
    <row r="1932" spans="5:6">
      <c r="E1932" s="206"/>
      <c r="F1932" s="206"/>
    </row>
    <row r="1933" spans="5:6">
      <c r="E1933" s="206"/>
      <c r="F1933" s="206"/>
    </row>
    <row r="1934" spans="5:6">
      <c r="E1934" s="206"/>
      <c r="F1934" s="206"/>
    </row>
    <row r="1935" spans="5:6">
      <c r="E1935" s="206"/>
      <c r="F1935" s="206"/>
    </row>
    <row r="1936" spans="5:6">
      <c r="E1936" s="206"/>
      <c r="F1936" s="206"/>
    </row>
    <row r="1937" spans="5:6">
      <c r="E1937" s="206"/>
      <c r="F1937" s="206"/>
    </row>
    <row r="1938" spans="5:6">
      <c r="E1938" s="206"/>
      <c r="F1938" s="206"/>
    </row>
    <row r="1939" spans="5:6">
      <c r="E1939" s="206"/>
      <c r="F1939" s="206"/>
    </row>
    <row r="1940" spans="5:6">
      <c r="E1940" s="206"/>
      <c r="F1940" s="206"/>
    </row>
    <row r="1941" spans="5:6">
      <c r="E1941" s="206"/>
      <c r="F1941" s="206"/>
    </row>
    <row r="1942" spans="5:6">
      <c r="E1942" s="206"/>
      <c r="F1942" s="206"/>
    </row>
    <row r="1943" spans="5:6">
      <c r="E1943" s="206"/>
      <c r="F1943" s="206"/>
    </row>
    <row r="1944" spans="5:6">
      <c r="E1944" s="206"/>
      <c r="F1944" s="206"/>
    </row>
    <row r="1945" spans="5:6">
      <c r="E1945" s="206"/>
      <c r="F1945" s="206"/>
    </row>
    <row r="1946" spans="5:6">
      <c r="E1946" s="206"/>
      <c r="F1946" s="206"/>
    </row>
    <row r="1947" spans="5:6">
      <c r="E1947" s="206"/>
      <c r="F1947" s="206"/>
    </row>
    <row r="1948" spans="5:6">
      <c r="E1948" s="206"/>
      <c r="F1948" s="206"/>
    </row>
    <row r="1949" spans="5:6">
      <c r="E1949" s="206"/>
      <c r="F1949" s="206"/>
    </row>
    <row r="1950" spans="5:6">
      <c r="E1950" s="206"/>
      <c r="F1950" s="206"/>
    </row>
    <row r="1951" spans="5:6">
      <c r="E1951" s="206"/>
      <c r="F1951" s="206"/>
    </row>
    <row r="1952" spans="5:6">
      <c r="E1952" s="206"/>
      <c r="F1952" s="206"/>
    </row>
    <row r="1953" spans="5:6">
      <c r="E1953" s="206"/>
      <c r="F1953" s="206"/>
    </row>
    <row r="1954" spans="5:6">
      <c r="E1954" s="206"/>
      <c r="F1954" s="206"/>
    </row>
    <row r="1955" spans="5:6">
      <c r="E1955" s="206"/>
      <c r="F1955" s="206"/>
    </row>
    <row r="1956" spans="5:6">
      <c r="E1956" s="206"/>
      <c r="F1956" s="206"/>
    </row>
    <row r="1957" spans="5:6">
      <c r="E1957" s="206"/>
      <c r="F1957" s="206"/>
    </row>
    <row r="1958" spans="5:6">
      <c r="E1958" s="206"/>
      <c r="F1958" s="206"/>
    </row>
    <row r="1959" spans="5:6">
      <c r="E1959" s="206"/>
      <c r="F1959" s="206"/>
    </row>
    <row r="1960" spans="5:6">
      <c r="E1960" s="206"/>
      <c r="F1960" s="206"/>
    </row>
    <row r="1961" spans="5:6">
      <c r="E1961" s="206"/>
      <c r="F1961" s="206"/>
    </row>
    <row r="1962" spans="5:6">
      <c r="E1962" s="206"/>
      <c r="F1962" s="206"/>
    </row>
    <row r="1963" spans="5:6">
      <c r="E1963" s="206"/>
      <c r="F1963" s="206"/>
    </row>
    <row r="1964" spans="5:6">
      <c r="E1964" s="206"/>
      <c r="F1964" s="206"/>
    </row>
    <row r="1965" spans="5:6">
      <c r="E1965" s="206"/>
      <c r="F1965" s="206"/>
    </row>
    <row r="1966" spans="5:6">
      <c r="E1966" s="206"/>
      <c r="F1966" s="206"/>
    </row>
    <row r="1967" spans="5:6">
      <c r="E1967" s="206"/>
      <c r="F1967" s="206"/>
    </row>
    <row r="1968" spans="5:6">
      <c r="E1968" s="206"/>
      <c r="F1968" s="206"/>
    </row>
    <row r="1969" spans="5:6">
      <c r="E1969" s="206"/>
      <c r="F1969" s="206"/>
    </row>
    <row r="1970" spans="5:6">
      <c r="E1970" s="206"/>
      <c r="F1970" s="206"/>
    </row>
    <row r="1971" spans="5:6">
      <c r="E1971" s="206"/>
      <c r="F1971" s="206"/>
    </row>
    <row r="1972" spans="5:6">
      <c r="E1972" s="206"/>
      <c r="F1972" s="206"/>
    </row>
    <row r="1973" spans="5:6">
      <c r="E1973" s="206"/>
      <c r="F1973" s="206"/>
    </row>
    <row r="1974" spans="5:6">
      <c r="E1974" s="206"/>
      <c r="F1974" s="206"/>
    </row>
    <row r="1975" spans="5:6">
      <c r="E1975" s="206"/>
      <c r="F1975" s="206"/>
    </row>
    <row r="1976" spans="5:6">
      <c r="E1976" s="206"/>
      <c r="F1976" s="206"/>
    </row>
    <row r="1977" spans="5:6">
      <c r="E1977" s="206"/>
      <c r="F1977" s="206"/>
    </row>
    <row r="1978" spans="5:6">
      <c r="E1978" s="206"/>
      <c r="F1978" s="206"/>
    </row>
    <row r="1979" spans="5:6">
      <c r="E1979" s="206"/>
      <c r="F1979" s="206"/>
    </row>
    <row r="1980" spans="5:6">
      <c r="E1980" s="206"/>
      <c r="F1980" s="206"/>
    </row>
    <row r="1981" spans="5:6">
      <c r="E1981" s="206"/>
      <c r="F1981" s="206"/>
    </row>
    <row r="1982" spans="5:6">
      <c r="E1982" s="206"/>
      <c r="F1982" s="206"/>
    </row>
    <row r="1983" spans="5:6">
      <c r="E1983" s="206"/>
      <c r="F1983" s="206"/>
    </row>
    <row r="1984" spans="5:6">
      <c r="E1984" s="206"/>
      <c r="F1984" s="206"/>
    </row>
    <row r="1985" spans="5:6">
      <c r="E1985" s="206"/>
      <c r="F1985" s="206"/>
    </row>
    <row r="1986" spans="5:6">
      <c r="E1986" s="206"/>
      <c r="F1986" s="206"/>
    </row>
    <row r="1987" spans="5:6">
      <c r="E1987" s="206"/>
      <c r="F1987" s="206"/>
    </row>
    <row r="1988" spans="5:6">
      <c r="E1988" s="206"/>
      <c r="F1988" s="206"/>
    </row>
    <row r="1989" spans="5:6">
      <c r="E1989" s="206"/>
      <c r="F1989" s="206"/>
    </row>
    <row r="1990" spans="5:6">
      <c r="E1990" s="206"/>
      <c r="F1990" s="206"/>
    </row>
    <row r="1991" spans="5:6">
      <c r="E1991" s="206"/>
      <c r="F1991" s="206"/>
    </row>
    <row r="1992" spans="5:6">
      <c r="E1992" s="206"/>
      <c r="F1992" s="206"/>
    </row>
    <row r="1993" spans="5:6">
      <c r="E1993" s="206"/>
      <c r="F1993" s="206"/>
    </row>
    <row r="1994" spans="5:6">
      <c r="E1994" s="206"/>
      <c r="F1994" s="206"/>
    </row>
    <row r="1995" spans="5:6">
      <c r="E1995" s="206"/>
      <c r="F1995" s="206"/>
    </row>
    <row r="1996" spans="5:6">
      <c r="E1996" s="206"/>
      <c r="F1996" s="206"/>
    </row>
    <row r="1997" spans="5:6">
      <c r="E1997" s="206"/>
      <c r="F1997" s="206"/>
    </row>
    <row r="1998" spans="5:6">
      <c r="E1998" s="206"/>
      <c r="F1998" s="206"/>
    </row>
    <row r="1999" spans="5:6">
      <c r="E1999" s="206"/>
      <c r="F1999" s="206"/>
    </row>
    <row r="2000" spans="5:6">
      <c r="E2000" s="206"/>
      <c r="F2000" s="206"/>
    </row>
    <row r="2001" spans="5:6">
      <c r="E2001" s="206"/>
      <c r="F2001" s="206"/>
    </row>
    <row r="2002" spans="5:6">
      <c r="E2002" s="206"/>
      <c r="F2002" s="206"/>
    </row>
    <row r="2003" spans="5:6">
      <c r="E2003" s="206"/>
      <c r="F2003" s="206"/>
    </row>
    <row r="2004" spans="5:6">
      <c r="E2004" s="206"/>
      <c r="F2004" s="206"/>
    </row>
    <row r="2005" spans="5:6">
      <c r="E2005" s="206"/>
      <c r="F2005" s="206"/>
    </row>
    <row r="2006" spans="5:6">
      <c r="E2006" s="206"/>
      <c r="F2006" s="206"/>
    </row>
    <row r="2007" spans="5:6">
      <c r="E2007" s="206"/>
      <c r="F2007" s="206"/>
    </row>
    <row r="2008" spans="5:6">
      <c r="E2008" s="206"/>
      <c r="F2008" s="206"/>
    </row>
    <row r="2009" spans="5:6">
      <c r="E2009" s="206"/>
      <c r="F2009" s="206"/>
    </row>
    <row r="2010" spans="5:6">
      <c r="E2010" s="206"/>
      <c r="F2010" s="206"/>
    </row>
    <row r="2011" spans="5:6">
      <c r="E2011" s="206"/>
      <c r="F2011" s="206"/>
    </row>
    <row r="2012" spans="5:6">
      <c r="E2012" s="206"/>
      <c r="F2012" s="206"/>
    </row>
    <row r="2013" spans="5:6">
      <c r="E2013" s="206"/>
      <c r="F2013" s="206"/>
    </row>
    <row r="2014" spans="5:6">
      <c r="E2014" s="206"/>
      <c r="F2014" s="206"/>
    </row>
    <row r="2015" spans="5:6">
      <c r="E2015" s="206"/>
      <c r="F2015" s="206"/>
    </row>
    <row r="2016" spans="5:6">
      <c r="E2016" s="206"/>
      <c r="F2016" s="206"/>
    </row>
    <row r="2017" spans="5:6">
      <c r="E2017" s="206"/>
      <c r="F2017" s="206"/>
    </row>
    <row r="2018" spans="5:6">
      <c r="E2018" s="206"/>
      <c r="F2018" s="206"/>
    </row>
    <row r="2019" spans="5:6">
      <c r="E2019" s="206"/>
      <c r="F2019" s="206"/>
    </row>
    <row r="2020" spans="5:6">
      <c r="E2020" s="206"/>
      <c r="F2020" s="206"/>
    </row>
    <row r="2021" spans="5:6">
      <c r="E2021" s="206"/>
      <c r="F2021" s="206"/>
    </row>
    <row r="2022" spans="5:6">
      <c r="E2022" s="206"/>
      <c r="F2022" s="206"/>
    </row>
    <row r="2023" spans="5:6">
      <c r="E2023" s="206"/>
      <c r="F2023" s="206"/>
    </row>
    <row r="2024" spans="5:6">
      <c r="E2024" s="206"/>
      <c r="F2024" s="206"/>
    </row>
    <row r="2025" spans="5:6">
      <c r="E2025" s="206"/>
      <c r="F2025" s="206"/>
    </row>
    <row r="2026" spans="5:6">
      <c r="E2026" s="206"/>
      <c r="F2026" s="206"/>
    </row>
    <row r="2027" spans="5:6">
      <c r="E2027" s="206"/>
      <c r="F2027" s="206"/>
    </row>
    <row r="2028" spans="5:6">
      <c r="E2028" s="206"/>
      <c r="F2028" s="206"/>
    </row>
    <row r="2029" spans="5:6">
      <c r="E2029" s="206"/>
      <c r="F2029" s="206"/>
    </row>
    <row r="2030" spans="5:6">
      <c r="E2030" s="206"/>
      <c r="F2030" s="206"/>
    </row>
    <row r="2031" spans="5:6">
      <c r="E2031" s="206"/>
      <c r="F2031" s="206"/>
    </row>
    <row r="2032" spans="5:6">
      <c r="E2032" s="206"/>
      <c r="F2032" s="206"/>
    </row>
    <row r="2033" spans="5:6">
      <c r="E2033" s="206"/>
      <c r="F2033" s="206"/>
    </row>
    <row r="2034" spans="5:6">
      <c r="E2034" s="206"/>
      <c r="F2034" s="206"/>
    </row>
    <row r="2035" spans="5:6">
      <c r="E2035" s="206"/>
      <c r="F2035" s="206"/>
    </row>
    <row r="2036" spans="5:6">
      <c r="E2036" s="206"/>
      <c r="F2036" s="206"/>
    </row>
    <row r="2037" spans="5:6">
      <c r="E2037" s="206"/>
      <c r="F2037" s="206"/>
    </row>
    <row r="2038" spans="5:6">
      <c r="E2038" s="206"/>
      <c r="F2038" s="206"/>
    </row>
    <row r="2039" spans="5:6">
      <c r="E2039" s="206"/>
      <c r="F2039" s="206"/>
    </row>
    <row r="2040" spans="5:6">
      <c r="E2040" s="206"/>
      <c r="F2040" s="206"/>
    </row>
    <row r="2041" spans="5:6">
      <c r="E2041" s="206"/>
      <c r="F2041" s="206"/>
    </row>
    <row r="2042" spans="5:6">
      <c r="E2042" s="206"/>
      <c r="F2042" s="206"/>
    </row>
    <row r="2043" spans="5:6">
      <c r="E2043" s="206"/>
      <c r="F2043" s="206"/>
    </row>
    <row r="2044" spans="5:6">
      <c r="E2044" s="206"/>
      <c r="F2044" s="206"/>
    </row>
    <row r="2045" spans="5:6">
      <c r="E2045" s="206"/>
      <c r="F2045" s="206"/>
    </row>
    <row r="2046" spans="5:6">
      <c r="E2046" s="206"/>
      <c r="F2046" s="206"/>
    </row>
    <row r="2047" spans="5:6">
      <c r="E2047" s="206"/>
      <c r="F2047" s="206"/>
    </row>
    <row r="2048" spans="5:6">
      <c r="E2048" s="206"/>
      <c r="F2048" s="206"/>
    </row>
    <row r="2049" spans="5:6">
      <c r="E2049" s="206"/>
      <c r="F2049" s="206"/>
    </row>
    <row r="2050" spans="5:6">
      <c r="E2050" s="206"/>
      <c r="F2050" s="206"/>
    </row>
    <row r="2051" spans="5:6">
      <c r="E2051" s="206"/>
      <c r="F2051" s="206"/>
    </row>
    <row r="2052" spans="5:6">
      <c r="E2052" s="206"/>
      <c r="F2052" s="206"/>
    </row>
    <row r="2053" spans="5:6">
      <c r="E2053" s="206"/>
      <c r="F2053" s="206"/>
    </row>
    <row r="2054" spans="5:6">
      <c r="E2054" s="206"/>
      <c r="F2054" s="206"/>
    </row>
    <row r="2055" spans="5:6">
      <c r="E2055" s="206"/>
      <c r="F2055" s="206"/>
    </row>
    <row r="2056" spans="5:6">
      <c r="E2056" s="206"/>
      <c r="F2056" s="206"/>
    </row>
    <row r="2057" spans="5:6">
      <c r="E2057" s="206"/>
      <c r="F2057" s="206"/>
    </row>
    <row r="2058" spans="5:6">
      <c r="E2058" s="206"/>
      <c r="F2058" s="206"/>
    </row>
    <row r="2059" spans="5:6">
      <c r="E2059" s="206"/>
      <c r="F2059" s="206"/>
    </row>
    <row r="2060" spans="5:6">
      <c r="E2060" s="206"/>
      <c r="F2060" s="206"/>
    </row>
    <row r="2061" spans="5:6">
      <c r="E2061" s="206"/>
      <c r="F2061" s="206"/>
    </row>
    <row r="2062" spans="5:6">
      <c r="E2062" s="206"/>
      <c r="F2062" s="206"/>
    </row>
    <row r="2063" spans="5:6">
      <c r="E2063" s="206"/>
      <c r="F2063" s="206"/>
    </row>
    <row r="2064" spans="5:6">
      <c r="E2064" s="206"/>
      <c r="F2064" s="206"/>
    </row>
    <row r="2065" spans="5:6">
      <c r="E2065" s="206"/>
      <c r="F2065" s="206"/>
    </row>
    <row r="2066" spans="5:6">
      <c r="E2066" s="206"/>
      <c r="F2066" s="206"/>
    </row>
    <row r="2067" spans="5:6">
      <c r="E2067" s="206"/>
      <c r="F2067" s="206"/>
    </row>
    <row r="2068" spans="5:6">
      <c r="E2068" s="206"/>
      <c r="F2068" s="206"/>
    </row>
    <row r="2069" spans="5:6">
      <c r="E2069" s="206"/>
      <c r="F2069" s="206"/>
    </row>
    <row r="2070" spans="5:6">
      <c r="E2070" s="206"/>
      <c r="F2070" s="206"/>
    </row>
    <row r="2071" spans="5:6">
      <c r="E2071" s="206"/>
      <c r="F2071" s="206"/>
    </row>
    <row r="2072" spans="5:6">
      <c r="E2072" s="206"/>
      <c r="F2072" s="206"/>
    </row>
    <row r="2073" spans="5:6">
      <c r="E2073" s="206"/>
      <c r="F2073" s="206"/>
    </row>
    <row r="2074" spans="5:6">
      <c r="E2074" s="206"/>
      <c r="F2074" s="206"/>
    </row>
    <row r="2075" spans="5:6">
      <c r="E2075" s="206"/>
      <c r="F2075" s="206"/>
    </row>
    <row r="2076" spans="5:6">
      <c r="E2076" s="206"/>
      <c r="F2076" s="206"/>
    </row>
    <row r="2077" spans="5:6">
      <c r="E2077" s="206"/>
      <c r="F2077" s="206"/>
    </row>
    <row r="2078" spans="5:6">
      <c r="E2078" s="206"/>
      <c r="F2078" s="206"/>
    </row>
    <row r="2079" spans="5:6">
      <c r="E2079" s="206"/>
      <c r="F2079" s="206"/>
    </row>
    <row r="2080" spans="5:6">
      <c r="E2080" s="206"/>
      <c r="F2080" s="206"/>
    </row>
    <row r="2081" spans="5:6">
      <c r="E2081" s="206"/>
      <c r="F2081" s="206"/>
    </row>
    <row r="2082" spans="5:6">
      <c r="E2082" s="206"/>
      <c r="F2082" s="206"/>
    </row>
    <row r="2083" spans="5:6">
      <c r="E2083" s="206"/>
      <c r="F2083" s="206"/>
    </row>
    <row r="2084" spans="5:6">
      <c r="E2084" s="206"/>
      <c r="F2084" s="206"/>
    </row>
    <row r="2085" spans="5:6">
      <c r="E2085" s="206"/>
      <c r="F2085" s="206"/>
    </row>
    <row r="2086" spans="5:6">
      <c r="E2086" s="206"/>
      <c r="F2086" s="206"/>
    </row>
    <row r="2087" spans="5:6">
      <c r="E2087" s="206"/>
      <c r="F2087" s="206"/>
    </row>
    <row r="2088" spans="5:6">
      <c r="E2088" s="206"/>
      <c r="F2088" s="206"/>
    </row>
    <row r="2089" spans="5:6">
      <c r="E2089" s="206"/>
      <c r="F2089" s="206"/>
    </row>
    <row r="2090" spans="5:6">
      <c r="E2090" s="206"/>
      <c r="F2090" s="206"/>
    </row>
    <row r="2091" spans="5:6">
      <c r="E2091" s="206"/>
      <c r="F2091" s="206"/>
    </row>
    <row r="2092" spans="5:6">
      <c r="E2092" s="206"/>
      <c r="F2092" s="206"/>
    </row>
    <row r="2093" spans="5:6">
      <c r="E2093" s="206"/>
      <c r="F2093" s="206"/>
    </row>
    <row r="2094" spans="5:6">
      <c r="E2094" s="206"/>
      <c r="F2094" s="206"/>
    </row>
    <row r="2095" spans="5:6">
      <c r="E2095" s="206"/>
      <c r="F2095" s="206"/>
    </row>
    <row r="2096" spans="5:6">
      <c r="E2096" s="206"/>
      <c r="F2096" s="206"/>
    </row>
    <row r="2097" spans="5:6">
      <c r="E2097" s="206"/>
      <c r="F2097" s="206"/>
    </row>
    <row r="2098" spans="5:6">
      <c r="E2098" s="206"/>
      <c r="F2098" s="206"/>
    </row>
    <row r="2099" spans="5:6">
      <c r="E2099" s="206"/>
      <c r="F2099" s="206"/>
    </row>
    <row r="2100" spans="5:6">
      <c r="E2100" s="206"/>
      <c r="F2100" s="206"/>
    </row>
    <row r="2101" spans="5:6">
      <c r="E2101" s="206"/>
      <c r="F2101" s="206"/>
    </row>
    <row r="2102" spans="5:6">
      <c r="E2102" s="206"/>
      <c r="F2102" s="206"/>
    </row>
    <row r="2103" spans="5:6">
      <c r="E2103" s="206"/>
      <c r="F2103" s="206"/>
    </row>
    <row r="2104" spans="5:6">
      <c r="E2104" s="206"/>
      <c r="F2104" s="206"/>
    </row>
    <row r="2105" spans="5:6">
      <c r="E2105" s="206"/>
      <c r="F2105" s="206"/>
    </row>
    <row r="2106" spans="5:6">
      <c r="E2106" s="206"/>
      <c r="F2106" s="206"/>
    </row>
    <row r="2107" spans="5:6">
      <c r="E2107" s="206"/>
      <c r="F2107" s="206"/>
    </row>
    <row r="2108" spans="5:6">
      <c r="E2108" s="206"/>
      <c r="F2108" s="206"/>
    </row>
    <row r="2109" spans="5:6">
      <c r="E2109" s="206"/>
      <c r="F2109" s="206"/>
    </row>
    <row r="2110" spans="5:6">
      <c r="E2110" s="206"/>
      <c r="F2110" s="206"/>
    </row>
    <row r="2111" spans="5:6">
      <c r="E2111" s="206"/>
      <c r="F2111" s="206"/>
    </row>
    <row r="2112" spans="5:6">
      <c r="E2112" s="206"/>
      <c r="F2112" s="206"/>
    </row>
    <row r="2113" spans="5:6">
      <c r="E2113" s="206"/>
      <c r="F2113" s="206"/>
    </row>
    <row r="2114" spans="5:6">
      <c r="E2114" s="206"/>
      <c r="F2114" s="206"/>
    </row>
    <row r="2115" spans="5:6">
      <c r="E2115" s="206"/>
      <c r="F2115" s="206"/>
    </row>
    <row r="2116" spans="5:6">
      <c r="E2116" s="206"/>
      <c r="F2116" s="206"/>
    </row>
    <row r="2117" spans="5:6">
      <c r="E2117" s="206"/>
      <c r="F2117" s="206"/>
    </row>
    <row r="2118" spans="5:6">
      <c r="E2118" s="206"/>
      <c r="F2118" s="206"/>
    </row>
    <row r="2119" spans="5:6">
      <c r="E2119" s="206"/>
      <c r="F2119" s="206"/>
    </row>
    <row r="2120" spans="5:6">
      <c r="E2120" s="206"/>
      <c r="F2120" s="206"/>
    </row>
    <row r="2121" spans="5:6">
      <c r="E2121" s="206"/>
      <c r="F2121" s="206"/>
    </row>
    <row r="2122" spans="5:6">
      <c r="E2122" s="206"/>
      <c r="F2122" s="206"/>
    </row>
    <row r="2123" spans="5:6">
      <c r="E2123" s="206"/>
      <c r="F2123" s="206"/>
    </row>
    <row r="2124" spans="5:6">
      <c r="E2124" s="206"/>
      <c r="F2124" s="206"/>
    </row>
    <row r="2125" spans="5:6">
      <c r="E2125" s="206"/>
      <c r="F2125" s="206"/>
    </row>
    <row r="2126" spans="5:6">
      <c r="E2126" s="206"/>
      <c r="F2126" s="206"/>
    </row>
    <row r="2127" spans="5:6">
      <c r="E2127" s="206"/>
      <c r="F2127" s="206"/>
    </row>
    <row r="2128" spans="5:6">
      <c r="E2128" s="206"/>
      <c r="F2128" s="206"/>
    </row>
    <row r="2129" spans="5:6">
      <c r="E2129" s="206"/>
      <c r="F2129" s="206"/>
    </row>
    <row r="2130" spans="5:6">
      <c r="E2130" s="206"/>
      <c r="F2130" s="206"/>
    </row>
    <row r="2131" spans="5:6">
      <c r="E2131" s="206"/>
      <c r="F2131" s="206"/>
    </row>
    <row r="2132" spans="5:6">
      <c r="E2132" s="206"/>
      <c r="F2132" s="206"/>
    </row>
    <row r="2133" spans="5:6">
      <c r="E2133" s="206"/>
      <c r="F2133" s="206"/>
    </row>
    <row r="2134" spans="5:6">
      <c r="E2134" s="206"/>
      <c r="F2134" s="206"/>
    </row>
    <row r="2135" spans="5:6">
      <c r="E2135" s="206"/>
      <c r="F2135" s="206"/>
    </row>
    <row r="2136" spans="5:6">
      <c r="E2136" s="206"/>
      <c r="F2136" s="206"/>
    </row>
    <row r="2137" spans="5:6">
      <c r="E2137" s="206"/>
      <c r="F2137" s="206"/>
    </row>
    <row r="2138" spans="5:6">
      <c r="E2138" s="206"/>
      <c r="F2138" s="206"/>
    </row>
    <row r="2139" spans="5:6">
      <c r="E2139" s="206"/>
      <c r="F2139" s="206"/>
    </row>
    <row r="2140" spans="5:6">
      <c r="E2140" s="206"/>
      <c r="F2140" s="206"/>
    </row>
    <row r="2141" spans="5:6">
      <c r="E2141" s="206"/>
      <c r="F2141" s="206"/>
    </row>
    <row r="2142" spans="5:6">
      <c r="E2142" s="206"/>
      <c r="F2142" s="206"/>
    </row>
    <row r="2143" spans="5:6">
      <c r="E2143" s="206"/>
      <c r="F2143" s="206"/>
    </row>
    <row r="2144" spans="5:6">
      <c r="E2144" s="206"/>
      <c r="F2144" s="206"/>
    </row>
    <row r="2145" spans="5:6">
      <c r="E2145" s="206"/>
      <c r="F2145" s="206"/>
    </row>
    <row r="2146" spans="5:6">
      <c r="E2146" s="206"/>
      <c r="F2146" s="206"/>
    </row>
    <row r="2147" spans="5:6">
      <c r="E2147" s="206"/>
      <c r="F2147" s="206"/>
    </row>
    <row r="2148" spans="5:6">
      <c r="E2148" s="206"/>
      <c r="F2148" s="206"/>
    </row>
    <row r="2149" spans="5:6">
      <c r="E2149" s="206"/>
      <c r="F2149" s="206"/>
    </row>
    <row r="2150" spans="5:6">
      <c r="E2150" s="206"/>
      <c r="F2150" s="206"/>
    </row>
    <row r="2151" spans="5:6">
      <c r="E2151" s="206"/>
      <c r="F2151" s="206"/>
    </row>
    <row r="2152" spans="5:6">
      <c r="E2152" s="206"/>
      <c r="F2152" s="206"/>
    </row>
    <row r="2153" spans="5:6">
      <c r="E2153" s="206"/>
      <c r="F2153" s="206"/>
    </row>
    <row r="2154" spans="5:6">
      <c r="E2154" s="206"/>
      <c r="F2154" s="206"/>
    </row>
    <row r="2155" spans="5:6">
      <c r="E2155" s="206"/>
      <c r="F2155" s="206"/>
    </row>
    <row r="2156" spans="5:6">
      <c r="E2156" s="206"/>
      <c r="F2156" s="206"/>
    </row>
    <row r="2157" spans="5:6">
      <c r="E2157" s="206"/>
      <c r="F2157" s="206"/>
    </row>
    <row r="2158" spans="5:6">
      <c r="E2158" s="206"/>
      <c r="F2158" s="206"/>
    </row>
    <row r="2159" spans="5:6">
      <c r="E2159" s="206"/>
      <c r="F2159" s="206"/>
    </row>
    <row r="2160" spans="5:6">
      <c r="E2160" s="206"/>
      <c r="F2160" s="206"/>
    </row>
    <row r="2161" spans="5:6">
      <c r="E2161" s="206"/>
      <c r="F2161" s="206"/>
    </row>
    <row r="2162" spans="5:6">
      <c r="E2162" s="206"/>
      <c r="F2162" s="206"/>
    </row>
    <row r="2163" spans="5:6">
      <c r="E2163" s="206"/>
      <c r="F2163" s="206"/>
    </row>
    <row r="2164" spans="5:6">
      <c r="E2164" s="206"/>
      <c r="F2164" s="206"/>
    </row>
    <row r="2165" spans="5:6">
      <c r="E2165" s="206"/>
      <c r="F2165" s="206"/>
    </row>
    <row r="2166" spans="5:6">
      <c r="E2166" s="206"/>
      <c r="F2166" s="206"/>
    </row>
    <row r="2167" spans="5:6">
      <c r="E2167" s="206"/>
      <c r="F2167" s="206"/>
    </row>
    <row r="2168" spans="5:6">
      <c r="E2168" s="206"/>
      <c r="F2168" s="206"/>
    </row>
    <row r="2169" spans="5:6">
      <c r="E2169" s="206"/>
      <c r="F2169" s="206"/>
    </row>
    <row r="2170" spans="5:6">
      <c r="E2170" s="206"/>
      <c r="F2170" s="206"/>
    </row>
    <row r="2171" spans="5:6">
      <c r="E2171" s="206"/>
      <c r="F2171" s="206"/>
    </row>
    <row r="2172" spans="5:6">
      <c r="E2172" s="206"/>
      <c r="F2172" s="206"/>
    </row>
    <row r="2173" spans="5:6">
      <c r="E2173" s="206"/>
      <c r="F2173" s="206"/>
    </row>
    <row r="2174" spans="5:6">
      <c r="E2174" s="206"/>
      <c r="F2174" s="206"/>
    </row>
    <row r="2175" spans="5:6">
      <c r="E2175" s="206"/>
      <c r="F2175" s="206"/>
    </row>
    <row r="2176" spans="5:6">
      <c r="E2176" s="206"/>
      <c r="F2176" s="206"/>
    </row>
    <row r="2177" spans="5:6">
      <c r="E2177" s="206"/>
      <c r="F2177" s="206"/>
    </row>
    <row r="2178" spans="5:6">
      <c r="E2178" s="206"/>
      <c r="F2178" s="206"/>
    </row>
    <row r="2179" spans="5:6">
      <c r="E2179" s="206"/>
      <c r="F2179" s="206"/>
    </row>
    <row r="2180" spans="5:6">
      <c r="E2180" s="206"/>
      <c r="F2180" s="206"/>
    </row>
    <row r="2181" spans="5:6">
      <c r="E2181" s="206"/>
      <c r="F2181" s="206"/>
    </row>
    <row r="2182" spans="5:6">
      <c r="E2182" s="206"/>
      <c r="F2182" s="206"/>
    </row>
    <row r="2183" spans="5:6">
      <c r="E2183" s="206"/>
      <c r="F2183" s="206"/>
    </row>
    <row r="2184" spans="5:6">
      <c r="E2184" s="206"/>
      <c r="F2184" s="206"/>
    </row>
    <row r="2185" spans="5:6">
      <c r="E2185" s="206"/>
      <c r="F2185" s="206"/>
    </row>
    <row r="2186" spans="5:6">
      <c r="E2186" s="206"/>
      <c r="F2186" s="206"/>
    </row>
    <row r="2187" spans="5:6">
      <c r="E2187" s="206"/>
      <c r="F2187" s="206"/>
    </row>
    <row r="2188" spans="5:6">
      <c r="E2188" s="206"/>
      <c r="F2188" s="206"/>
    </row>
    <row r="2189" spans="5:6">
      <c r="E2189" s="206"/>
      <c r="F2189" s="206"/>
    </row>
    <row r="2190" spans="5:6">
      <c r="E2190" s="206"/>
      <c r="F2190" s="206"/>
    </row>
    <row r="2191" spans="5:6">
      <c r="E2191" s="206"/>
      <c r="F2191" s="206"/>
    </row>
    <row r="2192" spans="5:6">
      <c r="E2192" s="206"/>
      <c r="F2192" s="206"/>
    </row>
    <row r="2193" spans="5:6">
      <c r="E2193" s="206"/>
      <c r="F2193" s="206"/>
    </row>
    <row r="2194" spans="5:6">
      <c r="E2194" s="206"/>
      <c r="F2194" s="206"/>
    </row>
    <row r="2195" spans="5:6">
      <c r="E2195" s="206"/>
      <c r="F2195" s="206"/>
    </row>
    <row r="2196" spans="5:6">
      <c r="E2196" s="206"/>
      <c r="F2196" s="206"/>
    </row>
    <row r="2197" spans="5:6">
      <c r="E2197" s="206"/>
      <c r="F2197" s="206"/>
    </row>
    <row r="2198" spans="5:6">
      <c r="E2198" s="206"/>
      <c r="F2198" s="206"/>
    </row>
    <row r="2199" spans="5:6">
      <c r="E2199" s="206"/>
      <c r="F2199" s="206"/>
    </row>
    <row r="2200" spans="5:6">
      <c r="E2200" s="206"/>
      <c r="F2200" s="206"/>
    </row>
    <row r="2201" spans="5:6">
      <c r="E2201" s="206"/>
      <c r="F2201" s="206"/>
    </row>
    <row r="2202" spans="5:6">
      <c r="E2202" s="206"/>
      <c r="F2202" s="206"/>
    </row>
    <row r="2203" spans="5:6">
      <c r="E2203" s="206"/>
      <c r="F2203" s="206"/>
    </row>
    <row r="2204" spans="5:6">
      <c r="E2204" s="206"/>
      <c r="F2204" s="206"/>
    </row>
    <row r="2205" spans="5:6">
      <c r="E2205" s="206"/>
      <c r="F2205" s="206"/>
    </row>
    <row r="2206" spans="5:6">
      <c r="E2206" s="206"/>
      <c r="F2206" s="206"/>
    </row>
    <row r="2207" spans="5:6">
      <c r="E2207" s="206"/>
      <c r="F2207" s="206"/>
    </row>
    <row r="2208" spans="5:6">
      <c r="E2208" s="206"/>
      <c r="F2208" s="206"/>
    </row>
    <row r="2209" spans="5:6">
      <c r="E2209" s="206"/>
      <c r="F2209" s="206"/>
    </row>
    <row r="2210" spans="5:6">
      <c r="E2210" s="206"/>
      <c r="F2210" s="206"/>
    </row>
    <row r="2211" spans="5:6">
      <c r="E2211" s="206"/>
      <c r="F2211" s="206"/>
    </row>
    <row r="2212" spans="5:6">
      <c r="E2212" s="206"/>
      <c r="F2212" s="206"/>
    </row>
    <row r="2213" spans="5:6">
      <c r="E2213" s="206"/>
      <c r="F2213" s="206"/>
    </row>
    <row r="2214" spans="5:6">
      <c r="E2214" s="206"/>
      <c r="F2214" s="206"/>
    </row>
    <row r="2215" spans="5:6">
      <c r="E2215" s="206"/>
      <c r="F2215" s="206"/>
    </row>
    <row r="2216" spans="5:6">
      <c r="E2216" s="206"/>
      <c r="F2216" s="206"/>
    </row>
    <row r="2217" spans="5:6">
      <c r="E2217" s="206"/>
      <c r="F2217" s="206"/>
    </row>
    <row r="2218" spans="5:6">
      <c r="E2218" s="206"/>
      <c r="F2218" s="206"/>
    </row>
    <row r="2219" spans="5:6">
      <c r="E2219" s="206"/>
      <c r="F2219" s="206"/>
    </row>
    <row r="2220" spans="5:6">
      <c r="E2220" s="206"/>
      <c r="F2220" s="206"/>
    </row>
    <row r="2221" spans="5:6">
      <c r="E2221" s="206"/>
      <c r="F2221" s="206"/>
    </row>
    <row r="2222" spans="5:6">
      <c r="E2222" s="206"/>
      <c r="F2222" s="206"/>
    </row>
    <row r="2223" spans="5:6">
      <c r="E2223" s="206"/>
      <c r="F2223" s="206"/>
    </row>
    <row r="2224" spans="5:6">
      <c r="E2224" s="206"/>
      <c r="F2224" s="206"/>
    </row>
    <row r="2225" spans="5:6">
      <c r="E2225" s="206"/>
      <c r="F2225" s="206"/>
    </row>
    <row r="2226" spans="5:6">
      <c r="E2226" s="206"/>
      <c r="F2226" s="206"/>
    </row>
    <row r="2227" spans="5:6">
      <c r="E2227" s="206"/>
      <c r="F2227" s="206"/>
    </row>
    <row r="2228" spans="5:6">
      <c r="E2228" s="206"/>
      <c r="F2228" s="206"/>
    </row>
    <row r="2229" spans="5:6">
      <c r="E2229" s="206"/>
      <c r="F2229" s="206"/>
    </row>
    <row r="2230" spans="5:6">
      <c r="E2230" s="206"/>
      <c r="F2230" s="206"/>
    </row>
    <row r="2231" spans="5:6">
      <c r="E2231" s="206"/>
      <c r="F2231" s="206"/>
    </row>
    <row r="2232" spans="5:6">
      <c r="E2232" s="206"/>
      <c r="F2232" s="206"/>
    </row>
    <row r="2233" spans="5:6">
      <c r="E2233" s="206"/>
      <c r="F2233" s="206"/>
    </row>
    <row r="2234" spans="5:6">
      <c r="E2234" s="206"/>
      <c r="F2234" s="206"/>
    </row>
    <row r="2235" spans="5:6">
      <c r="E2235" s="206"/>
      <c r="F2235" s="206"/>
    </row>
    <row r="2236" spans="5:6">
      <c r="E2236" s="206"/>
      <c r="F2236" s="206"/>
    </row>
    <row r="2237" spans="5:6">
      <c r="E2237" s="206"/>
      <c r="F2237" s="206"/>
    </row>
    <row r="2238" spans="5:6">
      <c r="E2238" s="206"/>
      <c r="F2238" s="206"/>
    </row>
    <row r="2239" spans="5:6">
      <c r="E2239" s="206"/>
      <c r="F2239" s="206"/>
    </row>
    <row r="2240" spans="5:6">
      <c r="E2240" s="206"/>
      <c r="F2240" s="206"/>
    </row>
    <row r="2241" spans="5:6">
      <c r="E2241" s="206"/>
      <c r="F2241" s="206"/>
    </row>
    <row r="2242" spans="5:6">
      <c r="E2242" s="206"/>
      <c r="F2242" s="206"/>
    </row>
    <row r="2243" spans="5:6">
      <c r="E2243" s="206"/>
      <c r="F2243" s="206"/>
    </row>
    <row r="2244" spans="5:6">
      <c r="E2244" s="206"/>
      <c r="F2244" s="206"/>
    </row>
    <row r="2245" spans="5:6">
      <c r="E2245" s="206"/>
      <c r="F2245" s="206"/>
    </row>
    <row r="2246" spans="5:6">
      <c r="E2246" s="206"/>
      <c r="F2246" s="206"/>
    </row>
    <row r="2247" spans="5:6">
      <c r="E2247" s="206"/>
      <c r="F2247" s="206"/>
    </row>
    <row r="2248" spans="5:6">
      <c r="E2248" s="206"/>
      <c r="F2248" s="206"/>
    </row>
    <row r="2249" spans="5:6">
      <c r="E2249" s="206"/>
      <c r="F2249" s="206"/>
    </row>
    <row r="2250" spans="5:6">
      <c r="E2250" s="206"/>
      <c r="F2250" s="206"/>
    </row>
    <row r="2251" spans="5:6">
      <c r="E2251" s="206"/>
      <c r="F2251" s="206"/>
    </row>
    <row r="2252" spans="5:6">
      <c r="E2252" s="206"/>
      <c r="F2252" s="206"/>
    </row>
    <row r="2253" spans="5:6">
      <c r="E2253" s="206"/>
      <c r="F2253" s="206"/>
    </row>
    <row r="2254" spans="5:6">
      <c r="E2254" s="206"/>
      <c r="F2254" s="206"/>
    </row>
    <row r="2255" spans="5:6">
      <c r="E2255" s="206"/>
      <c r="F2255" s="206"/>
    </row>
    <row r="2256" spans="5:6">
      <c r="E2256" s="206"/>
      <c r="F2256" s="206"/>
    </row>
    <row r="2257" spans="5:6">
      <c r="E2257" s="206"/>
      <c r="F2257" s="206"/>
    </row>
    <row r="2258" spans="5:6">
      <c r="E2258" s="206"/>
      <c r="F2258" s="206"/>
    </row>
    <row r="2259" spans="5:6">
      <c r="E2259" s="206"/>
      <c r="F2259" s="206"/>
    </row>
    <row r="2260" spans="5:6">
      <c r="E2260" s="206"/>
      <c r="F2260" s="206"/>
    </row>
    <row r="2261" spans="5:6">
      <c r="E2261" s="206"/>
      <c r="F2261" s="206"/>
    </row>
    <row r="2262" spans="5:6">
      <c r="E2262" s="206"/>
      <c r="F2262" s="206"/>
    </row>
    <row r="2263" spans="5:6">
      <c r="E2263" s="206"/>
      <c r="F2263" s="206"/>
    </row>
    <row r="2264" spans="5:6">
      <c r="E2264" s="206"/>
      <c r="F2264" s="206"/>
    </row>
    <row r="2265" spans="5:6">
      <c r="E2265" s="206"/>
      <c r="F2265" s="206"/>
    </row>
    <row r="2266" spans="5:6">
      <c r="E2266" s="206"/>
      <c r="F2266" s="206"/>
    </row>
    <row r="2267" spans="5:6">
      <c r="E2267" s="206"/>
      <c r="F2267" s="206"/>
    </row>
    <row r="2268" spans="5:6">
      <c r="E2268" s="206"/>
      <c r="F2268" s="206"/>
    </row>
    <row r="2269" spans="5:6">
      <c r="E2269" s="206"/>
      <c r="F2269" s="206"/>
    </row>
    <row r="2270" spans="5:6">
      <c r="E2270" s="206"/>
      <c r="F2270" s="206"/>
    </row>
    <row r="2271" spans="5:6">
      <c r="E2271" s="206"/>
      <c r="F2271" s="206"/>
    </row>
    <row r="2272" spans="5:6">
      <c r="E2272" s="206"/>
      <c r="F2272" s="206"/>
    </row>
    <row r="2273" spans="5:6">
      <c r="E2273" s="206"/>
      <c r="F2273" s="206"/>
    </row>
    <row r="2274" spans="5:6">
      <c r="E2274" s="206"/>
      <c r="F2274" s="206"/>
    </row>
    <row r="2275" spans="5:6">
      <c r="E2275" s="206"/>
      <c r="F2275" s="206"/>
    </row>
    <row r="2276" spans="5:6">
      <c r="E2276" s="206"/>
      <c r="F2276" s="206"/>
    </row>
    <row r="2277" spans="5:6">
      <c r="E2277" s="206"/>
      <c r="F2277" s="206"/>
    </row>
    <row r="2278" spans="5:6">
      <c r="E2278" s="206"/>
      <c r="F2278" s="206"/>
    </row>
    <row r="2279" spans="5:6">
      <c r="E2279" s="206"/>
      <c r="F2279" s="206"/>
    </row>
    <row r="2280" spans="5:6">
      <c r="E2280" s="206"/>
      <c r="F2280" s="206"/>
    </row>
    <row r="2281" spans="5:6">
      <c r="E2281" s="206"/>
      <c r="F2281" s="206"/>
    </row>
    <row r="2282" spans="5:6">
      <c r="E2282" s="206"/>
      <c r="F2282" s="206"/>
    </row>
    <row r="2283" spans="5:6">
      <c r="E2283" s="206"/>
      <c r="F2283" s="206"/>
    </row>
    <row r="2284" spans="5:6">
      <c r="E2284" s="206"/>
      <c r="F2284" s="206"/>
    </row>
    <row r="2285" spans="5:6">
      <c r="E2285" s="206"/>
      <c r="F2285" s="206"/>
    </row>
    <row r="2286" spans="5:6">
      <c r="E2286" s="206"/>
      <c r="F2286" s="206"/>
    </row>
    <row r="2287" spans="5:6">
      <c r="E2287" s="206"/>
      <c r="F2287" s="206"/>
    </row>
    <row r="2288" spans="5:6">
      <c r="E2288" s="206"/>
      <c r="F2288" s="206"/>
    </row>
    <row r="2289" spans="5:6">
      <c r="E2289" s="206"/>
      <c r="F2289" s="206"/>
    </row>
    <row r="2290" spans="5:6">
      <c r="E2290" s="206"/>
      <c r="F2290" s="206"/>
    </row>
    <row r="2291" spans="5:6">
      <c r="E2291" s="206"/>
      <c r="F2291" s="206"/>
    </row>
    <row r="2292" spans="5:6">
      <c r="E2292" s="206"/>
      <c r="F2292" s="206"/>
    </row>
    <row r="2293" spans="5:6">
      <c r="E2293" s="206"/>
      <c r="F2293" s="206"/>
    </row>
    <row r="2294" spans="5:6">
      <c r="E2294" s="206"/>
      <c r="F2294" s="206"/>
    </row>
    <row r="2295" spans="5:6">
      <c r="E2295" s="206"/>
      <c r="F2295" s="206"/>
    </row>
    <row r="2296" spans="5:6">
      <c r="E2296" s="206"/>
      <c r="F2296" s="206"/>
    </row>
    <row r="2297" spans="5:6">
      <c r="E2297" s="206"/>
      <c r="F2297" s="206"/>
    </row>
    <row r="2298" spans="5:6">
      <c r="E2298" s="206"/>
      <c r="F2298" s="206"/>
    </row>
    <row r="2299" spans="5:6">
      <c r="E2299" s="206"/>
      <c r="F2299" s="206"/>
    </row>
    <row r="2300" spans="5:6">
      <c r="E2300" s="206"/>
      <c r="F2300" s="206"/>
    </row>
    <row r="2301" spans="5:6">
      <c r="E2301" s="206"/>
      <c r="F2301" s="206"/>
    </row>
    <row r="2302" spans="5:6">
      <c r="E2302" s="206"/>
      <c r="F2302" s="206"/>
    </row>
    <row r="2303" spans="5:6">
      <c r="E2303" s="206"/>
      <c r="F2303" s="206"/>
    </row>
    <row r="2304" spans="5:6">
      <c r="E2304" s="206"/>
      <c r="F2304" s="206"/>
    </row>
    <row r="2305" spans="5:6">
      <c r="E2305" s="206"/>
      <c r="F2305" s="206"/>
    </row>
    <row r="2306" spans="5:6">
      <c r="E2306" s="206"/>
      <c r="F2306" s="206"/>
    </row>
    <row r="2307" spans="5:6">
      <c r="E2307" s="206"/>
      <c r="F2307" s="206"/>
    </row>
    <row r="2308" spans="5:6">
      <c r="E2308" s="206"/>
      <c r="F2308" s="206"/>
    </row>
    <row r="2309" spans="5:6">
      <c r="E2309" s="206"/>
      <c r="F2309" s="206"/>
    </row>
    <row r="2310" spans="5:6">
      <c r="E2310" s="206"/>
      <c r="F2310" s="206"/>
    </row>
    <row r="2311" spans="5:6">
      <c r="E2311" s="206"/>
      <c r="F2311" s="206"/>
    </row>
    <row r="2312" spans="5:6">
      <c r="E2312" s="206"/>
      <c r="F2312" s="206"/>
    </row>
    <row r="2313" spans="5:6">
      <c r="E2313" s="206"/>
      <c r="F2313" s="206"/>
    </row>
    <row r="2314" spans="5:6">
      <c r="E2314" s="206"/>
      <c r="F2314" s="206"/>
    </row>
    <row r="2315" spans="5:6">
      <c r="E2315" s="206"/>
      <c r="F2315" s="206"/>
    </row>
    <row r="2316" spans="5:6">
      <c r="E2316" s="206"/>
      <c r="F2316" s="206"/>
    </row>
    <row r="2317" spans="5:6">
      <c r="E2317" s="206"/>
      <c r="F2317" s="206"/>
    </row>
    <row r="2318" spans="5:6">
      <c r="E2318" s="206"/>
      <c r="F2318" s="206"/>
    </row>
    <row r="2319" spans="5:6">
      <c r="E2319" s="206"/>
      <c r="F2319" s="206"/>
    </row>
    <row r="2320" spans="5:6">
      <c r="E2320" s="206"/>
      <c r="F2320" s="206"/>
    </row>
    <row r="2321" spans="5:6">
      <c r="E2321" s="206"/>
      <c r="F2321" s="206"/>
    </row>
    <row r="2322" spans="5:6">
      <c r="E2322" s="206"/>
      <c r="F2322" s="206"/>
    </row>
    <row r="2323" spans="5:6">
      <c r="E2323" s="206"/>
      <c r="F2323" s="206"/>
    </row>
    <row r="2324" spans="5:6">
      <c r="E2324" s="206"/>
      <c r="F2324" s="206"/>
    </row>
    <row r="2325" spans="5:6">
      <c r="E2325" s="206"/>
      <c r="F2325" s="206"/>
    </row>
    <row r="2326" spans="5:6">
      <c r="E2326" s="206"/>
      <c r="F2326" s="206"/>
    </row>
    <row r="2327" spans="5:6">
      <c r="E2327" s="206"/>
      <c r="F2327" s="206"/>
    </row>
    <row r="2328" spans="5:6">
      <c r="E2328" s="206"/>
      <c r="F2328" s="206"/>
    </row>
    <row r="2329" spans="5:6">
      <c r="E2329" s="206"/>
      <c r="F2329" s="206"/>
    </row>
    <row r="2330" spans="5:6">
      <c r="E2330" s="206"/>
      <c r="F2330" s="206"/>
    </row>
    <row r="2331" spans="5:6">
      <c r="E2331" s="206"/>
      <c r="F2331" s="206"/>
    </row>
    <row r="2332" spans="5:6">
      <c r="E2332" s="206"/>
      <c r="F2332" s="206"/>
    </row>
    <row r="2333" spans="5:6">
      <c r="E2333" s="206"/>
      <c r="F2333" s="206"/>
    </row>
    <row r="2334" spans="5:6">
      <c r="E2334" s="206"/>
      <c r="F2334" s="206"/>
    </row>
    <row r="2335" spans="5:6">
      <c r="E2335" s="206"/>
      <c r="F2335" s="206"/>
    </row>
    <row r="2336" spans="5:6">
      <c r="E2336" s="206"/>
      <c r="F2336" s="206"/>
    </row>
    <row r="2337" spans="5:6">
      <c r="E2337" s="206"/>
      <c r="F2337" s="206"/>
    </row>
    <row r="2338" spans="5:6">
      <c r="E2338" s="206"/>
      <c r="F2338" s="206"/>
    </row>
    <row r="2339" spans="5:6">
      <c r="E2339" s="206"/>
      <c r="F2339" s="206"/>
    </row>
    <row r="2340" spans="5:6">
      <c r="E2340" s="206"/>
      <c r="F2340" s="206"/>
    </row>
    <row r="2341" spans="5:6">
      <c r="E2341" s="206"/>
      <c r="F2341" s="206"/>
    </row>
    <row r="2342" spans="5:6">
      <c r="E2342" s="206"/>
      <c r="F2342" s="206"/>
    </row>
    <row r="2343" spans="5:6">
      <c r="E2343" s="206"/>
      <c r="F2343" s="206"/>
    </row>
    <row r="2344" spans="5:6">
      <c r="E2344" s="206"/>
      <c r="F2344" s="206"/>
    </row>
    <row r="2345" spans="5:6">
      <c r="E2345" s="206"/>
      <c r="F2345" s="206"/>
    </row>
    <row r="2346" spans="5:6">
      <c r="E2346" s="206"/>
      <c r="F2346" s="206"/>
    </row>
    <row r="2347" spans="5:6">
      <c r="E2347" s="206"/>
      <c r="F2347" s="206"/>
    </row>
    <row r="2348" spans="5:6">
      <c r="E2348" s="206"/>
      <c r="F2348" s="206"/>
    </row>
    <row r="2349" spans="5:6">
      <c r="E2349" s="206"/>
      <c r="F2349" s="206"/>
    </row>
    <row r="2350" spans="5:6">
      <c r="E2350" s="206"/>
      <c r="F2350" s="206"/>
    </row>
    <row r="2351" spans="5:6">
      <c r="E2351" s="206"/>
      <c r="F2351" s="206"/>
    </row>
    <row r="2352" spans="5:6">
      <c r="E2352" s="206"/>
      <c r="F2352" s="206"/>
    </row>
    <row r="2353" spans="5:6">
      <c r="E2353" s="206"/>
      <c r="F2353" s="206"/>
    </row>
    <row r="2354" spans="5:6">
      <c r="E2354" s="206"/>
      <c r="F2354" s="206"/>
    </row>
    <row r="2355" spans="5:6">
      <c r="E2355" s="206"/>
      <c r="F2355" s="206"/>
    </row>
    <row r="2356" spans="5:6">
      <c r="E2356" s="206"/>
      <c r="F2356" s="206"/>
    </row>
    <row r="2357" spans="5:6">
      <c r="E2357" s="206"/>
      <c r="F2357" s="206"/>
    </row>
    <row r="2358" spans="5:6">
      <c r="E2358" s="206"/>
      <c r="F2358" s="206"/>
    </row>
    <row r="2359" spans="5:6">
      <c r="E2359" s="206"/>
      <c r="F2359" s="206"/>
    </row>
    <row r="2360" spans="5:6">
      <c r="E2360" s="206"/>
      <c r="F2360" s="206"/>
    </row>
    <row r="2361" spans="5:6">
      <c r="E2361" s="206"/>
      <c r="F2361" s="206"/>
    </row>
    <row r="2362" spans="5:6">
      <c r="E2362" s="206"/>
      <c r="F2362" s="206"/>
    </row>
    <row r="2363" spans="5:6">
      <c r="E2363" s="206"/>
      <c r="F2363" s="206"/>
    </row>
    <row r="2364" spans="5:6">
      <c r="E2364" s="206"/>
      <c r="F2364" s="206"/>
    </row>
    <row r="2365" spans="5:6">
      <c r="E2365" s="206"/>
      <c r="F2365" s="206"/>
    </row>
    <row r="2366" spans="5:6">
      <c r="E2366" s="206"/>
      <c r="F2366" s="206"/>
    </row>
    <row r="2367" spans="5:6">
      <c r="E2367" s="206"/>
      <c r="F2367" s="206"/>
    </row>
    <row r="2368" spans="5:6">
      <c r="E2368" s="206"/>
      <c r="F2368" s="206"/>
    </row>
    <row r="2369" spans="5:6">
      <c r="E2369" s="206"/>
      <c r="F2369" s="206"/>
    </row>
    <row r="2370" spans="5:6">
      <c r="E2370" s="206"/>
      <c r="F2370" s="206"/>
    </row>
    <row r="2371" spans="5:6">
      <c r="E2371" s="206"/>
      <c r="F2371" s="206"/>
    </row>
    <row r="2372" spans="5:6">
      <c r="E2372" s="206"/>
      <c r="F2372" s="206"/>
    </row>
    <row r="2373" spans="5:6">
      <c r="E2373" s="206"/>
      <c r="F2373" s="206"/>
    </row>
    <row r="2374" spans="5:6">
      <c r="E2374" s="206"/>
      <c r="F2374" s="206"/>
    </row>
    <row r="2375" spans="5:6">
      <c r="E2375" s="206"/>
      <c r="F2375" s="206"/>
    </row>
    <row r="2376" spans="5:6">
      <c r="E2376" s="206"/>
      <c r="F2376" s="206"/>
    </row>
    <row r="2377" spans="5:6">
      <c r="E2377" s="206"/>
      <c r="F2377" s="206"/>
    </row>
    <row r="2378" spans="5:6">
      <c r="E2378" s="206"/>
      <c r="F2378" s="206"/>
    </row>
    <row r="2379" spans="5:6">
      <c r="E2379" s="206"/>
      <c r="F2379" s="206"/>
    </row>
    <row r="2380" spans="5:6">
      <c r="E2380" s="206"/>
      <c r="F2380" s="206"/>
    </row>
    <row r="2381" spans="5:6">
      <c r="E2381" s="206"/>
      <c r="F2381" s="206"/>
    </row>
    <row r="2382" spans="5:6">
      <c r="E2382" s="206"/>
      <c r="F2382" s="206"/>
    </row>
    <row r="2383" spans="5:6">
      <c r="E2383" s="206"/>
      <c r="F2383" s="206"/>
    </row>
    <row r="2384" spans="5:6">
      <c r="E2384" s="206"/>
      <c r="F2384" s="206"/>
    </row>
    <row r="2385" spans="5:6">
      <c r="E2385" s="206"/>
      <c r="F2385" s="206"/>
    </row>
    <row r="2386" spans="5:6">
      <c r="E2386" s="206"/>
      <c r="F2386" s="206"/>
    </row>
    <row r="2387" spans="5:6">
      <c r="E2387" s="206"/>
      <c r="F2387" s="206"/>
    </row>
    <row r="2388" spans="5:6">
      <c r="E2388" s="206"/>
      <c r="F2388" s="206"/>
    </row>
    <row r="2389" spans="5:6">
      <c r="E2389" s="206"/>
      <c r="F2389" s="206"/>
    </row>
    <row r="2390" spans="5:6">
      <c r="E2390" s="206"/>
      <c r="F2390" s="206"/>
    </row>
    <row r="2391" spans="5:6">
      <c r="E2391" s="206"/>
      <c r="F2391" s="206"/>
    </row>
    <row r="2392" spans="5:6">
      <c r="E2392" s="206"/>
      <c r="F2392" s="206"/>
    </row>
    <row r="2393" spans="5:6">
      <c r="E2393" s="206"/>
      <c r="F2393" s="206"/>
    </row>
    <row r="2394" spans="5:6">
      <c r="E2394" s="206"/>
      <c r="F2394" s="206"/>
    </row>
    <row r="2395" spans="5:6">
      <c r="E2395" s="206"/>
      <c r="F2395" s="206"/>
    </row>
    <row r="2396" spans="5:6">
      <c r="E2396" s="206"/>
      <c r="F2396" s="206"/>
    </row>
    <row r="2397" spans="5:6">
      <c r="E2397" s="206"/>
      <c r="F2397" s="206"/>
    </row>
    <row r="2398" spans="5:6">
      <c r="E2398" s="206"/>
      <c r="F2398" s="206"/>
    </row>
    <row r="2399" spans="5:6">
      <c r="E2399" s="206"/>
      <c r="F2399" s="206"/>
    </row>
    <row r="2400" spans="5:6">
      <c r="E2400" s="206"/>
      <c r="F2400" s="206"/>
    </row>
    <row r="2401" spans="5:6">
      <c r="E2401" s="206"/>
      <c r="F2401" s="206"/>
    </row>
    <row r="2402" spans="5:6">
      <c r="E2402" s="206"/>
      <c r="F2402" s="206"/>
    </row>
    <row r="2403" spans="5:6">
      <c r="E2403" s="206"/>
      <c r="F2403" s="206"/>
    </row>
    <row r="2404" spans="5:6">
      <c r="E2404" s="206"/>
      <c r="F2404" s="206"/>
    </row>
    <row r="2405" spans="5:6">
      <c r="E2405" s="206"/>
      <c r="F2405" s="206"/>
    </row>
    <row r="2406" spans="5:6">
      <c r="E2406" s="206"/>
      <c r="F2406" s="206"/>
    </row>
    <row r="2407" spans="5:6">
      <c r="E2407" s="206"/>
      <c r="F2407" s="206"/>
    </row>
    <row r="2408" spans="5:6">
      <c r="E2408" s="206"/>
      <c r="F2408" s="206"/>
    </row>
    <row r="2409" spans="5:6">
      <c r="E2409" s="206"/>
      <c r="F2409" s="206"/>
    </row>
    <row r="2410" spans="5:6">
      <c r="E2410" s="206"/>
      <c r="F2410" s="206"/>
    </row>
    <row r="2411" spans="5:6">
      <c r="E2411" s="206"/>
      <c r="F2411" s="206"/>
    </row>
    <row r="2412" spans="5:6">
      <c r="E2412" s="206"/>
      <c r="F2412" s="206"/>
    </row>
    <row r="2413" spans="5:6">
      <c r="E2413" s="206"/>
      <c r="F2413" s="206"/>
    </row>
    <row r="2414" spans="5:6">
      <c r="E2414" s="206"/>
      <c r="F2414" s="206"/>
    </row>
    <row r="2415" spans="5:6">
      <c r="E2415" s="206"/>
      <c r="F2415" s="206"/>
    </row>
    <row r="2416" spans="5:6">
      <c r="E2416" s="206"/>
      <c r="F2416" s="206"/>
    </row>
    <row r="2417" spans="5:6">
      <c r="E2417" s="206"/>
      <c r="F2417" s="206"/>
    </row>
    <row r="2418" spans="5:6">
      <c r="E2418" s="206"/>
      <c r="F2418" s="206"/>
    </row>
    <row r="2419" spans="5:6">
      <c r="E2419" s="206"/>
      <c r="F2419" s="206"/>
    </row>
    <row r="2420" spans="5:6">
      <c r="E2420" s="206"/>
      <c r="F2420" s="206"/>
    </row>
    <row r="2421" spans="5:6">
      <c r="E2421" s="206"/>
      <c r="F2421" s="206"/>
    </row>
    <row r="2422" spans="5:6">
      <c r="E2422" s="206"/>
      <c r="F2422" s="206"/>
    </row>
    <row r="2423" spans="5:6">
      <c r="E2423" s="206"/>
      <c r="F2423" s="206"/>
    </row>
    <row r="2424" spans="5:6">
      <c r="E2424" s="206"/>
      <c r="F2424" s="206"/>
    </row>
    <row r="2425" spans="5:6">
      <c r="E2425" s="206"/>
      <c r="F2425" s="206"/>
    </row>
    <row r="2426" spans="5:6">
      <c r="E2426" s="206"/>
      <c r="F2426" s="206"/>
    </row>
    <row r="2427" spans="5:6">
      <c r="E2427" s="206"/>
      <c r="F2427" s="206"/>
    </row>
    <row r="2428" spans="5:6">
      <c r="E2428" s="206"/>
      <c r="F2428" s="206"/>
    </row>
    <row r="2429" spans="5:6">
      <c r="E2429" s="206"/>
      <c r="F2429" s="206"/>
    </row>
    <row r="2430" spans="5:6">
      <c r="E2430" s="206"/>
      <c r="F2430" s="206"/>
    </row>
    <row r="2431" spans="5:6">
      <c r="E2431" s="206"/>
      <c r="F2431" s="206"/>
    </row>
    <row r="2432" spans="5:6">
      <c r="E2432" s="206"/>
      <c r="F2432" s="206"/>
    </row>
    <row r="2433" spans="5:6">
      <c r="E2433" s="206"/>
      <c r="F2433" s="206"/>
    </row>
    <row r="2434" spans="5:6">
      <c r="E2434" s="206"/>
      <c r="F2434" s="206"/>
    </row>
    <row r="2435" spans="5:6">
      <c r="E2435" s="206"/>
      <c r="F2435" s="206"/>
    </row>
    <row r="2436" spans="5:6">
      <c r="E2436" s="206"/>
      <c r="F2436" s="206"/>
    </row>
    <row r="2437" spans="5:6">
      <c r="E2437" s="206"/>
      <c r="F2437" s="206"/>
    </row>
    <row r="2438" spans="5:6">
      <c r="E2438" s="206"/>
      <c r="F2438" s="206"/>
    </row>
    <row r="2439" spans="5:6">
      <c r="E2439" s="206"/>
      <c r="F2439" s="206"/>
    </row>
    <row r="2440" spans="5:6">
      <c r="E2440" s="206"/>
      <c r="F2440" s="206"/>
    </row>
    <row r="2441" spans="5:6">
      <c r="E2441" s="206"/>
      <c r="F2441" s="206"/>
    </row>
    <row r="2442" spans="5:6">
      <c r="E2442" s="206"/>
      <c r="F2442" s="206"/>
    </row>
    <row r="2443" spans="5:6">
      <c r="E2443" s="206"/>
      <c r="F2443" s="206"/>
    </row>
    <row r="2444" spans="5:6">
      <c r="E2444" s="206"/>
      <c r="F2444" s="206"/>
    </row>
    <row r="2445" spans="5:6">
      <c r="E2445" s="206"/>
      <c r="F2445" s="206"/>
    </row>
    <row r="2446" spans="5:6">
      <c r="E2446" s="206"/>
      <c r="F2446" s="206"/>
    </row>
    <row r="2447" spans="5:6">
      <c r="E2447" s="206"/>
      <c r="F2447" s="206"/>
    </row>
    <row r="2448" spans="5:6">
      <c r="E2448" s="206"/>
      <c r="F2448" s="206"/>
    </row>
    <row r="2449" spans="5:6">
      <c r="E2449" s="206"/>
      <c r="F2449" s="206"/>
    </row>
    <row r="2450" spans="5:6">
      <c r="E2450" s="206"/>
      <c r="F2450" s="206"/>
    </row>
    <row r="2451" spans="5:6">
      <c r="E2451" s="206"/>
      <c r="F2451" s="206"/>
    </row>
    <row r="2452" spans="5:6">
      <c r="E2452" s="206"/>
      <c r="F2452" s="206"/>
    </row>
    <row r="2453" spans="5:6">
      <c r="E2453" s="206"/>
      <c r="F2453" s="206"/>
    </row>
    <row r="2454" spans="5:6">
      <c r="E2454" s="206"/>
      <c r="F2454" s="206"/>
    </row>
    <row r="2455" spans="5:6">
      <c r="E2455" s="206"/>
      <c r="F2455" s="206"/>
    </row>
    <row r="2456" spans="5:6">
      <c r="E2456" s="206"/>
      <c r="F2456" s="206"/>
    </row>
    <row r="2457" spans="5:6">
      <c r="E2457" s="206"/>
      <c r="F2457" s="206"/>
    </row>
    <row r="2458" spans="5:6">
      <c r="E2458" s="206"/>
      <c r="F2458" s="206"/>
    </row>
    <row r="2459" spans="5:6">
      <c r="E2459" s="206"/>
      <c r="F2459" s="206"/>
    </row>
    <row r="2460" spans="5:6">
      <c r="E2460" s="206"/>
      <c r="F2460" s="206"/>
    </row>
    <row r="2461" spans="5:6">
      <c r="E2461" s="206"/>
      <c r="F2461" s="206"/>
    </row>
    <row r="2462" spans="5:6">
      <c r="E2462" s="206"/>
      <c r="F2462" s="206"/>
    </row>
    <row r="2463" spans="5:6">
      <c r="E2463" s="206"/>
      <c r="F2463" s="206"/>
    </row>
    <row r="2464" spans="5:6">
      <c r="E2464" s="206"/>
      <c r="F2464" s="206"/>
    </row>
    <row r="2465" spans="5:6">
      <c r="E2465" s="206"/>
      <c r="F2465" s="206"/>
    </row>
    <row r="2466" spans="5:6">
      <c r="E2466" s="206"/>
      <c r="F2466" s="206"/>
    </row>
    <row r="2467" spans="5:6">
      <c r="E2467" s="206"/>
      <c r="F2467" s="206"/>
    </row>
    <row r="2468" spans="5:6">
      <c r="E2468" s="206"/>
      <c r="F2468" s="206"/>
    </row>
    <row r="2469" spans="5:6">
      <c r="E2469" s="206"/>
      <c r="F2469" s="206"/>
    </row>
    <row r="2470" spans="5:6">
      <c r="E2470" s="206"/>
      <c r="F2470" s="206"/>
    </row>
    <row r="2471" spans="5:6">
      <c r="E2471" s="206"/>
      <c r="F2471" s="206"/>
    </row>
    <row r="2472" spans="5:6">
      <c r="E2472" s="206"/>
      <c r="F2472" s="206"/>
    </row>
    <row r="2473" spans="5:6">
      <c r="E2473" s="206"/>
      <c r="F2473" s="206"/>
    </row>
    <row r="2474" spans="5:6">
      <c r="E2474" s="206"/>
      <c r="F2474" s="206"/>
    </row>
    <row r="2475" spans="5:6">
      <c r="E2475" s="206"/>
      <c r="F2475" s="206"/>
    </row>
    <row r="2476" spans="5:6">
      <c r="E2476" s="206"/>
      <c r="F2476" s="206"/>
    </row>
    <row r="2477" spans="5:6">
      <c r="E2477" s="206"/>
      <c r="F2477" s="206"/>
    </row>
    <row r="2478" spans="5:6">
      <c r="E2478" s="206"/>
      <c r="F2478" s="206"/>
    </row>
    <row r="2479" spans="5:6">
      <c r="E2479" s="206"/>
      <c r="F2479" s="206"/>
    </row>
    <row r="2480" spans="5:6">
      <c r="E2480" s="206"/>
      <c r="F2480" s="206"/>
    </row>
    <row r="2481" spans="5:6">
      <c r="E2481" s="206"/>
      <c r="F2481" s="206"/>
    </row>
    <row r="2482" spans="5:6">
      <c r="E2482" s="206"/>
      <c r="F2482" s="206"/>
    </row>
    <row r="2483" spans="5:6">
      <c r="E2483" s="206"/>
      <c r="F2483" s="206"/>
    </row>
    <row r="2484" spans="5:6">
      <c r="E2484" s="206"/>
      <c r="F2484" s="206"/>
    </row>
    <row r="2485" spans="5:6">
      <c r="E2485" s="206"/>
      <c r="F2485" s="206"/>
    </row>
    <row r="2486" spans="5:6">
      <c r="E2486" s="206"/>
      <c r="F2486" s="206"/>
    </row>
    <row r="2487" spans="5:6">
      <c r="E2487" s="206"/>
      <c r="F2487" s="206"/>
    </row>
    <row r="2488" spans="5:6">
      <c r="E2488" s="206"/>
      <c r="F2488" s="206"/>
    </row>
    <row r="2489" spans="5:6">
      <c r="E2489" s="206"/>
      <c r="F2489" s="206"/>
    </row>
    <row r="2490" spans="5:6">
      <c r="E2490" s="206"/>
      <c r="F2490" s="206"/>
    </row>
    <row r="2491" spans="5:6">
      <c r="E2491" s="206"/>
      <c r="F2491" s="206"/>
    </row>
    <row r="2492" spans="5:6">
      <c r="E2492" s="206"/>
      <c r="F2492" s="206"/>
    </row>
    <row r="2493" spans="5:6">
      <c r="E2493" s="206"/>
      <c r="F2493" s="206"/>
    </row>
    <row r="2494" spans="5:6">
      <c r="E2494" s="206"/>
      <c r="F2494" s="206"/>
    </row>
    <row r="2495" spans="5:6">
      <c r="E2495" s="206"/>
      <c r="F2495" s="206"/>
    </row>
    <row r="2496" spans="5:6">
      <c r="E2496" s="206"/>
      <c r="F2496" s="206"/>
    </row>
    <row r="2497" spans="5:6">
      <c r="E2497" s="206"/>
      <c r="F2497" s="206"/>
    </row>
    <row r="2498" spans="5:6">
      <c r="E2498" s="206"/>
      <c r="F2498" s="206"/>
    </row>
    <row r="2499" spans="5:6">
      <c r="E2499" s="206"/>
      <c r="F2499" s="206"/>
    </row>
    <row r="2500" spans="5:6">
      <c r="E2500" s="206"/>
      <c r="F2500" s="206"/>
    </row>
    <row r="2501" spans="5:6">
      <c r="E2501" s="206"/>
      <c r="F2501" s="206"/>
    </row>
    <row r="2502" spans="5:6">
      <c r="E2502" s="206"/>
      <c r="F2502" s="206"/>
    </row>
    <row r="2503" spans="5:6">
      <c r="E2503" s="206"/>
      <c r="F2503" s="206"/>
    </row>
    <row r="2504" spans="5:6">
      <c r="E2504" s="206"/>
      <c r="F2504" s="206"/>
    </row>
    <row r="2505" spans="5:6">
      <c r="E2505" s="206"/>
      <c r="F2505" s="206"/>
    </row>
    <row r="2506" spans="5:6">
      <c r="E2506" s="206"/>
      <c r="F2506" s="206"/>
    </row>
    <row r="2507" spans="5:6">
      <c r="E2507" s="206"/>
      <c r="F2507" s="206"/>
    </row>
    <row r="2508" spans="5:6">
      <c r="E2508" s="206"/>
      <c r="F2508" s="206"/>
    </row>
    <row r="2509" spans="5:6">
      <c r="E2509" s="206"/>
      <c r="F2509" s="206"/>
    </row>
    <row r="2510" spans="5:6">
      <c r="E2510" s="206"/>
      <c r="F2510" s="206"/>
    </row>
    <row r="2511" spans="5:6">
      <c r="E2511" s="206"/>
      <c r="F2511" s="206"/>
    </row>
    <row r="2512" spans="5:6">
      <c r="E2512" s="206"/>
      <c r="F2512" s="206"/>
    </row>
    <row r="2513" spans="5:6">
      <c r="E2513" s="206"/>
      <c r="F2513" s="206"/>
    </row>
    <row r="2514" spans="5:6">
      <c r="E2514" s="206"/>
      <c r="F2514" s="206"/>
    </row>
    <row r="2515" spans="5:6">
      <c r="E2515" s="206"/>
      <c r="F2515" s="206"/>
    </row>
    <row r="2516" spans="5:6">
      <c r="E2516" s="206"/>
      <c r="F2516" s="206"/>
    </row>
    <row r="2517" spans="5:6">
      <c r="E2517" s="206"/>
      <c r="F2517" s="206"/>
    </row>
    <row r="2518" spans="5:6">
      <c r="E2518" s="206"/>
      <c r="F2518" s="206"/>
    </row>
    <row r="2519" spans="5:6">
      <c r="E2519" s="206"/>
      <c r="F2519" s="206"/>
    </row>
    <row r="2520" spans="5:6">
      <c r="E2520" s="206"/>
      <c r="F2520" s="206"/>
    </row>
    <row r="2521" spans="5:6">
      <c r="E2521" s="206"/>
      <c r="F2521" s="206"/>
    </row>
    <row r="2522" spans="5:6">
      <c r="E2522" s="206"/>
      <c r="F2522" s="206"/>
    </row>
    <row r="2523" spans="5:6">
      <c r="E2523" s="206"/>
      <c r="F2523" s="206"/>
    </row>
    <row r="2524" spans="5:6">
      <c r="E2524" s="206"/>
      <c r="F2524" s="206"/>
    </row>
    <row r="2525" spans="5:6">
      <c r="E2525" s="206"/>
      <c r="F2525" s="206"/>
    </row>
    <row r="2526" spans="5:6">
      <c r="E2526" s="206"/>
      <c r="F2526" s="206"/>
    </row>
    <row r="2527" spans="5:6">
      <c r="E2527" s="206"/>
      <c r="F2527" s="206"/>
    </row>
    <row r="2528" spans="5:6">
      <c r="E2528" s="206"/>
      <c r="F2528" s="206"/>
    </row>
    <row r="2529" spans="5:6">
      <c r="E2529" s="206"/>
      <c r="F2529" s="206"/>
    </row>
    <row r="2530" spans="5:6">
      <c r="E2530" s="206"/>
      <c r="F2530" s="206"/>
    </row>
    <row r="2531" spans="5:6">
      <c r="E2531" s="206"/>
      <c r="F2531" s="206"/>
    </row>
    <row r="2532" spans="5:6">
      <c r="E2532" s="206"/>
      <c r="F2532" s="206"/>
    </row>
    <row r="2533" spans="5:6">
      <c r="E2533" s="206"/>
      <c r="F2533" s="206"/>
    </row>
    <row r="2534" spans="5:6">
      <c r="E2534" s="206"/>
      <c r="F2534" s="206"/>
    </row>
    <row r="2535" spans="5:6">
      <c r="E2535" s="206"/>
      <c r="F2535" s="206"/>
    </row>
    <row r="2536" spans="5:6">
      <c r="E2536" s="206"/>
      <c r="F2536" s="206"/>
    </row>
    <row r="2537" spans="5:6">
      <c r="E2537" s="206"/>
      <c r="F2537" s="206"/>
    </row>
    <row r="2538" spans="5:6">
      <c r="E2538" s="206"/>
      <c r="F2538" s="206"/>
    </row>
    <row r="2539" spans="5:6">
      <c r="E2539" s="206"/>
      <c r="F2539" s="206"/>
    </row>
    <row r="2540" spans="5:6">
      <c r="E2540" s="206"/>
      <c r="F2540" s="206"/>
    </row>
    <row r="2541" spans="5:6">
      <c r="E2541" s="206"/>
      <c r="F2541" s="206"/>
    </row>
    <row r="2542" spans="5:6">
      <c r="E2542" s="206"/>
      <c r="F2542" s="206"/>
    </row>
    <row r="2543" spans="5:6">
      <c r="E2543" s="206"/>
      <c r="F2543" s="206"/>
    </row>
    <row r="2544" spans="5:6">
      <c r="E2544" s="206"/>
      <c r="F2544" s="206"/>
    </row>
    <row r="2545" spans="5:6">
      <c r="E2545" s="206"/>
      <c r="F2545" s="206"/>
    </row>
    <row r="2546" spans="5:6">
      <c r="E2546" s="206"/>
      <c r="F2546" s="206"/>
    </row>
    <row r="2547" spans="5:6">
      <c r="E2547" s="206"/>
      <c r="F2547" s="206"/>
    </row>
    <row r="2548" spans="5:6">
      <c r="E2548" s="206"/>
      <c r="F2548" s="206"/>
    </row>
    <row r="2549" spans="5:6">
      <c r="E2549" s="206"/>
      <c r="F2549" s="206"/>
    </row>
    <row r="2550" spans="5:6">
      <c r="E2550" s="206"/>
      <c r="F2550" s="206"/>
    </row>
    <row r="2551" spans="5:6">
      <c r="E2551" s="206"/>
      <c r="F2551" s="206"/>
    </row>
    <row r="2552" spans="5:6">
      <c r="E2552" s="206"/>
      <c r="F2552" s="206"/>
    </row>
    <row r="2553" spans="5:6">
      <c r="E2553" s="206"/>
      <c r="F2553" s="206"/>
    </row>
    <row r="2554" spans="5:6">
      <c r="E2554" s="206"/>
      <c r="F2554" s="206"/>
    </row>
    <row r="2555" spans="5:6">
      <c r="E2555" s="206"/>
      <c r="F2555" s="206"/>
    </row>
    <row r="2556" spans="5:6">
      <c r="E2556" s="206"/>
      <c r="F2556" s="206"/>
    </row>
    <row r="2557" spans="5:6">
      <c r="E2557" s="206"/>
      <c r="F2557" s="206"/>
    </row>
    <row r="2558" spans="5:6">
      <c r="E2558" s="206"/>
      <c r="F2558" s="206"/>
    </row>
    <row r="2559" spans="5:6">
      <c r="E2559" s="206"/>
      <c r="F2559" s="206"/>
    </row>
    <row r="2560" spans="5:6">
      <c r="E2560" s="206"/>
      <c r="F2560" s="206"/>
    </row>
    <row r="2561" spans="5:6">
      <c r="E2561" s="206"/>
      <c r="F2561" s="206"/>
    </row>
    <row r="2562" spans="5:6">
      <c r="E2562" s="206"/>
      <c r="F2562" s="206"/>
    </row>
    <row r="2563" spans="5:6">
      <c r="E2563" s="206"/>
      <c r="F2563" s="206"/>
    </row>
    <row r="2564" spans="5:6">
      <c r="E2564" s="206"/>
      <c r="F2564" s="206"/>
    </row>
    <row r="2565" spans="5:6">
      <c r="E2565" s="206"/>
      <c r="F2565" s="206"/>
    </row>
    <row r="2566" spans="5:6">
      <c r="E2566" s="206"/>
      <c r="F2566" s="206"/>
    </row>
    <row r="2567" spans="5:6">
      <c r="E2567" s="206"/>
      <c r="F2567" s="206"/>
    </row>
    <row r="2568" spans="5:6">
      <c r="E2568" s="206"/>
      <c r="F2568" s="206"/>
    </row>
    <row r="2569" spans="5:6">
      <c r="E2569" s="206"/>
      <c r="F2569" s="206"/>
    </row>
    <row r="2570" spans="5:6">
      <c r="E2570" s="206"/>
      <c r="F2570" s="206"/>
    </row>
    <row r="2571" spans="5:6">
      <c r="E2571" s="206"/>
      <c r="F2571" s="206"/>
    </row>
    <row r="2572" spans="5:6">
      <c r="E2572" s="206"/>
      <c r="F2572" s="206"/>
    </row>
    <row r="2573" spans="5:6">
      <c r="E2573" s="206"/>
      <c r="F2573" s="206"/>
    </row>
    <row r="2574" spans="5:6">
      <c r="E2574" s="206"/>
      <c r="F2574" s="206"/>
    </row>
    <row r="2575" spans="5:6">
      <c r="E2575" s="206"/>
      <c r="F2575" s="206"/>
    </row>
    <row r="2576" spans="5:6">
      <c r="E2576" s="206"/>
      <c r="F2576" s="206"/>
    </row>
    <row r="2577" spans="5:6">
      <c r="E2577" s="206"/>
      <c r="F2577" s="206"/>
    </row>
    <row r="2578" spans="5:6">
      <c r="E2578" s="206"/>
      <c r="F2578" s="206"/>
    </row>
    <row r="2579" spans="5:6">
      <c r="E2579" s="206"/>
      <c r="F2579" s="206"/>
    </row>
    <row r="2580" spans="5:6">
      <c r="E2580" s="206"/>
      <c r="F2580" s="206"/>
    </row>
    <row r="2581" spans="5:6">
      <c r="E2581" s="206"/>
      <c r="F2581" s="206"/>
    </row>
    <row r="2582" spans="5:6">
      <c r="E2582" s="206"/>
      <c r="F2582" s="206"/>
    </row>
    <row r="2583" spans="5:6">
      <c r="E2583" s="206"/>
      <c r="F2583" s="206"/>
    </row>
    <row r="2584" spans="5:6">
      <c r="E2584" s="206"/>
      <c r="F2584" s="206"/>
    </row>
    <row r="2585" spans="5:6">
      <c r="E2585" s="206"/>
      <c r="F2585" s="206"/>
    </row>
    <row r="2586" spans="5:6">
      <c r="E2586" s="206"/>
      <c r="F2586" s="206"/>
    </row>
    <row r="2587" spans="5:6">
      <c r="E2587" s="206"/>
      <c r="F2587" s="206"/>
    </row>
    <row r="2588" spans="5:6">
      <c r="E2588" s="206"/>
      <c r="F2588" s="206"/>
    </row>
    <row r="2589" spans="5:6">
      <c r="E2589" s="206"/>
      <c r="F2589" s="206"/>
    </row>
    <row r="2590" spans="5:6">
      <c r="E2590" s="206"/>
      <c r="F2590" s="206"/>
    </row>
    <row r="2591" spans="5:6">
      <c r="E2591" s="206"/>
      <c r="F2591" s="206"/>
    </row>
    <row r="2592" spans="5:6">
      <c r="E2592" s="206"/>
      <c r="F2592" s="206"/>
    </row>
    <row r="2593" spans="5:6">
      <c r="E2593" s="206"/>
      <c r="F2593" s="206"/>
    </row>
    <row r="2594" spans="5:6">
      <c r="E2594" s="206"/>
      <c r="F2594" s="206"/>
    </row>
    <row r="2595" spans="5:6">
      <c r="E2595" s="206"/>
      <c r="F2595" s="206"/>
    </row>
    <row r="2596" spans="5:6">
      <c r="E2596" s="206"/>
      <c r="F2596" s="206"/>
    </row>
    <row r="2597" spans="5:6">
      <c r="E2597" s="206"/>
      <c r="F2597" s="206"/>
    </row>
    <row r="2598" spans="5:6">
      <c r="E2598" s="206"/>
      <c r="F2598" s="206"/>
    </row>
    <row r="2599" spans="5:6">
      <c r="E2599" s="206"/>
      <c r="F2599" s="206"/>
    </row>
    <row r="2600" spans="5:6">
      <c r="E2600" s="206"/>
      <c r="F2600" s="206"/>
    </row>
    <row r="2601" spans="5:6">
      <c r="E2601" s="206"/>
      <c r="F2601" s="206"/>
    </row>
    <row r="2602" spans="5:6">
      <c r="E2602" s="206"/>
      <c r="F2602" s="206"/>
    </row>
    <row r="2603" spans="5:6">
      <c r="E2603" s="206"/>
      <c r="F2603" s="206"/>
    </row>
    <row r="2604" spans="5:6">
      <c r="E2604" s="206"/>
      <c r="F2604" s="206"/>
    </row>
    <row r="2605" spans="5:6">
      <c r="E2605" s="206"/>
      <c r="F2605" s="206"/>
    </row>
    <row r="2606" spans="5:6">
      <c r="E2606" s="206"/>
      <c r="F2606" s="206"/>
    </row>
    <row r="2607" spans="5:6">
      <c r="E2607" s="206"/>
      <c r="F2607" s="206"/>
    </row>
    <row r="2608" spans="5:6">
      <c r="E2608" s="206"/>
      <c r="F2608" s="206"/>
    </row>
    <row r="2609" spans="5:6">
      <c r="E2609" s="206"/>
      <c r="F2609" s="206"/>
    </row>
    <row r="2610" spans="5:6">
      <c r="E2610" s="206"/>
      <c r="F2610" s="206"/>
    </row>
    <row r="2611" spans="5:6">
      <c r="E2611" s="206"/>
      <c r="F2611" s="206"/>
    </row>
    <row r="2612" spans="5:6">
      <c r="E2612" s="206"/>
      <c r="F2612" s="206"/>
    </row>
    <row r="2613" spans="5:6">
      <c r="E2613" s="206"/>
      <c r="F2613" s="206"/>
    </row>
    <row r="2614" spans="5:6">
      <c r="E2614" s="206"/>
      <c r="F2614" s="206"/>
    </row>
    <row r="2615" spans="5:6">
      <c r="E2615" s="206"/>
      <c r="F2615" s="206"/>
    </row>
    <row r="2616" spans="5:6">
      <c r="E2616" s="206"/>
      <c r="F2616" s="206"/>
    </row>
    <row r="2617" spans="5:6">
      <c r="E2617" s="206"/>
      <c r="F2617" s="206"/>
    </row>
    <row r="2618" spans="5:6">
      <c r="E2618" s="206"/>
      <c r="F2618" s="206"/>
    </row>
    <row r="2619" spans="5:6">
      <c r="E2619" s="206"/>
      <c r="F2619" s="206"/>
    </row>
    <row r="2620" spans="5:6">
      <c r="E2620" s="206"/>
      <c r="F2620" s="206"/>
    </row>
    <row r="2621" spans="5:6">
      <c r="E2621" s="206"/>
      <c r="F2621" s="206"/>
    </row>
    <row r="2622" spans="5:6">
      <c r="E2622" s="206"/>
      <c r="F2622" s="206"/>
    </row>
    <row r="2623" spans="5:6">
      <c r="E2623" s="206"/>
      <c r="F2623" s="206"/>
    </row>
    <row r="2624" spans="5:6">
      <c r="E2624" s="206"/>
      <c r="F2624" s="206"/>
    </row>
    <row r="2625" spans="5:6">
      <c r="E2625" s="206"/>
      <c r="F2625" s="206"/>
    </row>
    <row r="2626" spans="5:6">
      <c r="E2626" s="206"/>
      <c r="F2626" s="206"/>
    </row>
    <row r="2627" spans="5:6">
      <c r="E2627" s="206"/>
      <c r="F2627" s="206"/>
    </row>
    <row r="2628" spans="5:6">
      <c r="E2628" s="206"/>
      <c r="F2628" s="206"/>
    </row>
    <row r="2629" spans="5:6">
      <c r="E2629" s="206"/>
      <c r="F2629" s="206"/>
    </row>
    <row r="2630" spans="5:6">
      <c r="E2630" s="206"/>
      <c r="F2630" s="206"/>
    </row>
    <row r="2631" spans="5:6">
      <c r="E2631" s="206"/>
      <c r="F2631" s="206"/>
    </row>
    <row r="2632" spans="5:6">
      <c r="E2632" s="206"/>
      <c r="F2632" s="206"/>
    </row>
    <row r="2633" spans="5:6">
      <c r="E2633" s="206"/>
      <c r="F2633" s="206"/>
    </row>
    <row r="2634" spans="5:6">
      <c r="E2634" s="206"/>
      <c r="F2634" s="206"/>
    </row>
    <row r="2635" spans="5:6">
      <c r="E2635" s="206"/>
      <c r="F2635" s="206"/>
    </row>
    <row r="2636" spans="5:6">
      <c r="E2636" s="206"/>
      <c r="F2636" s="206"/>
    </row>
    <row r="2637" spans="5:6">
      <c r="E2637" s="206"/>
      <c r="F2637" s="206"/>
    </row>
    <row r="2638" spans="5:6">
      <c r="E2638" s="206"/>
      <c r="F2638" s="206"/>
    </row>
    <row r="2639" spans="5:6">
      <c r="E2639" s="206"/>
      <c r="F2639" s="206"/>
    </row>
    <row r="2640" spans="5:6">
      <c r="E2640" s="206"/>
      <c r="F2640" s="206"/>
    </row>
    <row r="2641" spans="5:6">
      <c r="E2641" s="206"/>
      <c r="F2641" s="206"/>
    </row>
    <row r="2642" spans="5:6">
      <c r="E2642" s="206"/>
      <c r="F2642" s="206"/>
    </row>
    <row r="2643" spans="5:6">
      <c r="E2643" s="206"/>
      <c r="F2643" s="206"/>
    </row>
    <row r="2644" spans="5:6">
      <c r="E2644" s="206"/>
      <c r="F2644" s="206"/>
    </row>
    <row r="2645" spans="5:6">
      <c r="E2645" s="206"/>
      <c r="F2645" s="206"/>
    </row>
    <row r="2646" spans="5:6">
      <c r="E2646" s="206"/>
      <c r="F2646" s="206"/>
    </row>
    <row r="2647" spans="5:6">
      <c r="E2647" s="206"/>
      <c r="F2647" s="206"/>
    </row>
    <row r="2648" spans="5:6">
      <c r="E2648" s="206"/>
      <c r="F2648" s="206"/>
    </row>
    <row r="2649" spans="5:6">
      <c r="E2649" s="206"/>
      <c r="F2649" s="206"/>
    </row>
    <row r="2650" spans="5:6">
      <c r="E2650" s="206"/>
      <c r="F2650" s="206"/>
    </row>
    <row r="2651" spans="5:6">
      <c r="E2651" s="206"/>
      <c r="F2651" s="206"/>
    </row>
    <row r="2652" spans="5:6">
      <c r="E2652" s="206"/>
      <c r="F2652" s="206"/>
    </row>
    <row r="2653" spans="5:6">
      <c r="E2653" s="206"/>
      <c r="F2653" s="206"/>
    </row>
    <row r="2654" spans="5:6">
      <c r="E2654" s="206"/>
      <c r="F2654" s="206"/>
    </row>
    <row r="2655" spans="5:6">
      <c r="E2655" s="206"/>
      <c r="F2655" s="206"/>
    </row>
    <row r="2656" spans="5:6">
      <c r="E2656" s="206"/>
      <c r="F2656" s="206"/>
    </row>
    <row r="2657" spans="5:6">
      <c r="E2657" s="206"/>
      <c r="F2657" s="206"/>
    </row>
    <row r="2658" spans="5:6">
      <c r="E2658" s="206"/>
      <c r="F2658" s="206"/>
    </row>
    <row r="2659" spans="5:6">
      <c r="E2659" s="206"/>
      <c r="F2659" s="206"/>
    </row>
    <row r="2660" spans="5:6">
      <c r="E2660" s="206"/>
      <c r="F2660" s="206"/>
    </row>
    <row r="2661" spans="5:6">
      <c r="E2661" s="206"/>
      <c r="F2661" s="206"/>
    </row>
    <row r="2662" spans="5:6">
      <c r="E2662" s="206"/>
      <c r="F2662" s="206"/>
    </row>
    <row r="2663" spans="5:6">
      <c r="E2663" s="206"/>
      <c r="F2663" s="206"/>
    </row>
    <row r="2664" spans="5:6">
      <c r="E2664" s="206"/>
      <c r="F2664" s="206"/>
    </row>
    <row r="2665" spans="5:6">
      <c r="E2665" s="206"/>
      <c r="F2665" s="206"/>
    </row>
    <row r="2666" spans="5:6">
      <c r="E2666" s="206"/>
      <c r="F2666" s="206"/>
    </row>
    <row r="2667" spans="5:6">
      <c r="E2667" s="206"/>
      <c r="F2667" s="206"/>
    </row>
    <row r="2668" spans="5:6">
      <c r="E2668" s="206"/>
      <c r="F2668" s="206"/>
    </row>
    <row r="2669" spans="5:6">
      <c r="E2669" s="206"/>
      <c r="F2669" s="206"/>
    </row>
    <row r="2670" spans="5:6">
      <c r="E2670" s="206"/>
      <c r="F2670" s="206"/>
    </row>
    <row r="2671" spans="5:6">
      <c r="E2671" s="206"/>
      <c r="F2671" s="206"/>
    </row>
    <row r="2672" spans="5:6">
      <c r="E2672" s="206"/>
      <c r="F2672" s="206"/>
    </row>
    <row r="2673" spans="5:6">
      <c r="E2673" s="206"/>
      <c r="F2673" s="206"/>
    </row>
    <row r="2674" spans="5:6">
      <c r="E2674" s="206"/>
      <c r="F2674" s="206"/>
    </row>
    <row r="2675" spans="5:6">
      <c r="E2675" s="206"/>
      <c r="F2675" s="206"/>
    </row>
    <row r="2676" spans="5:6">
      <c r="E2676" s="206"/>
      <c r="F2676" s="206"/>
    </row>
    <row r="2677" spans="5:6">
      <c r="E2677" s="206"/>
      <c r="F2677" s="206"/>
    </row>
    <row r="2678" spans="5:6">
      <c r="E2678" s="206"/>
      <c r="F2678" s="206"/>
    </row>
    <row r="2679" spans="5:6">
      <c r="E2679" s="206"/>
      <c r="F2679" s="206"/>
    </row>
    <row r="2680" spans="5:6">
      <c r="E2680" s="206"/>
      <c r="F2680" s="206"/>
    </row>
    <row r="2681" spans="5:6">
      <c r="E2681" s="206"/>
      <c r="F2681" s="206"/>
    </row>
    <row r="2682" spans="5:6">
      <c r="E2682" s="206"/>
      <c r="F2682" s="206"/>
    </row>
    <row r="2683" spans="5:6">
      <c r="E2683" s="206"/>
      <c r="F2683" s="206"/>
    </row>
    <row r="2684" spans="5:6">
      <c r="E2684" s="206"/>
      <c r="F2684" s="206"/>
    </row>
    <row r="2685" spans="5:6">
      <c r="E2685" s="206"/>
      <c r="F2685" s="206"/>
    </row>
    <row r="2686" spans="5:6">
      <c r="E2686" s="206"/>
      <c r="F2686" s="206"/>
    </row>
    <row r="2687" spans="5:6">
      <c r="E2687" s="206"/>
      <c r="F2687" s="206"/>
    </row>
    <row r="2688" spans="5:6">
      <c r="E2688" s="206"/>
      <c r="F2688" s="206"/>
    </row>
    <row r="2689" spans="5:6">
      <c r="E2689" s="206"/>
      <c r="F2689" s="206"/>
    </row>
    <row r="2690" spans="5:6">
      <c r="E2690" s="206"/>
      <c r="F2690" s="206"/>
    </row>
    <row r="2691" spans="5:6">
      <c r="E2691" s="206"/>
      <c r="F2691" s="206"/>
    </row>
    <row r="2692" spans="5:6">
      <c r="E2692" s="206"/>
      <c r="F2692" s="206"/>
    </row>
    <row r="2693" spans="5:6">
      <c r="E2693" s="206"/>
      <c r="F2693" s="206"/>
    </row>
    <row r="2694" spans="5:6">
      <c r="E2694" s="206"/>
      <c r="F2694" s="206"/>
    </row>
    <row r="2695" spans="5:6">
      <c r="E2695" s="206"/>
      <c r="F2695" s="206"/>
    </row>
    <row r="2696" spans="5:6">
      <c r="E2696" s="206"/>
      <c r="F2696" s="206"/>
    </row>
    <row r="2697" spans="5:6">
      <c r="E2697" s="206"/>
      <c r="F2697" s="206"/>
    </row>
    <row r="2698" spans="5:6">
      <c r="E2698" s="206"/>
      <c r="F2698" s="206"/>
    </row>
    <row r="2699" spans="5:6">
      <c r="E2699" s="206"/>
      <c r="F2699" s="206"/>
    </row>
    <row r="2700" spans="5:6">
      <c r="E2700" s="206"/>
      <c r="F2700" s="206"/>
    </row>
    <row r="2701" spans="5:6">
      <c r="E2701" s="206"/>
      <c r="F2701" s="206"/>
    </row>
    <row r="2702" spans="5:6">
      <c r="E2702" s="206"/>
      <c r="F2702" s="206"/>
    </row>
    <row r="2703" spans="5:6">
      <c r="E2703" s="206"/>
      <c r="F2703" s="206"/>
    </row>
    <row r="2704" spans="5:6">
      <c r="E2704" s="206"/>
      <c r="F2704" s="206"/>
    </row>
    <row r="2705" spans="5:6">
      <c r="E2705" s="206"/>
      <c r="F2705" s="206"/>
    </row>
    <row r="2706" spans="5:6">
      <c r="E2706" s="206"/>
      <c r="F2706" s="206"/>
    </row>
    <row r="2707" spans="5:6">
      <c r="E2707" s="206"/>
      <c r="F2707" s="206"/>
    </row>
    <row r="2708" spans="5:6">
      <c r="E2708" s="206"/>
      <c r="F2708" s="206"/>
    </row>
    <row r="2709" spans="5:6">
      <c r="E2709" s="206"/>
      <c r="F2709" s="206"/>
    </row>
    <row r="2710" spans="5:6">
      <c r="E2710" s="206"/>
      <c r="F2710" s="206"/>
    </row>
    <row r="2711" spans="5:6">
      <c r="E2711" s="206"/>
      <c r="F2711" s="206"/>
    </row>
    <row r="2712" spans="5:6">
      <c r="E2712" s="206"/>
      <c r="F2712" s="206"/>
    </row>
    <row r="2713" spans="5:6">
      <c r="E2713" s="206"/>
      <c r="F2713" s="206"/>
    </row>
    <row r="2714" spans="5:6">
      <c r="E2714" s="206"/>
      <c r="F2714" s="206"/>
    </row>
    <row r="2715" spans="5:6">
      <c r="E2715" s="206"/>
      <c r="F2715" s="206"/>
    </row>
    <row r="2716" spans="5:6">
      <c r="E2716" s="206"/>
      <c r="F2716" s="206"/>
    </row>
    <row r="2717" spans="5:6">
      <c r="E2717" s="206"/>
      <c r="F2717" s="206"/>
    </row>
    <row r="2718" spans="5:6">
      <c r="E2718" s="206"/>
      <c r="F2718" s="206"/>
    </row>
    <row r="2719" spans="5:6">
      <c r="E2719" s="206"/>
      <c r="F2719" s="206"/>
    </row>
    <row r="2720" spans="5:6">
      <c r="E2720" s="206"/>
      <c r="F2720" s="206"/>
    </row>
    <row r="2721" spans="5:6">
      <c r="E2721" s="206"/>
      <c r="F2721" s="206"/>
    </row>
    <row r="2722" spans="5:6">
      <c r="E2722" s="206"/>
      <c r="F2722" s="206"/>
    </row>
    <row r="2723" spans="5:6">
      <c r="E2723" s="206"/>
      <c r="F2723" s="206"/>
    </row>
    <row r="2724" spans="5:6">
      <c r="E2724" s="206"/>
      <c r="F2724" s="206"/>
    </row>
    <row r="2725" spans="5:6">
      <c r="E2725" s="206"/>
      <c r="F2725" s="206"/>
    </row>
    <row r="2726" spans="5:6">
      <c r="E2726" s="206"/>
      <c r="F2726" s="206"/>
    </row>
    <row r="2727" spans="5:6">
      <c r="E2727" s="206"/>
      <c r="F2727" s="206"/>
    </row>
    <row r="2728" spans="5:6">
      <c r="E2728" s="206"/>
      <c r="F2728" s="206"/>
    </row>
    <row r="2729" spans="5:6">
      <c r="E2729" s="206">
        <f t="shared" ref="E2729:E2790" si="18">C2729/115</f>
        <v>0</v>
      </c>
      <c r="F2729" s="206"/>
    </row>
    <row r="2730" spans="5:6">
      <c r="E2730" s="206">
        <f t="shared" si="18"/>
        <v>0</v>
      </c>
      <c r="F2730" s="206"/>
    </row>
    <row r="2731" spans="5:6">
      <c r="E2731" s="206">
        <f t="shared" si="18"/>
        <v>0</v>
      </c>
      <c r="F2731" s="206"/>
    </row>
    <row r="2732" spans="5:6">
      <c r="E2732" s="206">
        <f t="shared" si="18"/>
        <v>0</v>
      </c>
      <c r="F2732" s="206"/>
    </row>
    <row r="2733" spans="5:6">
      <c r="E2733" s="206">
        <f t="shared" si="18"/>
        <v>0</v>
      </c>
      <c r="F2733" s="206"/>
    </row>
    <row r="2734" spans="5:6">
      <c r="E2734" s="206">
        <f t="shared" si="18"/>
        <v>0</v>
      </c>
      <c r="F2734" s="206"/>
    </row>
    <row r="2735" spans="5:6">
      <c r="E2735" s="206">
        <f t="shared" si="18"/>
        <v>0</v>
      </c>
      <c r="F2735" s="206"/>
    </row>
    <row r="2736" spans="5:6">
      <c r="E2736" s="206">
        <f t="shared" si="18"/>
        <v>0</v>
      </c>
      <c r="F2736" s="206"/>
    </row>
    <row r="2737" spans="5:6">
      <c r="E2737" s="206">
        <f t="shared" si="18"/>
        <v>0</v>
      </c>
      <c r="F2737" s="206"/>
    </row>
    <row r="2738" spans="5:6">
      <c r="E2738" s="206">
        <f t="shared" si="18"/>
        <v>0</v>
      </c>
      <c r="F2738" s="206"/>
    </row>
    <row r="2739" spans="5:6">
      <c r="E2739" s="206">
        <f t="shared" si="18"/>
        <v>0</v>
      </c>
      <c r="F2739" s="206"/>
    </row>
    <row r="2740" spans="5:6">
      <c r="E2740" s="206">
        <f t="shared" si="18"/>
        <v>0</v>
      </c>
      <c r="F2740" s="206"/>
    </row>
    <row r="2741" spans="5:6">
      <c r="E2741" s="206">
        <f t="shared" si="18"/>
        <v>0</v>
      </c>
      <c r="F2741" s="206"/>
    </row>
    <row r="2742" spans="5:6">
      <c r="E2742" s="206">
        <f t="shared" si="18"/>
        <v>0</v>
      </c>
      <c r="F2742" s="206"/>
    </row>
    <row r="2743" spans="5:6">
      <c r="E2743" s="206">
        <f t="shared" si="18"/>
        <v>0</v>
      </c>
      <c r="F2743" s="206"/>
    </row>
    <row r="2744" spans="5:6">
      <c r="E2744" s="206">
        <f t="shared" si="18"/>
        <v>0</v>
      </c>
      <c r="F2744" s="206"/>
    </row>
    <row r="2745" spans="5:6">
      <c r="E2745" s="206">
        <f t="shared" si="18"/>
        <v>0</v>
      </c>
      <c r="F2745" s="206"/>
    </row>
    <row r="2746" spans="5:6">
      <c r="E2746" s="206">
        <f t="shared" si="18"/>
        <v>0</v>
      </c>
      <c r="F2746" s="206"/>
    </row>
    <row r="2747" spans="5:6">
      <c r="E2747" s="206">
        <f t="shared" si="18"/>
        <v>0</v>
      </c>
      <c r="F2747" s="206"/>
    </row>
    <row r="2748" spans="5:6">
      <c r="E2748" s="206">
        <f t="shared" si="18"/>
        <v>0</v>
      </c>
      <c r="F2748" s="206"/>
    </row>
    <row r="2749" spans="5:6">
      <c r="E2749" s="206">
        <f t="shared" si="18"/>
        <v>0</v>
      </c>
      <c r="F2749" s="206"/>
    </row>
    <row r="2750" spans="5:6">
      <c r="E2750" s="206">
        <f t="shared" si="18"/>
        <v>0</v>
      </c>
      <c r="F2750" s="206"/>
    </row>
    <row r="2751" spans="5:6">
      <c r="E2751" s="206">
        <f t="shared" si="18"/>
        <v>0</v>
      </c>
      <c r="F2751" s="206"/>
    </row>
    <row r="2752" spans="5:6">
      <c r="E2752" s="206">
        <f t="shared" si="18"/>
        <v>0</v>
      </c>
      <c r="F2752" s="206"/>
    </row>
    <row r="2753" spans="5:6">
      <c r="E2753" s="206">
        <f t="shared" si="18"/>
        <v>0</v>
      </c>
      <c r="F2753" s="206"/>
    </row>
    <row r="2754" spans="5:6">
      <c r="E2754" s="206">
        <f t="shared" si="18"/>
        <v>0</v>
      </c>
      <c r="F2754" s="206"/>
    </row>
    <row r="2755" spans="5:6">
      <c r="E2755" s="206">
        <f t="shared" si="18"/>
        <v>0</v>
      </c>
      <c r="F2755" s="206"/>
    </row>
    <row r="2756" spans="5:6">
      <c r="E2756" s="206">
        <f t="shared" si="18"/>
        <v>0</v>
      </c>
      <c r="F2756" s="206"/>
    </row>
    <row r="2757" spans="5:6">
      <c r="E2757" s="206">
        <f t="shared" si="18"/>
        <v>0</v>
      </c>
      <c r="F2757" s="206"/>
    </row>
    <row r="2758" spans="5:6">
      <c r="E2758" s="206">
        <f t="shared" si="18"/>
        <v>0</v>
      </c>
      <c r="F2758" s="206"/>
    </row>
    <row r="2759" spans="5:6">
      <c r="E2759" s="206">
        <f t="shared" si="18"/>
        <v>0</v>
      </c>
      <c r="F2759" s="206"/>
    </row>
    <row r="2760" spans="5:6">
      <c r="E2760" s="206">
        <f t="shared" si="18"/>
        <v>0</v>
      </c>
      <c r="F2760" s="206"/>
    </row>
    <row r="2761" spans="5:6">
      <c r="E2761" s="206">
        <f t="shared" si="18"/>
        <v>0</v>
      </c>
      <c r="F2761" s="206"/>
    </row>
    <row r="2762" spans="5:6">
      <c r="E2762" s="206">
        <f t="shared" si="18"/>
        <v>0</v>
      </c>
      <c r="F2762" s="206"/>
    </row>
    <row r="2763" spans="5:6">
      <c r="E2763" s="206">
        <f t="shared" si="18"/>
        <v>0</v>
      </c>
      <c r="F2763" s="206"/>
    </row>
    <row r="2764" spans="5:6">
      <c r="E2764" s="206">
        <f t="shared" si="18"/>
        <v>0</v>
      </c>
      <c r="F2764" s="206"/>
    </row>
    <row r="2765" spans="5:6">
      <c r="E2765" s="206">
        <f t="shared" si="18"/>
        <v>0</v>
      </c>
      <c r="F2765" s="206"/>
    </row>
    <row r="2766" spans="5:6">
      <c r="E2766" s="206">
        <f t="shared" si="18"/>
        <v>0</v>
      </c>
      <c r="F2766" s="206"/>
    </row>
    <row r="2767" spans="5:6">
      <c r="E2767" s="206">
        <f t="shared" si="18"/>
        <v>0</v>
      </c>
      <c r="F2767" s="206"/>
    </row>
    <row r="2768" spans="5:6">
      <c r="E2768" s="206">
        <f t="shared" si="18"/>
        <v>0</v>
      </c>
      <c r="F2768" s="206"/>
    </row>
    <row r="2769" spans="5:6">
      <c r="E2769" s="206">
        <f t="shared" si="18"/>
        <v>0</v>
      </c>
      <c r="F2769" s="206"/>
    </row>
    <row r="2770" spans="5:6">
      <c r="E2770" s="206">
        <f t="shared" si="18"/>
        <v>0</v>
      </c>
      <c r="F2770" s="206"/>
    </row>
    <row r="2771" spans="5:6">
      <c r="E2771" s="206">
        <f t="shared" si="18"/>
        <v>0</v>
      </c>
      <c r="F2771" s="206"/>
    </row>
    <row r="2772" spans="5:6">
      <c r="E2772" s="206">
        <f t="shared" si="18"/>
        <v>0</v>
      </c>
      <c r="F2772" s="206"/>
    </row>
    <row r="2773" spans="5:6">
      <c r="E2773" s="206">
        <f t="shared" si="18"/>
        <v>0</v>
      </c>
      <c r="F2773" s="206"/>
    </row>
    <row r="2774" spans="5:6">
      <c r="E2774" s="206">
        <f t="shared" si="18"/>
        <v>0</v>
      </c>
      <c r="F2774" s="206"/>
    </row>
    <row r="2775" spans="5:6">
      <c r="E2775" s="206">
        <f t="shared" si="18"/>
        <v>0</v>
      </c>
      <c r="F2775" s="206"/>
    </row>
    <row r="2776" spans="5:6">
      <c r="E2776" s="206">
        <f t="shared" si="18"/>
        <v>0</v>
      </c>
      <c r="F2776" s="206"/>
    </row>
    <row r="2777" spans="5:6">
      <c r="E2777" s="206">
        <f t="shared" si="18"/>
        <v>0</v>
      </c>
      <c r="F2777" s="206"/>
    </row>
    <row r="2778" spans="5:6">
      <c r="E2778" s="206">
        <f t="shared" si="18"/>
        <v>0</v>
      </c>
      <c r="F2778" s="206"/>
    </row>
    <row r="2779" spans="5:6">
      <c r="E2779" s="206">
        <f t="shared" si="18"/>
        <v>0</v>
      </c>
      <c r="F2779" s="206"/>
    </row>
    <row r="2780" spans="5:6">
      <c r="E2780" s="206">
        <f t="shared" si="18"/>
        <v>0</v>
      </c>
      <c r="F2780" s="206"/>
    </row>
    <row r="2781" spans="5:6">
      <c r="E2781" s="206">
        <f t="shared" si="18"/>
        <v>0</v>
      </c>
      <c r="F2781" s="206"/>
    </row>
    <row r="2782" spans="5:6">
      <c r="E2782" s="206">
        <f t="shared" si="18"/>
        <v>0</v>
      </c>
      <c r="F2782" s="206"/>
    </row>
    <row r="2783" spans="5:6">
      <c r="E2783" s="206">
        <f t="shared" si="18"/>
        <v>0</v>
      </c>
      <c r="F2783" s="206"/>
    </row>
    <row r="2784" spans="5:6">
      <c r="E2784" s="206">
        <f t="shared" si="18"/>
        <v>0</v>
      </c>
      <c r="F2784" s="206"/>
    </row>
    <row r="2785" spans="5:6">
      <c r="E2785" s="206">
        <f t="shared" si="18"/>
        <v>0</v>
      </c>
      <c r="F2785" s="206"/>
    </row>
    <row r="2786" spans="5:6">
      <c r="E2786" s="206">
        <f t="shared" si="18"/>
        <v>0</v>
      </c>
      <c r="F2786" s="206"/>
    </row>
    <row r="2787" spans="5:6">
      <c r="E2787" s="206">
        <f t="shared" si="18"/>
        <v>0</v>
      </c>
      <c r="F2787" s="206"/>
    </row>
    <row r="2788" spans="5:6">
      <c r="E2788" s="206">
        <f t="shared" si="18"/>
        <v>0</v>
      </c>
      <c r="F2788" s="206"/>
    </row>
    <row r="2789" spans="5:6">
      <c r="E2789" s="206">
        <f t="shared" si="18"/>
        <v>0</v>
      </c>
      <c r="F2789" s="206"/>
    </row>
    <row r="2790" spans="5:6">
      <c r="E2790" s="206">
        <f t="shared" si="18"/>
        <v>0</v>
      </c>
      <c r="F2790" s="206"/>
    </row>
  </sheetData>
  <sheetProtection formatCells="0" formatColumns="0" formatRows="0" insertColumns="0" insertRows="0" insertHyperlinks="0" deleteColumns="0" deleteRows="0" sort="0" autoFilter="0" pivotTables="0"/>
  <mergeCells count="1">
    <mergeCell ref="I4:J4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B2:AM276"/>
  <sheetViews>
    <sheetView showGridLines="0" topLeftCell="B1" workbookViewId="0">
      <pane ySplit="2" topLeftCell="A239" activePane="bottomLeft" state="frozen"/>
      <selection pane="bottomLeft" activeCell="AA276" sqref="AA276:AE276"/>
    </sheetView>
  </sheetViews>
  <sheetFormatPr defaultColWidth="8.85546875" defaultRowHeight="12.75"/>
  <cols>
    <col min="1" max="1" width="7.140625" style="118" customWidth="1"/>
    <col min="2" max="2" width="9" style="118" bestFit="1" customWidth="1"/>
    <col min="3" max="3" width="0" style="118" hidden="1" customWidth="1"/>
    <col min="4" max="4" width="66" style="118" customWidth="1"/>
    <col min="5" max="5" width="7.7109375" style="118" hidden="1" customWidth="1"/>
    <col min="6" max="7" width="9.28515625" style="118" hidden="1" customWidth="1"/>
    <col min="8" max="8" width="10.85546875" style="118" hidden="1" customWidth="1"/>
    <col min="9" max="9" width="7" style="118" hidden="1" customWidth="1"/>
    <col min="10" max="10" width="9" style="118" bestFit="1" customWidth="1"/>
    <col min="11" max="23" width="0" style="118" hidden="1" customWidth="1"/>
    <col min="24" max="24" width="11.7109375" style="118" bestFit="1" customWidth="1"/>
    <col min="25" max="25" width="11.42578125" style="118" customWidth="1"/>
    <col min="26" max="26" width="11.7109375" style="118" bestFit="1" customWidth="1"/>
    <col min="27" max="29" width="12.7109375" style="118" bestFit="1" customWidth="1"/>
    <col min="30" max="35" width="11.7109375" style="118" bestFit="1" customWidth="1"/>
    <col min="36" max="36" width="13.28515625" style="118" customWidth="1"/>
    <col min="37" max="37" width="12.85546875" style="118" customWidth="1"/>
    <col min="38" max="39" width="11.7109375" style="118" bestFit="1" customWidth="1"/>
    <col min="40" max="16384" width="8.85546875" style="118"/>
  </cols>
  <sheetData>
    <row r="2" spans="2:39" ht="51">
      <c r="B2" s="327" t="s">
        <v>0</v>
      </c>
      <c r="C2" s="327" t="s">
        <v>471</v>
      </c>
      <c r="D2" s="327" t="s">
        <v>472</v>
      </c>
      <c r="E2" s="328" t="s">
        <v>473</v>
      </c>
      <c r="F2" s="327" t="s">
        <v>474</v>
      </c>
      <c r="G2" s="327" t="s">
        <v>1019</v>
      </c>
      <c r="H2" s="328" t="s">
        <v>475</v>
      </c>
      <c r="I2" s="328" t="s">
        <v>476</v>
      </c>
      <c r="J2" s="328" t="s">
        <v>477</v>
      </c>
      <c r="K2" s="328" t="s">
        <v>478</v>
      </c>
      <c r="L2" s="327" t="s">
        <v>479</v>
      </c>
      <c r="M2" s="327" t="s">
        <v>480</v>
      </c>
      <c r="N2" s="327" t="s">
        <v>481</v>
      </c>
      <c r="O2" s="327" t="s">
        <v>482</v>
      </c>
      <c r="P2" s="327" t="s">
        <v>483</v>
      </c>
      <c r="Q2" s="327" t="s">
        <v>484</v>
      </c>
      <c r="R2" s="327" t="s">
        <v>485</v>
      </c>
      <c r="S2" s="327" t="s">
        <v>486</v>
      </c>
      <c r="T2" s="327" t="s">
        <v>487</v>
      </c>
      <c r="U2" s="327" t="s">
        <v>488</v>
      </c>
      <c r="V2" s="327" t="s">
        <v>489</v>
      </c>
      <c r="W2" s="327" t="s">
        <v>490</v>
      </c>
      <c r="X2" s="327" t="s">
        <v>323</v>
      </c>
      <c r="Y2" s="327" t="s">
        <v>324</v>
      </c>
      <c r="Z2" s="327" t="s">
        <v>361</v>
      </c>
      <c r="AA2" s="327" t="s">
        <v>362</v>
      </c>
      <c r="AB2" s="327" t="s">
        <v>363</v>
      </c>
      <c r="AC2" s="327" t="s">
        <v>364</v>
      </c>
      <c r="AD2" s="327" t="s">
        <v>365</v>
      </c>
      <c r="AE2" s="327" t="s">
        <v>366</v>
      </c>
      <c r="AF2" s="327" t="s">
        <v>367</v>
      </c>
      <c r="AG2" s="327" t="s">
        <v>368</v>
      </c>
      <c r="AH2" s="327" t="s">
        <v>369</v>
      </c>
      <c r="AI2" s="327" t="s">
        <v>370</v>
      </c>
      <c r="AJ2" s="327" t="s">
        <v>371</v>
      </c>
      <c r="AK2" s="327" t="s">
        <v>372</v>
      </c>
      <c r="AL2" s="327" t="s">
        <v>373</v>
      </c>
      <c r="AM2" s="327" t="s">
        <v>1113</v>
      </c>
    </row>
    <row r="3" spans="2:39" s="287" customFormat="1">
      <c r="B3" s="343">
        <v>1</v>
      </c>
      <c r="C3" s="343">
        <v>589</v>
      </c>
      <c r="D3" s="345" t="s">
        <v>491</v>
      </c>
      <c r="E3" s="331" t="s">
        <v>492</v>
      </c>
      <c r="F3" s="330" t="s">
        <v>493</v>
      </c>
      <c r="G3" s="330" t="s">
        <v>370</v>
      </c>
      <c r="H3" s="332">
        <v>62628.29</v>
      </c>
      <c r="I3" s="329" t="s">
        <v>494</v>
      </c>
      <c r="J3" s="332">
        <v>6.25</v>
      </c>
      <c r="K3" s="332">
        <v>1</v>
      </c>
      <c r="L3" s="332">
        <v>326.19</v>
      </c>
      <c r="M3" s="332">
        <v>326.19</v>
      </c>
      <c r="N3" s="332">
        <v>326.19</v>
      </c>
      <c r="O3" s="332">
        <v>326.19</v>
      </c>
      <c r="P3" s="332">
        <v>326.19</v>
      </c>
      <c r="Q3" s="332">
        <v>326.19</v>
      </c>
      <c r="R3" s="332">
        <v>326.18</v>
      </c>
      <c r="S3" s="332">
        <v>326.19</v>
      </c>
      <c r="T3" s="332">
        <v>326.19</v>
      </c>
      <c r="U3" s="332">
        <v>326.19</v>
      </c>
      <c r="V3" s="332">
        <v>326.19</v>
      </c>
      <c r="W3" s="332">
        <v>326.19</v>
      </c>
      <c r="X3" s="332">
        <v>3914.27</v>
      </c>
      <c r="Y3" s="332">
        <f>X3</f>
        <v>3914.27</v>
      </c>
      <c r="Z3" s="332">
        <f t="shared" ref="Z3:AI3" si="0">Y3</f>
        <v>3914.27</v>
      </c>
      <c r="AA3" s="332">
        <f t="shared" si="0"/>
        <v>3914.27</v>
      </c>
      <c r="AB3" s="332">
        <f t="shared" si="0"/>
        <v>3914.27</v>
      </c>
      <c r="AC3" s="332">
        <f t="shared" si="0"/>
        <v>3914.27</v>
      </c>
      <c r="AD3" s="332">
        <f t="shared" si="0"/>
        <v>3914.27</v>
      </c>
      <c r="AE3" s="332">
        <f t="shared" si="0"/>
        <v>3914.27</v>
      </c>
      <c r="AF3" s="332">
        <f t="shared" si="0"/>
        <v>3914.27</v>
      </c>
      <c r="AG3" s="332">
        <f t="shared" si="0"/>
        <v>3914.27</v>
      </c>
      <c r="AH3" s="332">
        <f t="shared" si="0"/>
        <v>3914.27</v>
      </c>
      <c r="AI3" s="332">
        <f t="shared" si="0"/>
        <v>3914.27</v>
      </c>
      <c r="AJ3" s="332"/>
      <c r="AK3" s="332"/>
      <c r="AL3" s="332"/>
      <c r="AM3" s="332"/>
    </row>
    <row r="4" spans="2:39" s="287" customFormat="1">
      <c r="B4" s="343">
        <v>2</v>
      </c>
      <c r="C4" s="343">
        <v>599</v>
      </c>
      <c r="D4" s="345" t="s">
        <v>495</v>
      </c>
      <c r="E4" s="331" t="s">
        <v>496</v>
      </c>
      <c r="F4" s="330" t="s">
        <v>493</v>
      </c>
      <c r="G4" s="330" t="s">
        <v>370</v>
      </c>
      <c r="H4" s="332">
        <v>308566.27</v>
      </c>
      <c r="I4" s="329" t="s">
        <v>494</v>
      </c>
      <c r="J4" s="332">
        <v>6.25</v>
      </c>
      <c r="K4" s="332">
        <v>1</v>
      </c>
      <c r="L4" s="332">
        <v>1607.12</v>
      </c>
      <c r="M4" s="332">
        <v>1607.11</v>
      </c>
      <c r="N4" s="332">
        <v>1607.12</v>
      </c>
      <c r="O4" s="332">
        <v>1607.11</v>
      </c>
      <c r="P4" s="332">
        <v>1607.12</v>
      </c>
      <c r="Q4" s="332">
        <v>1607.12</v>
      </c>
      <c r="R4" s="332">
        <v>1607.11</v>
      </c>
      <c r="S4" s="332">
        <v>1607.12</v>
      </c>
      <c r="T4" s="332">
        <v>1607.11</v>
      </c>
      <c r="U4" s="332">
        <v>1607.12</v>
      </c>
      <c r="V4" s="332">
        <v>1607.11</v>
      </c>
      <c r="W4" s="332">
        <v>1607.12</v>
      </c>
      <c r="X4" s="332">
        <v>19285.39</v>
      </c>
      <c r="Y4" s="332">
        <f t="shared" ref="Y4:AI67" si="1">X4</f>
        <v>19285.39</v>
      </c>
      <c r="Z4" s="332">
        <f t="shared" si="1"/>
        <v>19285.39</v>
      </c>
      <c r="AA4" s="332">
        <f t="shared" si="1"/>
        <v>19285.39</v>
      </c>
      <c r="AB4" s="332">
        <f t="shared" si="1"/>
        <v>19285.39</v>
      </c>
      <c r="AC4" s="332">
        <f t="shared" si="1"/>
        <v>19285.39</v>
      </c>
      <c r="AD4" s="332">
        <f t="shared" si="1"/>
        <v>19285.39</v>
      </c>
      <c r="AE4" s="332">
        <f t="shared" si="1"/>
        <v>19285.39</v>
      </c>
      <c r="AF4" s="332">
        <f t="shared" si="1"/>
        <v>19285.39</v>
      </c>
      <c r="AG4" s="332">
        <f t="shared" si="1"/>
        <v>19285.39</v>
      </c>
      <c r="AH4" s="332">
        <f t="shared" si="1"/>
        <v>19285.39</v>
      </c>
      <c r="AI4" s="332">
        <f t="shared" si="1"/>
        <v>19285.39</v>
      </c>
      <c r="AJ4" s="332"/>
      <c r="AK4" s="332"/>
      <c r="AL4" s="332"/>
      <c r="AM4" s="332"/>
    </row>
    <row r="5" spans="2:39" s="287" customFormat="1">
      <c r="B5" s="343">
        <v>3</v>
      </c>
      <c r="C5" s="343">
        <v>783</v>
      </c>
      <c r="D5" s="345" t="s">
        <v>497</v>
      </c>
      <c r="E5" s="331" t="s">
        <v>498</v>
      </c>
      <c r="F5" s="330" t="s">
        <v>493</v>
      </c>
      <c r="G5" s="330"/>
      <c r="H5" s="332">
        <v>67048.789999999994</v>
      </c>
      <c r="I5" s="329" t="s">
        <v>494</v>
      </c>
      <c r="J5" s="332">
        <v>2.5</v>
      </c>
      <c r="K5" s="332">
        <v>1</v>
      </c>
      <c r="L5" s="332"/>
      <c r="M5" s="332">
        <v>139.69</v>
      </c>
      <c r="N5" s="332">
        <v>139.68</v>
      </c>
      <c r="O5" s="332">
        <v>139.69</v>
      </c>
      <c r="P5" s="332">
        <v>139.68</v>
      </c>
      <c r="Q5" s="332">
        <v>139.69</v>
      </c>
      <c r="R5" s="332">
        <v>139.68</v>
      </c>
      <c r="S5" s="332">
        <v>139.69</v>
      </c>
      <c r="T5" s="332">
        <v>139.68</v>
      </c>
      <c r="U5" s="332">
        <v>139.69</v>
      </c>
      <c r="V5" s="332">
        <v>139.68</v>
      </c>
      <c r="W5" s="332">
        <v>139.69</v>
      </c>
      <c r="X5" s="332">
        <v>1536.54</v>
      </c>
      <c r="Y5" s="332">
        <f t="shared" si="1"/>
        <v>1536.54</v>
      </c>
      <c r="Z5" s="332">
        <f t="shared" si="1"/>
        <v>1536.54</v>
      </c>
      <c r="AA5" s="332">
        <f t="shared" si="1"/>
        <v>1536.54</v>
      </c>
      <c r="AB5" s="332">
        <f t="shared" si="1"/>
        <v>1536.54</v>
      </c>
      <c r="AC5" s="332">
        <f t="shared" si="1"/>
        <v>1536.54</v>
      </c>
      <c r="AD5" s="332">
        <f t="shared" si="1"/>
        <v>1536.54</v>
      </c>
      <c r="AE5" s="332">
        <f t="shared" si="1"/>
        <v>1536.54</v>
      </c>
      <c r="AF5" s="332">
        <f t="shared" si="1"/>
        <v>1536.54</v>
      </c>
      <c r="AG5" s="332">
        <f t="shared" si="1"/>
        <v>1536.54</v>
      </c>
      <c r="AH5" s="332">
        <f t="shared" si="1"/>
        <v>1536.54</v>
      </c>
      <c r="AI5" s="332">
        <f t="shared" si="1"/>
        <v>1536.54</v>
      </c>
      <c r="AJ5" s="332">
        <f t="shared" ref="AJ5" si="2">AI5</f>
        <v>1536.54</v>
      </c>
      <c r="AK5" s="332">
        <f t="shared" ref="AK5" si="3">AJ5</f>
        <v>1536.54</v>
      </c>
      <c r="AL5" s="332">
        <f t="shared" ref="AL5:AM5" si="4">AK5</f>
        <v>1536.54</v>
      </c>
      <c r="AM5" s="332">
        <f t="shared" si="4"/>
        <v>1536.54</v>
      </c>
    </row>
    <row r="6" spans="2:39" s="287" customFormat="1">
      <c r="B6" s="343">
        <v>4</v>
      </c>
      <c r="C6" s="343">
        <v>590</v>
      </c>
      <c r="D6" s="345" t="s">
        <v>499</v>
      </c>
      <c r="E6" s="331" t="s">
        <v>500</v>
      </c>
      <c r="F6" s="330" t="s">
        <v>493</v>
      </c>
      <c r="G6" s="330" t="s">
        <v>370</v>
      </c>
      <c r="H6" s="332">
        <v>26342.25</v>
      </c>
      <c r="I6" s="329" t="s">
        <v>494</v>
      </c>
      <c r="J6" s="332">
        <v>6.25</v>
      </c>
      <c r="K6" s="332">
        <v>1</v>
      </c>
      <c r="L6" s="332">
        <v>137.19999999999999</v>
      </c>
      <c r="M6" s="332">
        <v>137.19999999999999</v>
      </c>
      <c r="N6" s="332">
        <v>137.19999999999999</v>
      </c>
      <c r="O6" s="332">
        <v>137.19999999999999</v>
      </c>
      <c r="P6" s="332">
        <v>137.19999999999999</v>
      </c>
      <c r="Q6" s="332">
        <v>137.19999999999999</v>
      </c>
      <c r="R6" s="332">
        <v>137.19</v>
      </c>
      <c r="S6" s="332">
        <v>137.19999999999999</v>
      </c>
      <c r="T6" s="332">
        <v>137.19999999999999</v>
      </c>
      <c r="U6" s="332">
        <v>137.19999999999999</v>
      </c>
      <c r="V6" s="332">
        <v>137.19999999999999</v>
      </c>
      <c r="W6" s="332">
        <v>137.19999999999999</v>
      </c>
      <c r="X6" s="332">
        <v>1646.39</v>
      </c>
      <c r="Y6" s="332">
        <f t="shared" si="1"/>
        <v>1646.39</v>
      </c>
      <c r="Z6" s="332">
        <f t="shared" si="1"/>
        <v>1646.39</v>
      </c>
      <c r="AA6" s="332">
        <f t="shared" si="1"/>
        <v>1646.39</v>
      </c>
      <c r="AB6" s="332">
        <f t="shared" si="1"/>
        <v>1646.39</v>
      </c>
      <c r="AC6" s="332">
        <f t="shared" si="1"/>
        <v>1646.39</v>
      </c>
      <c r="AD6" s="332">
        <f t="shared" si="1"/>
        <v>1646.39</v>
      </c>
      <c r="AE6" s="332">
        <f t="shared" si="1"/>
        <v>1646.39</v>
      </c>
      <c r="AF6" s="332">
        <f t="shared" si="1"/>
        <v>1646.39</v>
      </c>
      <c r="AG6" s="332">
        <f t="shared" si="1"/>
        <v>1646.39</v>
      </c>
      <c r="AH6" s="332">
        <f t="shared" si="1"/>
        <v>1646.39</v>
      </c>
      <c r="AI6" s="332">
        <f t="shared" si="1"/>
        <v>1646.39</v>
      </c>
      <c r="AJ6" s="332"/>
      <c r="AK6" s="332"/>
      <c r="AL6" s="332"/>
      <c r="AM6" s="332"/>
    </row>
    <row r="7" spans="2:39" s="287" customFormat="1">
      <c r="B7" s="343">
        <v>5</v>
      </c>
      <c r="C7" s="343">
        <v>592</v>
      </c>
      <c r="D7" s="345" t="s">
        <v>501</v>
      </c>
      <c r="E7" s="331" t="s">
        <v>502</v>
      </c>
      <c r="F7" s="330" t="s">
        <v>493</v>
      </c>
      <c r="G7" s="330" t="s">
        <v>370</v>
      </c>
      <c r="H7" s="332">
        <v>3592.53</v>
      </c>
      <c r="I7" s="329" t="s">
        <v>494</v>
      </c>
      <c r="J7" s="332">
        <v>6.25</v>
      </c>
      <c r="K7" s="332">
        <v>1</v>
      </c>
      <c r="L7" s="332">
        <v>18.71</v>
      </c>
      <c r="M7" s="332">
        <v>18.71</v>
      </c>
      <c r="N7" s="332">
        <v>18.71</v>
      </c>
      <c r="O7" s="332">
        <v>18.71</v>
      </c>
      <c r="P7" s="332">
        <v>18.71</v>
      </c>
      <c r="Q7" s="332">
        <v>18.72</v>
      </c>
      <c r="R7" s="332">
        <v>18.71</v>
      </c>
      <c r="S7" s="332">
        <v>18.71</v>
      </c>
      <c r="T7" s="332">
        <v>18.71</v>
      </c>
      <c r="U7" s="332">
        <v>18.71</v>
      </c>
      <c r="V7" s="332">
        <v>18.71</v>
      </c>
      <c r="W7" s="332">
        <v>18.71</v>
      </c>
      <c r="X7" s="332">
        <v>224.53</v>
      </c>
      <c r="Y7" s="332">
        <f t="shared" si="1"/>
        <v>224.53</v>
      </c>
      <c r="Z7" s="332">
        <f t="shared" si="1"/>
        <v>224.53</v>
      </c>
      <c r="AA7" s="332">
        <f t="shared" si="1"/>
        <v>224.53</v>
      </c>
      <c r="AB7" s="332">
        <f t="shared" si="1"/>
        <v>224.53</v>
      </c>
      <c r="AC7" s="332">
        <f t="shared" si="1"/>
        <v>224.53</v>
      </c>
      <c r="AD7" s="332">
        <f t="shared" si="1"/>
        <v>224.53</v>
      </c>
      <c r="AE7" s="332">
        <f t="shared" si="1"/>
        <v>224.53</v>
      </c>
      <c r="AF7" s="332">
        <f t="shared" si="1"/>
        <v>224.53</v>
      </c>
      <c r="AG7" s="332">
        <f t="shared" si="1"/>
        <v>224.53</v>
      </c>
      <c r="AH7" s="332">
        <f t="shared" si="1"/>
        <v>224.53</v>
      </c>
      <c r="AI7" s="332">
        <f t="shared" si="1"/>
        <v>224.53</v>
      </c>
      <c r="AJ7" s="332"/>
      <c r="AK7" s="332"/>
      <c r="AL7" s="332"/>
      <c r="AM7" s="332"/>
    </row>
    <row r="8" spans="2:39" s="287" customFormat="1">
      <c r="B8" s="343">
        <v>6</v>
      </c>
      <c r="C8" s="343">
        <v>593</v>
      </c>
      <c r="D8" s="345" t="s">
        <v>503</v>
      </c>
      <c r="E8" s="331" t="s">
        <v>504</v>
      </c>
      <c r="F8" s="330" t="s">
        <v>493</v>
      </c>
      <c r="G8" s="330" t="s">
        <v>370</v>
      </c>
      <c r="H8" s="332">
        <v>1779.58</v>
      </c>
      <c r="I8" s="329" t="s">
        <v>494</v>
      </c>
      <c r="J8" s="332">
        <v>6.25</v>
      </c>
      <c r="K8" s="332">
        <v>1</v>
      </c>
      <c r="L8" s="332">
        <v>9.27</v>
      </c>
      <c r="M8" s="332">
        <v>9.27</v>
      </c>
      <c r="N8" s="332">
        <v>9.27</v>
      </c>
      <c r="O8" s="332">
        <v>9.26</v>
      </c>
      <c r="P8" s="332">
        <v>9.27</v>
      </c>
      <c r="Q8" s="332">
        <v>9.27</v>
      </c>
      <c r="R8" s="332">
        <v>9.27</v>
      </c>
      <c r="S8" s="332">
        <v>9.27</v>
      </c>
      <c r="T8" s="332">
        <v>9.27</v>
      </c>
      <c r="U8" s="332">
        <v>9.26</v>
      </c>
      <c r="V8" s="332">
        <v>9.27</v>
      </c>
      <c r="W8" s="332">
        <v>9.27</v>
      </c>
      <c r="X8" s="332">
        <v>111.22</v>
      </c>
      <c r="Y8" s="332">
        <f t="shared" si="1"/>
        <v>111.22</v>
      </c>
      <c r="Z8" s="332">
        <f t="shared" si="1"/>
        <v>111.22</v>
      </c>
      <c r="AA8" s="332">
        <f t="shared" si="1"/>
        <v>111.22</v>
      </c>
      <c r="AB8" s="332">
        <f t="shared" si="1"/>
        <v>111.22</v>
      </c>
      <c r="AC8" s="332">
        <f t="shared" si="1"/>
        <v>111.22</v>
      </c>
      <c r="AD8" s="332">
        <f t="shared" si="1"/>
        <v>111.22</v>
      </c>
      <c r="AE8" s="332">
        <f t="shared" si="1"/>
        <v>111.22</v>
      </c>
      <c r="AF8" s="332">
        <f t="shared" si="1"/>
        <v>111.22</v>
      </c>
      <c r="AG8" s="332">
        <f t="shared" si="1"/>
        <v>111.22</v>
      </c>
      <c r="AH8" s="332">
        <f t="shared" si="1"/>
        <v>111.22</v>
      </c>
      <c r="AI8" s="332">
        <f t="shared" si="1"/>
        <v>111.22</v>
      </c>
      <c r="AJ8" s="332"/>
      <c r="AK8" s="332"/>
      <c r="AL8" s="332"/>
      <c r="AM8" s="332"/>
    </row>
    <row r="9" spans="2:39" s="287" customFormat="1">
      <c r="B9" s="343">
        <v>7</v>
      </c>
      <c r="C9" s="343">
        <v>630</v>
      </c>
      <c r="D9" s="345" t="s">
        <v>505</v>
      </c>
      <c r="E9" s="331" t="s">
        <v>506</v>
      </c>
      <c r="F9" s="330" t="s">
        <v>507</v>
      </c>
      <c r="G9" s="330"/>
      <c r="H9" s="332">
        <v>771441.69</v>
      </c>
      <c r="I9" s="329" t="s">
        <v>494</v>
      </c>
      <c r="J9" s="332">
        <v>4.5</v>
      </c>
      <c r="K9" s="332">
        <v>1.2</v>
      </c>
      <c r="L9" s="332">
        <v>3471.49</v>
      </c>
      <c r="M9" s="332">
        <v>3471.49</v>
      </c>
      <c r="N9" s="332">
        <v>3471.48</v>
      </c>
      <c r="O9" s="332">
        <v>3471.49</v>
      </c>
      <c r="P9" s="332">
        <v>3471.49</v>
      </c>
      <c r="Q9" s="332">
        <v>3471.49</v>
      </c>
      <c r="R9" s="332">
        <v>3471.48</v>
      </c>
      <c r="S9" s="332">
        <v>3471.49</v>
      </c>
      <c r="T9" s="332">
        <v>3471.49</v>
      </c>
      <c r="U9" s="332">
        <v>3471.49</v>
      </c>
      <c r="V9" s="332">
        <v>3471.48</v>
      </c>
      <c r="W9" s="332">
        <v>3471.49</v>
      </c>
      <c r="X9" s="332">
        <v>41657.85</v>
      </c>
      <c r="Y9" s="332">
        <f t="shared" si="1"/>
        <v>41657.85</v>
      </c>
      <c r="Z9" s="332">
        <f t="shared" si="1"/>
        <v>41657.85</v>
      </c>
      <c r="AA9" s="332">
        <f t="shared" si="1"/>
        <v>41657.85</v>
      </c>
      <c r="AB9" s="332">
        <f t="shared" si="1"/>
        <v>41657.85</v>
      </c>
      <c r="AC9" s="332">
        <f t="shared" si="1"/>
        <v>41657.85</v>
      </c>
      <c r="AD9" s="332">
        <f t="shared" si="1"/>
        <v>41657.85</v>
      </c>
      <c r="AE9" s="332">
        <f t="shared" si="1"/>
        <v>41657.85</v>
      </c>
      <c r="AF9" s="332">
        <f t="shared" si="1"/>
        <v>41657.85</v>
      </c>
      <c r="AG9" s="332">
        <f t="shared" si="1"/>
        <v>41657.85</v>
      </c>
      <c r="AH9" s="332">
        <f t="shared" si="1"/>
        <v>41657.85</v>
      </c>
      <c r="AI9" s="332">
        <f t="shared" si="1"/>
        <v>41657.85</v>
      </c>
      <c r="AJ9" s="332"/>
      <c r="AK9" s="332"/>
      <c r="AL9" s="332"/>
      <c r="AM9" s="332"/>
    </row>
    <row r="10" spans="2:39" s="287" customFormat="1">
      <c r="B10" s="343">
        <v>8</v>
      </c>
      <c r="C10" s="343">
        <v>96</v>
      </c>
      <c r="D10" s="345" t="s">
        <v>508</v>
      </c>
      <c r="E10" s="331" t="s">
        <v>509</v>
      </c>
      <c r="F10" s="330" t="s">
        <v>507</v>
      </c>
      <c r="G10" s="330" t="s">
        <v>362</v>
      </c>
      <c r="H10" s="332">
        <v>164375</v>
      </c>
      <c r="I10" s="329" t="s">
        <v>494</v>
      </c>
      <c r="J10" s="332">
        <v>4.5</v>
      </c>
      <c r="K10" s="332">
        <v>1</v>
      </c>
      <c r="L10" s="332">
        <v>616.41</v>
      </c>
      <c r="M10" s="332">
        <v>616.4</v>
      </c>
      <c r="N10" s="332">
        <v>616.41</v>
      </c>
      <c r="O10" s="332">
        <v>616.41</v>
      </c>
      <c r="P10" s="332">
        <v>616.4</v>
      </c>
      <c r="Q10" s="332">
        <v>616.41</v>
      </c>
      <c r="R10" s="332">
        <v>616.41</v>
      </c>
      <c r="S10" s="332">
        <v>616.4</v>
      </c>
      <c r="T10" s="332">
        <v>616.41</v>
      </c>
      <c r="U10" s="332">
        <v>616.41</v>
      </c>
      <c r="V10" s="332">
        <v>616.4</v>
      </c>
      <c r="W10" s="332">
        <v>616.41</v>
      </c>
      <c r="X10" s="332">
        <v>7396.88</v>
      </c>
      <c r="Y10" s="332">
        <f t="shared" si="1"/>
        <v>7396.88</v>
      </c>
      <c r="Z10" s="332">
        <f t="shared" si="1"/>
        <v>7396.88</v>
      </c>
      <c r="AA10" s="332">
        <f t="shared" si="1"/>
        <v>7396.88</v>
      </c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</row>
    <row r="11" spans="2:39" s="287" customFormat="1">
      <c r="B11" s="343">
        <v>9</v>
      </c>
      <c r="C11" s="343">
        <v>97</v>
      </c>
      <c r="D11" s="345" t="s">
        <v>510</v>
      </c>
      <c r="E11" s="331" t="s">
        <v>511</v>
      </c>
      <c r="F11" s="330" t="s">
        <v>507</v>
      </c>
      <c r="G11" s="330" t="s">
        <v>362</v>
      </c>
      <c r="H11" s="332">
        <v>60000</v>
      </c>
      <c r="I11" s="329" t="s">
        <v>494</v>
      </c>
      <c r="J11" s="332">
        <v>4.5</v>
      </c>
      <c r="K11" s="332">
        <v>1</v>
      </c>
      <c r="L11" s="332">
        <v>225</v>
      </c>
      <c r="M11" s="332">
        <v>225</v>
      </c>
      <c r="N11" s="332">
        <v>225</v>
      </c>
      <c r="O11" s="332">
        <v>225</v>
      </c>
      <c r="P11" s="332">
        <v>225</v>
      </c>
      <c r="Q11" s="332">
        <v>225</v>
      </c>
      <c r="R11" s="332">
        <v>225</v>
      </c>
      <c r="S11" s="332">
        <v>225</v>
      </c>
      <c r="T11" s="332">
        <v>225</v>
      </c>
      <c r="U11" s="332">
        <v>225</v>
      </c>
      <c r="V11" s="332">
        <v>225</v>
      </c>
      <c r="W11" s="332">
        <v>225</v>
      </c>
      <c r="X11" s="332">
        <v>2700</v>
      </c>
      <c r="Y11" s="332">
        <f t="shared" si="1"/>
        <v>2700</v>
      </c>
      <c r="Z11" s="332">
        <f t="shared" si="1"/>
        <v>2700</v>
      </c>
      <c r="AA11" s="332">
        <f t="shared" si="1"/>
        <v>2700</v>
      </c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</row>
    <row r="12" spans="2:39" s="287" customFormat="1">
      <c r="B12" s="343">
        <v>10</v>
      </c>
      <c r="C12" s="343">
        <v>100</v>
      </c>
      <c r="D12" s="345" t="s">
        <v>512</v>
      </c>
      <c r="E12" s="331" t="s">
        <v>513</v>
      </c>
      <c r="F12" s="330" t="s">
        <v>507</v>
      </c>
      <c r="G12" s="330" t="s">
        <v>362</v>
      </c>
      <c r="H12" s="332">
        <v>1222894.0900000001</v>
      </c>
      <c r="I12" s="329" t="s">
        <v>494</v>
      </c>
      <c r="J12" s="332">
        <v>4.5</v>
      </c>
      <c r="K12" s="332">
        <v>1</v>
      </c>
      <c r="L12" s="332">
        <v>4585.8500000000004</v>
      </c>
      <c r="M12" s="332">
        <v>4585.8599999999997</v>
      </c>
      <c r="N12" s="332">
        <v>4585.8500000000004</v>
      </c>
      <c r="O12" s="332">
        <v>4585.8500000000004</v>
      </c>
      <c r="P12" s="332">
        <v>4585.8500000000004</v>
      </c>
      <c r="Q12" s="332">
        <v>4585.8599999999997</v>
      </c>
      <c r="R12" s="332">
        <v>4585.8500000000004</v>
      </c>
      <c r="S12" s="332">
        <v>4585.8500000000004</v>
      </c>
      <c r="T12" s="332">
        <v>4585.8500000000004</v>
      </c>
      <c r="U12" s="332">
        <v>4585.8599999999997</v>
      </c>
      <c r="V12" s="332">
        <v>4585.8500000000004</v>
      </c>
      <c r="W12" s="332">
        <v>4585.8500000000004</v>
      </c>
      <c r="X12" s="332">
        <v>55030.23</v>
      </c>
      <c r="Y12" s="332">
        <f t="shared" si="1"/>
        <v>55030.23</v>
      </c>
      <c r="Z12" s="332">
        <f t="shared" si="1"/>
        <v>55030.23</v>
      </c>
      <c r="AA12" s="332">
        <f t="shared" si="1"/>
        <v>55030.23</v>
      </c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</row>
    <row r="13" spans="2:39" s="287" customFormat="1">
      <c r="B13" s="343">
        <v>11</v>
      </c>
      <c r="C13" s="343">
        <v>683</v>
      </c>
      <c r="D13" s="345" t="s">
        <v>514</v>
      </c>
      <c r="E13" s="331" t="s">
        <v>515</v>
      </c>
      <c r="F13" s="330" t="s">
        <v>507</v>
      </c>
      <c r="G13" s="330"/>
      <c r="H13" s="332">
        <v>69799.73</v>
      </c>
      <c r="I13" s="329" t="s">
        <v>494</v>
      </c>
      <c r="J13" s="332">
        <v>4.5</v>
      </c>
      <c r="K13" s="332">
        <v>1</v>
      </c>
      <c r="L13" s="332">
        <v>261.75</v>
      </c>
      <c r="M13" s="332">
        <v>261.75</v>
      </c>
      <c r="N13" s="332">
        <v>261.75</v>
      </c>
      <c r="O13" s="332">
        <v>261.75</v>
      </c>
      <c r="P13" s="332">
        <v>261.75</v>
      </c>
      <c r="Q13" s="332">
        <v>261.75</v>
      </c>
      <c r="R13" s="332">
        <v>261.74</v>
      </c>
      <c r="S13" s="332">
        <v>261.75</v>
      </c>
      <c r="T13" s="332">
        <v>261.75</v>
      </c>
      <c r="U13" s="332">
        <v>261.75</v>
      </c>
      <c r="V13" s="332">
        <v>261.75</v>
      </c>
      <c r="W13" s="332">
        <v>261.75</v>
      </c>
      <c r="X13" s="332">
        <v>3140.99</v>
      </c>
      <c r="Y13" s="332">
        <f t="shared" si="1"/>
        <v>3140.99</v>
      </c>
      <c r="Z13" s="332">
        <f t="shared" si="1"/>
        <v>3140.99</v>
      </c>
      <c r="AA13" s="332">
        <f t="shared" si="1"/>
        <v>3140.99</v>
      </c>
      <c r="AB13" s="332">
        <f t="shared" si="1"/>
        <v>3140.99</v>
      </c>
      <c r="AC13" s="332">
        <f t="shared" si="1"/>
        <v>3140.99</v>
      </c>
      <c r="AD13" s="332">
        <f t="shared" si="1"/>
        <v>3140.99</v>
      </c>
      <c r="AE13" s="332">
        <f t="shared" si="1"/>
        <v>3140.99</v>
      </c>
      <c r="AF13" s="332">
        <f t="shared" si="1"/>
        <v>3140.99</v>
      </c>
      <c r="AG13" s="332">
        <f t="shared" si="1"/>
        <v>3140.99</v>
      </c>
      <c r="AH13" s="332">
        <f t="shared" si="1"/>
        <v>3140.99</v>
      </c>
      <c r="AI13" s="332">
        <f t="shared" si="1"/>
        <v>3140.99</v>
      </c>
      <c r="AJ13" s="332">
        <f t="shared" ref="AJ13:AJ15" si="5">AI13</f>
        <v>3140.99</v>
      </c>
      <c r="AK13" s="332">
        <f t="shared" ref="AK13:AK15" si="6">AJ13</f>
        <v>3140.99</v>
      </c>
      <c r="AL13" s="332">
        <f t="shared" ref="AL13:AM15" si="7">AK13</f>
        <v>3140.99</v>
      </c>
      <c r="AM13" s="332">
        <f t="shared" si="7"/>
        <v>3140.99</v>
      </c>
    </row>
    <row r="14" spans="2:39" s="287" customFormat="1">
      <c r="B14" s="343">
        <v>12</v>
      </c>
      <c r="C14" s="343">
        <v>628</v>
      </c>
      <c r="D14" s="345" t="s">
        <v>516</v>
      </c>
      <c r="E14" s="331" t="s">
        <v>517</v>
      </c>
      <c r="F14" s="330" t="s">
        <v>507</v>
      </c>
      <c r="G14" s="330"/>
      <c r="H14" s="332">
        <v>48612.17</v>
      </c>
      <c r="I14" s="329" t="s">
        <v>494</v>
      </c>
      <c r="J14" s="332">
        <v>4.5</v>
      </c>
      <c r="K14" s="332">
        <v>1</v>
      </c>
      <c r="L14" s="332">
        <v>182.3</v>
      </c>
      <c r="M14" s="332">
        <v>182.29</v>
      </c>
      <c r="N14" s="332">
        <v>182.3</v>
      </c>
      <c r="O14" s="332">
        <v>182.29</v>
      </c>
      <c r="P14" s="332">
        <v>182.3</v>
      </c>
      <c r="Q14" s="332">
        <v>182.3</v>
      </c>
      <c r="R14" s="332">
        <v>182.29</v>
      </c>
      <c r="S14" s="332">
        <v>182.3</v>
      </c>
      <c r="T14" s="332">
        <v>182.29</v>
      </c>
      <c r="U14" s="332">
        <v>182.3</v>
      </c>
      <c r="V14" s="332">
        <v>182.29</v>
      </c>
      <c r="W14" s="332">
        <v>182.3</v>
      </c>
      <c r="X14" s="332">
        <v>2187.5500000000002</v>
      </c>
      <c r="Y14" s="332">
        <f t="shared" si="1"/>
        <v>2187.5500000000002</v>
      </c>
      <c r="Z14" s="332">
        <f t="shared" si="1"/>
        <v>2187.5500000000002</v>
      </c>
      <c r="AA14" s="332">
        <f t="shared" si="1"/>
        <v>2187.5500000000002</v>
      </c>
      <c r="AB14" s="332">
        <f t="shared" si="1"/>
        <v>2187.5500000000002</v>
      </c>
      <c r="AC14" s="332">
        <f t="shared" si="1"/>
        <v>2187.5500000000002</v>
      </c>
      <c r="AD14" s="332">
        <f t="shared" si="1"/>
        <v>2187.5500000000002</v>
      </c>
      <c r="AE14" s="332">
        <f t="shared" si="1"/>
        <v>2187.5500000000002</v>
      </c>
      <c r="AF14" s="332">
        <f t="shared" si="1"/>
        <v>2187.5500000000002</v>
      </c>
      <c r="AG14" s="332">
        <f t="shared" si="1"/>
        <v>2187.5500000000002</v>
      </c>
      <c r="AH14" s="332">
        <f t="shared" si="1"/>
        <v>2187.5500000000002</v>
      </c>
      <c r="AI14" s="332">
        <f t="shared" si="1"/>
        <v>2187.5500000000002</v>
      </c>
      <c r="AJ14" s="332">
        <f t="shared" si="5"/>
        <v>2187.5500000000002</v>
      </c>
      <c r="AK14" s="332">
        <f t="shared" si="6"/>
        <v>2187.5500000000002</v>
      </c>
      <c r="AL14" s="332">
        <f t="shared" si="7"/>
        <v>2187.5500000000002</v>
      </c>
      <c r="AM14" s="332">
        <f t="shared" si="7"/>
        <v>2187.5500000000002</v>
      </c>
    </row>
    <row r="15" spans="2:39" s="287" customFormat="1">
      <c r="B15" s="343">
        <v>13</v>
      </c>
      <c r="C15" s="343">
        <v>755</v>
      </c>
      <c r="D15" s="345" t="s">
        <v>518</v>
      </c>
      <c r="E15" s="331" t="s">
        <v>519</v>
      </c>
      <c r="F15" s="330" t="s">
        <v>507</v>
      </c>
      <c r="G15" s="330"/>
      <c r="H15" s="332">
        <v>2116213.0099999998</v>
      </c>
      <c r="I15" s="329" t="s">
        <v>494</v>
      </c>
      <c r="J15" s="332">
        <v>4.5</v>
      </c>
      <c r="K15" s="332">
        <v>1</v>
      </c>
      <c r="L15" s="332">
        <v>7935.8</v>
      </c>
      <c r="M15" s="332">
        <v>7935.8</v>
      </c>
      <c r="N15" s="332">
        <v>7935.8</v>
      </c>
      <c r="O15" s="332">
        <v>7935.8</v>
      </c>
      <c r="P15" s="332">
        <v>7935.8</v>
      </c>
      <c r="Q15" s="332">
        <v>7935.8</v>
      </c>
      <c r="R15" s="332">
        <v>7935.79</v>
      </c>
      <c r="S15" s="332">
        <v>7935.8</v>
      </c>
      <c r="T15" s="332">
        <v>7935.8</v>
      </c>
      <c r="U15" s="332">
        <v>7935.8</v>
      </c>
      <c r="V15" s="332">
        <v>7935.8</v>
      </c>
      <c r="W15" s="332">
        <v>7935.8</v>
      </c>
      <c r="X15" s="332">
        <v>95229.59</v>
      </c>
      <c r="Y15" s="332">
        <f t="shared" si="1"/>
        <v>95229.59</v>
      </c>
      <c r="Z15" s="332">
        <f t="shared" si="1"/>
        <v>95229.59</v>
      </c>
      <c r="AA15" s="332">
        <f t="shared" si="1"/>
        <v>95229.59</v>
      </c>
      <c r="AB15" s="332">
        <f t="shared" si="1"/>
        <v>95229.59</v>
      </c>
      <c r="AC15" s="332">
        <f t="shared" si="1"/>
        <v>95229.59</v>
      </c>
      <c r="AD15" s="332">
        <f t="shared" si="1"/>
        <v>95229.59</v>
      </c>
      <c r="AE15" s="332">
        <f t="shared" si="1"/>
        <v>95229.59</v>
      </c>
      <c r="AF15" s="332">
        <f t="shared" si="1"/>
        <v>95229.59</v>
      </c>
      <c r="AG15" s="332">
        <f t="shared" si="1"/>
        <v>95229.59</v>
      </c>
      <c r="AH15" s="332">
        <f t="shared" si="1"/>
        <v>95229.59</v>
      </c>
      <c r="AI15" s="332">
        <f t="shared" si="1"/>
        <v>95229.59</v>
      </c>
      <c r="AJ15" s="332">
        <f t="shared" si="5"/>
        <v>95229.59</v>
      </c>
      <c r="AK15" s="332">
        <f t="shared" si="6"/>
        <v>95229.59</v>
      </c>
      <c r="AL15" s="332">
        <f t="shared" si="7"/>
        <v>95229.59</v>
      </c>
      <c r="AM15" s="332">
        <f t="shared" si="7"/>
        <v>95229.59</v>
      </c>
    </row>
    <row r="16" spans="2:39" s="287" customFormat="1">
      <c r="B16" s="343">
        <v>14</v>
      </c>
      <c r="C16" s="343">
        <v>166</v>
      </c>
      <c r="D16" s="345" t="s">
        <v>520</v>
      </c>
      <c r="E16" s="331" t="s">
        <v>521</v>
      </c>
      <c r="F16" s="330" t="s">
        <v>507</v>
      </c>
      <c r="G16" s="330" t="s">
        <v>363</v>
      </c>
      <c r="H16" s="332">
        <v>11800</v>
      </c>
      <c r="I16" s="329" t="s">
        <v>494</v>
      </c>
      <c r="J16" s="332">
        <v>4.5</v>
      </c>
      <c r="K16" s="332">
        <v>1</v>
      </c>
      <c r="L16" s="332">
        <v>44.25</v>
      </c>
      <c r="M16" s="332">
        <v>44.25</v>
      </c>
      <c r="N16" s="332">
        <v>44.25</v>
      </c>
      <c r="O16" s="332">
        <v>44.25</v>
      </c>
      <c r="P16" s="332">
        <v>44.25</v>
      </c>
      <c r="Q16" s="332">
        <v>44.25</v>
      </c>
      <c r="R16" s="332">
        <v>44.25</v>
      </c>
      <c r="S16" s="332">
        <v>44.25</v>
      </c>
      <c r="T16" s="332">
        <v>44.25</v>
      </c>
      <c r="U16" s="332">
        <v>44.25</v>
      </c>
      <c r="V16" s="332">
        <v>44.25</v>
      </c>
      <c r="W16" s="332">
        <v>44.25</v>
      </c>
      <c r="X16" s="332">
        <v>531</v>
      </c>
      <c r="Y16" s="332">
        <f t="shared" si="1"/>
        <v>531</v>
      </c>
      <c r="Z16" s="332">
        <f t="shared" si="1"/>
        <v>531</v>
      </c>
      <c r="AA16" s="332">
        <f t="shared" si="1"/>
        <v>531</v>
      </c>
      <c r="AB16" s="332">
        <f t="shared" si="1"/>
        <v>531</v>
      </c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</row>
    <row r="17" spans="2:39" s="287" customFormat="1">
      <c r="B17" s="343">
        <v>15</v>
      </c>
      <c r="C17" s="343">
        <v>636</v>
      </c>
      <c r="D17" s="345" t="s">
        <v>522</v>
      </c>
      <c r="E17" s="331" t="s">
        <v>523</v>
      </c>
      <c r="F17" s="330" t="s">
        <v>507</v>
      </c>
      <c r="G17" s="330"/>
      <c r="H17" s="332">
        <v>95000</v>
      </c>
      <c r="I17" s="329" t="s">
        <v>494</v>
      </c>
      <c r="J17" s="332">
        <v>4.5</v>
      </c>
      <c r="K17" s="332">
        <v>1</v>
      </c>
      <c r="L17" s="332">
        <v>356.25</v>
      </c>
      <c r="M17" s="332">
        <v>356.25</v>
      </c>
      <c r="N17" s="332">
        <v>356.25</v>
      </c>
      <c r="O17" s="332">
        <v>356.25</v>
      </c>
      <c r="P17" s="332">
        <v>356.25</v>
      </c>
      <c r="Q17" s="332">
        <v>356.25</v>
      </c>
      <c r="R17" s="332">
        <v>356.25</v>
      </c>
      <c r="S17" s="332">
        <v>356.25</v>
      </c>
      <c r="T17" s="332">
        <v>356.25</v>
      </c>
      <c r="U17" s="332">
        <v>356.25</v>
      </c>
      <c r="V17" s="332">
        <v>356.25</v>
      </c>
      <c r="W17" s="332">
        <v>356.25</v>
      </c>
      <c r="X17" s="332">
        <v>4275</v>
      </c>
      <c r="Y17" s="332">
        <f t="shared" si="1"/>
        <v>4275</v>
      </c>
      <c r="Z17" s="332">
        <f t="shared" si="1"/>
        <v>4275</v>
      </c>
      <c r="AA17" s="332">
        <f t="shared" si="1"/>
        <v>4275</v>
      </c>
      <c r="AB17" s="332">
        <f t="shared" si="1"/>
        <v>4275</v>
      </c>
      <c r="AC17" s="332">
        <f t="shared" si="1"/>
        <v>4275</v>
      </c>
      <c r="AD17" s="332">
        <f t="shared" si="1"/>
        <v>4275</v>
      </c>
      <c r="AE17" s="332">
        <f t="shared" si="1"/>
        <v>4275</v>
      </c>
      <c r="AF17" s="332">
        <f t="shared" si="1"/>
        <v>4275</v>
      </c>
      <c r="AG17" s="332">
        <f t="shared" si="1"/>
        <v>4275</v>
      </c>
      <c r="AH17" s="332">
        <f t="shared" si="1"/>
        <v>4275</v>
      </c>
      <c r="AI17" s="332">
        <f t="shared" si="1"/>
        <v>4275</v>
      </c>
      <c r="AJ17" s="332">
        <f t="shared" ref="AJ17:AJ20" si="8">AI17</f>
        <v>4275</v>
      </c>
      <c r="AK17" s="332">
        <f t="shared" ref="AK17:AK20" si="9">AJ17</f>
        <v>4275</v>
      </c>
      <c r="AL17" s="332">
        <f t="shared" ref="AL17:AM20" si="10">AK17</f>
        <v>4275</v>
      </c>
      <c r="AM17" s="332">
        <f t="shared" si="10"/>
        <v>4275</v>
      </c>
    </row>
    <row r="18" spans="2:39" s="287" customFormat="1">
      <c r="B18" s="343">
        <v>16</v>
      </c>
      <c r="C18" s="343">
        <v>612</v>
      </c>
      <c r="D18" s="345" t="s">
        <v>524</v>
      </c>
      <c r="E18" s="331" t="s">
        <v>525</v>
      </c>
      <c r="F18" s="330" t="s">
        <v>507</v>
      </c>
      <c r="G18" s="330"/>
      <c r="H18" s="332">
        <v>13500</v>
      </c>
      <c r="I18" s="329" t="s">
        <v>494</v>
      </c>
      <c r="J18" s="332">
        <v>4.5</v>
      </c>
      <c r="K18" s="332">
        <v>1</v>
      </c>
      <c r="L18" s="332">
        <v>50.63</v>
      </c>
      <c r="M18" s="332">
        <v>50.62</v>
      </c>
      <c r="N18" s="332">
        <v>50.63</v>
      </c>
      <c r="O18" s="332">
        <v>50.62</v>
      </c>
      <c r="P18" s="332">
        <v>50.63</v>
      </c>
      <c r="Q18" s="332">
        <v>50.62</v>
      </c>
      <c r="R18" s="332">
        <v>50.63</v>
      </c>
      <c r="S18" s="332">
        <v>50.62</v>
      </c>
      <c r="T18" s="332">
        <v>50.63</v>
      </c>
      <c r="U18" s="332">
        <v>50.62</v>
      </c>
      <c r="V18" s="332">
        <v>50.63</v>
      </c>
      <c r="W18" s="332">
        <v>50.62</v>
      </c>
      <c r="X18" s="332">
        <v>607.5</v>
      </c>
      <c r="Y18" s="332">
        <f t="shared" si="1"/>
        <v>607.5</v>
      </c>
      <c r="Z18" s="332">
        <f t="shared" si="1"/>
        <v>607.5</v>
      </c>
      <c r="AA18" s="332">
        <f t="shared" si="1"/>
        <v>607.5</v>
      </c>
      <c r="AB18" s="332">
        <f t="shared" si="1"/>
        <v>607.5</v>
      </c>
      <c r="AC18" s="332">
        <f t="shared" si="1"/>
        <v>607.5</v>
      </c>
      <c r="AD18" s="332">
        <f t="shared" si="1"/>
        <v>607.5</v>
      </c>
      <c r="AE18" s="332">
        <f t="shared" si="1"/>
        <v>607.5</v>
      </c>
      <c r="AF18" s="332">
        <f t="shared" si="1"/>
        <v>607.5</v>
      </c>
      <c r="AG18" s="332">
        <f t="shared" si="1"/>
        <v>607.5</v>
      </c>
      <c r="AH18" s="332">
        <f t="shared" si="1"/>
        <v>607.5</v>
      </c>
      <c r="AI18" s="332">
        <f t="shared" si="1"/>
        <v>607.5</v>
      </c>
      <c r="AJ18" s="332">
        <f t="shared" si="8"/>
        <v>607.5</v>
      </c>
      <c r="AK18" s="332">
        <f t="shared" si="9"/>
        <v>607.5</v>
      </c>
      <c r="AL18" s="332">
        <f t="shared" si="10"/>
        <v>607.5</v>
      </c>
      <c r="AM18" s="332">
        <f t="shared" si="10"/>
        <v>607.5</v>
      </c>
    </row>
    <row r="19" spans="2:39" s="287" customFormat="1">
      <c r="B19" s="343">
        <v>17</v>
      </c>
      <c r="C19" s="343">
        <v>780</v>
      </c>
      <c r="D19" s="345" t="s">
        <v>524</v>
      </c>
      <c r="E19" s="331" t="s">
        <v>526</v>
      </c>
      <c r="F19" s="330" t="s">
        <v>507</v>
      </c>
      <c r="G19" s="330"/>
      <c r="H19" s="332">
        <v>38164.83</v>
      </c>
      <c r="I19" s="329" t="s">
        <v>494</v>
      </c>
      <c r="J19" s="332">
        <v>4.5</v>
      </c>
      <c r="K19" s="332">
        <v>1</v>
      </c>
      <c r="L19" s="332">
        <v>143.12</v>
      </c>
      <c r="M19" s="332">
        <v>143.12</v>
      </c>
      <c r="N19" s="332">
        <v>143.12</v>
      </c>
      <c r="O19" s="332">
        <v>143.11000000000001</v>
      </c>
      <c r="P19" s="332">
        <v>143.12</v>
      </c>
      <c r="Q19" s="332">
        <v>143.12</v>
      </c>
      <c r="R19" s="332">
        <v>143.12</v>
      </c>
      <c r="S19" s="332">
        <v>143.12</v>
      </c>
      <c r="T19" s="332">
        <v>143.12</v>
      </c>
      <c r="U19" s="332">
        <v>143.11000000000001</v>
      </c>
      <c r="V19" s="332">
        <v>143.12</v>
      </c>
      <c r="W19" s="332">
        <v>143.12</v>
      </c>
      <c r="X19" s="332">
        <v>1717.42</v>
      </c>
      <c r="Y19" s="332">
        <f t="shared" si="1"/>
        <v>1717.42</v>
      </c>
      <c r="Z19" s="332">
        <f t="shared" si="1"/>
        <v>1717.42</v>
      </c>
      <c r="AA19" s="332">
        <f t="shared" si="1"/>
        <v>1717.42</v>
      </c>
      <c r="AB19" s="332">
        <f t="shared" si="1"/>
        <v>1717.42</v>
      </c>
      <c r="AC19" s="332">
        <f t="shared" si="1"/>
        <v>1717.42</v>
      </c>
      <c r="AD19" s="332">
        <f t="shared" si="1"/>
        <v>1717.42</v>
      </c>
      <c r="AE19" s="332">
        <f t="shared" si="1"/>
        <v>1717.42</v>
      </c>
      <c r="AF19" s="332">
        <f t="shared" si="1"/>
        <v>1717.42</v>
      </c>
      <c r="AG19" s="332">
        <f t="shared" si="1"/>
        <v>1717.42</v>
      </c>
      <c r="AH19" s="332">
        <f t="shared" si="1"/>
        <v>1717.42</v>
      </c>
      <c r="AI19" s="332">
        <f t="shared" si="1"/>
        <v>1717.42</v>
      </c>
      <c r="AJ19" s="332">
        <f t="shared" si="8"/>
        <v>1717.42</v>
      </c>
      <c r="AK19" s="332">
        <f t="shared" si="9"/>
        <v>1717.42</v>
      </c>
      <c r="AL19" s="332">
        <f t="shared" si="10"/>
        <v>1717.42</v>
      </c>
      <c r="AM19" s="332">
        <f t="shared" si="10"/>
        <v>1717.42</v>
      </c>
    </row>
    <row r="20" spans="2:39" s="287" customFormat="1">
      <c r="B20" s="343">
        <v>18</v>
      </c>
      <c r="C20" s="343">
        <v>631</v>
      </c>
      <c r="D20" s="345" t="s">
        <v>527</v>
      </c>
      <c r="E20" s="331" t="s">
        <v>528</v>
      </c>
      <c r="F20" s="330" t="s">
        <v>507</v>
      </c>
      <c r="G20" s="330"/>
      <c r="H20" s="332">
        <v>469073.34</v>
      </c>
      <c r="I20" s="329" t="s">
        <v>494</v>
      </c>
      <c r="J20" s="332">
        <v>4.5</v>
      </c>
      <c r="K20" s="332">
        <v>1</v>
      </c>
      <c r="L20" s="332">
        <v>1759.03</v>
      </c>
      <c r="M20" s="332">
        <v>1759.02</v>
      </c>
      <c r="N20" s="332">
        <v>1759.03</v>
      </c>
      <c r="O20" s="332">
        <v>1759.02</v>
      </c>
      <c r="P20" s="332">
        <v>1759.03</v>
      </c>
      <c r="Q20" s="332">
        <v>1759.02</v>
      </c>
      <c r="R20" s="332">
        <v>1759.03</v>
      </c>
      <c r="S20" s="332">
        <v>1759.02</v>
      </c>
      <c r="T20" s="332">
        <v>1759.03</v>
      </c>
      <c r="U20" s="332">
        <v>1759.02</v>
      </c>
      <c r="V20" s="332">
        <v>1759.03</v>
      </c>
      <c r="W20" s="332">
        <v>1759.02</v>
      </c>
      <c r="X20" s="332">
        <v>21108.3</v>
      </c>
      <c r="Y20" s="332">
        <f t="shared" si="1"/>
        <v>21108.3</v>
      </c>
      <c r="Z20" s="332">
        <f t="shared" si="1"/>
        <v>21108.3</v>
      </c>
      <c r="AA20" s="332">
        <f t="shared" si="1"/>
        <v>21108.3</v>
      </c>
      <c r="AB20" s="332">
        <f t="shared" si="1"/>
        <v>21108.3</v>
      </c>
      <c r="AC20" s="332">
        <f t="shared" si="1"/>
        <v>21108.3</v>
      </c>
      <c r="AD20" s="332">
        <f t="shared" si="1"/>
        <v>21108.3</v>
      </c>
      <c r="AE20" s="332">
        <f t="shared" si="1"/>
        <v>21108.3</v>
      </c>
      <c r="AF20" s="332">
        <f t="shared" si="1"/>
        <v>21108.3</v>
      </c>
      <c r="AG20" s="332">
        <f t="shared" si="1"/>
        <v>21108.3</v>
      </c>
      <c r="AH20" s="332">
        <f t="shared" si="1"/>
        <v>21108.3</v>
      </c>
      <c r="AI20" s="332">
        <f t="shared" si="1"/>
        <v>21108.3</v>
      </c>
      <c r="AJ20" s="332">
        <f t="shared" si="8"/>
        <v>21108.3</v>
      </c>
      <c r="AK20" s="332">
        <f t="shared" si="9"/>
        <v>21108.3</v>
      </c>
      <c r="AL20" s="332">
        <f t="shared" si="10"/>
        <v>21108.3</v>
      </c>
      <c r="AM20" s="332">
        <f t="shared" si="10"/>
        <v>21108.3</v>
      </c>
    </row>
    <row r="21" spans="2:39" s="287" customFormat="1">
      <c r="B21" s="343">
        <v>19</v>
      </c>
      <c r="C21" s="343">
        <v>95</v>
      </c>
      <c r="D21" s="345" t="s">
        <v>529</v>
      </c>
      <c r="E21" s="331" t="s">
        <v>530</v>
      </c>
      <c r="F21" s="330" t="s">
        <v>507</v>
      </c>
      <c r="G21" s="330" t="s">
        <v>362</v>
      </c>
      <c r="H21" s="332">
        <v>85000</v>
      </c>
      <c r="I21" s="329" t="s">
        <v>494</v>
      </c>
      <c r="J21" s="332">
        <v>4.5</v>
      </c>
      <c r="K21" s="332">
        <v>1</v>
      </c>
      <c r="L21" s="332">
        <v>318.75</v>
      </c>
      <c r="M21" s="332">
        <v>318.75</v>
      </c>
      <c r="N21" s="332">
        <v>318.75</v>
      </c>
      <c r="O21" s="332">
        <v>318.75</v>
      </c>
      <c r="P21" s="332">
        <v>318.75</v>
      </c>
      <c r="Q21" s="332">
        <v>318.75</v>
      </c>
      <c r="R21" s="332">
        <v>318.75</v>
      </c>
      <c r="S21" s="332">
        <v>318.75</v>
      </c>
      <c r="T21" s="332">
        <v>318.75</v>
      </c>
      <c r="U21" s="332">
        <v>318.75</v>
      </c>
      <c r="V21" s="332">
        <v>318.75</v>
      </c>
      <c r="W21" s="332">
        <v>318.75</v>
      </c>
      <c r="X21" s="332">
        <v>3825</v>
      </c>
      <c r="Y21" s="332">
        <f t="shared" si="1"/>
        <v>3825</v>
      </c>
      <c r="Z21" s="332">
        <f t="shared" si="1"/>
        <v>3825</v>
      </c>
      <c r="AA21" s="332">
        <f t="shared" si="1"/>
        <v>3825</v>
      </c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</row>
    <row r="22" spans="2:39" s="287" customFormat="1">
      <c r="B22" s="343">
        <v>20</v>
      </c>
      <c r="C22" s="343">
        <v>591</v>
      </c>
      <c r="D22" s="345" t="s">
        <v>531</v>
      </c>
      <c r="E22" s="331" t="s">
        <v>532</v>
      </c>
      <c r="F22" s="330" t="s">
        <v>507</v>
      </c>
      <c r="G22" s="330" t="s">
        <v>365</v>
      </c>
      <c r="H22" s="332">
        <v>27692.14</v>
      </c>
      <c r="I22" s="329" t="s">
        <v>494</v>
      </c>
      <c r="J22" s="332">
        <v>10</v>
      </c>
      <c r="K22" s="332">
        <v>1</v>
      </c>
      <c r="L22" s="332">
        <v>230.77</v>
      </c>
      <c r="M22" s="332">
        <v>230.77</v>
      </c>
      <c r="N22" s="332">
        <v>230.76</v>
      </c>
      <c r="O22" s="332">
        <v>230.77</v>
      </c>
      <c r="P22" s="332">
        <v>230.77</v>
      </c>
      <c r="Q22" s="332">
        <v>230.77</v>
      </c>
      <c r="R22" s="332">
        <v>230.76</v>
      </c>
      <c r="S22" s="332">
        <v>230.77</v>
      </c>
      <c r="T22" s="332">
        <v>230.77</v>
      </c>
      <c r="U22" s="332">
        <v>230.77</v>
      </c>
      <c r="V22" s="332">
        <v>230.76</v>
      </c>
      <c r="W22" s="332">
        <v>230.77</v>
      </c>
      <c r="X22" s="332">
        <v>2769.21</v>
      </c>
      <c r="Y22" s="332">
        <f t="shared" si="1"/>
        <v>2769.21</v>
      </c>
      <c r="Z22" s="332">
        <f t="shared" si="1"/>
        <v>2769.21</v>
      </c>
      <c r="AA22" s="332">
        <f t="shared" si="1"/>
        <v>2769.21</v>
      </c>
      <c r="AB22" s="332">
        <f t="shared" si="1"/>
        <v>2769.21</v>
      </c>
      <c r="AC22" s="332">
        <f t="shared" si="1"/>
        <v>2769.21</v>
      </c>
      <c r="AD22" s="332">
        <f t="shared" si="1"/>
        <v>2769.21</v>
      </c>
      <c r="AE22" s="332"/>
      <c r="AF22" s="332"/>
      <c r="AG22" s="332"/>
      <c r="AH22" s="332"/>
      <c r="AI22" s="332"/>
      <c r="AJ22" s="332"/>
      <c r="AK22" s="332"/>
      <c r="AL22" s="332"/>
      <c r="AM22" s="332"/>
    </row>
    <row r="23" spans="2:39" s="287" customFormat="1">
      <c r="B23" s="343">
        <v>21</v>
      </c>
      <c r="C23" s="343">
        <v>678</v>
      </c>
      <c r="D23" s="345" t="s">
        <v>533</v>
      </c>
      <c r="E23" s="331" t="s">
        <v>534</v>
      </c>
      <c r="F23" s="330" t="s">
        <v>507</v>
      </c>
      <c r="G23" s="330"/>
      <c r="H23" s="332">
        <v>4605100</v>
      </c>
      <c r="I23" s="329" t="s">
        <v>494</v>
      </c>
      <c r="J23" s="332">
        <v>4.79</v>
      </c>
      <c r="K23" s="332">
        <v>1</v>
      </c>
      <c r="L23" s="332">
        <v>18382.02</v>
      </c>
      <c r="M23" s="332">
        <v>18382.03</v>
      </c>
      <c r="N23" s="332">
        <v>18382.02</v>
      </c>
      <c r="O23" s="332">
        <v>18382.03</v>
      </c>
      <c r="P23" s="332">
        <v>18382.02</v>
      </c>
      <c r="Q23" s="332">
        <v>18382.03</v>
      </c>
      <c r="R23" s="332">
        <v>18382.02</v>
      </c>
      <c r="S23" s="332">
        <v>18382.02</v>
      </c>
      <c r="T23" s="332">
        <v>18382.03</v>
      </c>
      <c r="U23" s="332">
        <v>18382.02</v>
      </c>
      <c r="V23" s="332">
        <v>18382.03</v>
      </c>
      <c r="W23" s="332">
        <v>18382.02</v>
      </c>
      <c r="X23" s="332">
        <v>220584.29</v>
      </c>
      <c r="Y23" s="332">
        <f t="shared" si="1"/>
        <v>220584.29</v>
      </c>
      <c r="Z23" s="332">
        <f t="shared" si="1"/>
        <v>220584.29</v>
      </c>
      <c r="AA23" s="332">
        <f t="shared" ref="Z23:AI38" si="11">Z23</f>
        <v>220584.29</v>
      </c>
      <c r="AB23" s="332">
        <f t="shared" si="11"/>
        <v>220584.29</v>
      </c>
      <c r="AC23" s="332">
        <f t="shared" si="11"/>
        <v>220584.29</v>
      </c>
      <c r="AD23" s="332">
        <f t="shared" si="11"/>
        <v>220584.29</v>
      </c>
      <c r="AE23" s="332">
        <f t="shared" si="11"/>
        <v>220584.29</v>
      </c>
      <c r="AF23" s="332">
        <f t="shared" si="11"/>
        <v>220584.29</v>
      </c>
      <c r="AG23" s="332">
        <f t="shared" si="11"/>
        <v>220584.29</v>
      </c>
      <c r="AH23" s="332">
        <f t="shared" si="11"/>
        <v>220584.29</v>
      </c>
      <c r="AI23" s="332">
        <f t="shared" si="11"/>
        <v>220584.29</v>
      </c>
      <c r="AJ23" s="332">
        <f t="shared" ref="AJ23:AJ24" si="12">AI23</f>
        <v>220584.29</v>
      </c>
      <c r="AK23" s="332">
        <f t="shared" ref="AK23:AK24" si="13">AJ23</f>
        <v>220584.29</v>
      </c>
      <c r="AL23" s="332">
        <f t="shared" ref="AL23:AM24" si="14">AK23</f>
        <v>220584.29</v>
      </c>
      <c r="AM23" s="332">
        <f t="shared" si="14"/>
        <v>220584.29</v>
      </c>
    </row>
    <row r="24" spans="2:39" s="287" customFormat="1">
      <c r="B24" s="343">
        <v>22</v>
      </c>
      <c r="C24" s="343">
        <v>711</v>
      </c>
      <c r="D24" s="345" t="s">
        <v>535</v>
      </c>
      <c r="E24" s="331" t="s">
        <v>536</v>
      </c>
      <c r="F24" s="330" t="s">
        <v>507</v>
      </c>
      <c r="G24" s="330"/>
      <c r="H24" s="332">
        <v>1717176.14</v>
      </c>
      <c r="I24" s="329" t="s">
        <v>494</v>
      </c>
      <c r="J24" s="332">
        <v>2.5</v>
      </c>
      <c r="K24" s="332">
        <v>1</v>
      </c>
      <c r="L24" s="332">
        <v>3577.45</v>
      </c>
      <c r="M24" s="332">
        <v>3577.45</v>
      </c>
      <c r="N24" s="332">
        <v>3577.45</v>
      </c>
      <c r="O24" s="332">
        <v>3577.45</v>
      </c>
      <c r="P24" s="332">
        <v>3577.45</v>
      </c>
      <c r="Q24" s="332">
        <v>3577.45</v>
      </c>
      <c r="R24" s="332">
        <v>3577.45</v>
      </c>
      <c r="S24" s="332">
        <v>3577.45</v>
      </c>
      <c r="T24" s="332">
        <v>3577.45</v>
      </c>
      <c r="U24" s="332">
        <v>3577.45</v>
      </c>
      <c r="V24" s="332">
        <v>3577.45</v>
      </c>
      <c r="W24" s="332">
        <v>3577.45</v>
      </c>
      <c r="X24" s="332">
        <v>42929.4</v>
      </c>
      <c r="Y24" s="332">
        <f t="shared" si="1"/>
        <v>42929.4</v>
      </c>
      <c r="Z24" s="332">
        <f t="shared" si="11"/>
        <v>42929.4</v>
      </c>
      <c r="AA24" s="332">
        <f t="shared" si="11"/>
        <v>42929.4</v>
      </c>
      <c r="AB24" s="332">
        <f t="shared" si="11"/>
        <v>42929.4</v>
      </c>
      <c r="AC24" s="332">
        <f t="shared" si="11"/>
        <v>42929.4</v>
      </c>
      <c r="AD24" s="332">
        <f t="shared" si="11"/>
        <v>42929.4</v>
      </c>
      <c r="AE24" s="332">
        <f t="shared" si="11"/>
        <v>42929.4</v>
      </c>
      <c r="AF24" s="332">
        <f t="shared" si="11"/>
        <v>42929.4</v>
      </c>
      <c r="AG24" s="332">
        <f t="shared" si="11"/>
        <v>42929.4</v>
      </c>
      <c r="AH24" s="332">
        <f t="shared" si="11"/>
        <v>42929.4</v>
      </c>
      <c r="AI24" s="332">
        <f t="shared" si="11"/>
        <v>42929.4</v>
      </c>
      <c r="AJ24" s="332">
        <f t="shared" si="12"/>
        <v>42929.4</v>
      </c>
      <c r="AK24" s="332">
        <f t="shared" si="13"/>
        <v>42929.4</v>
      </c>
      <c r="AL24" s="332">
        <f t="shared" si="14"/>
        <v>42929.4</v>
      </c>
      <c r="AM24" s="332">
        <f t="shared" si="14"/>
        <v>42929.4</v>
      </c>
    </row>
    <row r="25" spans="2:39" s="287" customFormat="1">
      <c r="B25" s="343">
        <v>23</v>
      </c>
      <c r="C25" s="343">
        <v>632</v>
      </c>
      <c r="D25" s="345" t="s">
        <v>537</v>
      </c>
      <c r="E25" s="331" t="s">
        <v>538</v>
      </c>
      <c r="F25" s="330" t="s">
        <v>507</v>
      </c>
      <c r="G25" s="330" t="s">
        <v>365</v>
      </c>
      <c r="H25" s="332">
        <v>29983.8</v>
      </c>
      <c r="I25" s="329" t="s">
        <v>494</v>
      </c>
      <c r="J25" s="332">
        <v>10</v>
      </c>
      <c r="K25" s="332">
        <v>1</v>
      </c>
      <c r="L25" s="332">
        <v>249.87</v>
      </c>
      <c r="M25" s="332">
        <v>249.86</v>
      </c>
      <c r="N25" s="332">
        <v>249.87</v>
      </c>
      <c r="O25" s="332">
        <v>249.86</v>
      </c>
      <c r="P25" s="332">
        <v>249.87</v>
      </c>
      <c r="Q25" s="332">
        <v>249.86</v>
      </c>
      <c r="R25" s="332">
        <v>249.87</v>
      </c>
      <c r="S25" s="332">
        <v>249.86</v>
      </c>
      <c r="T25" s="332">
        <v>249.87</v>
      </c>
      <c r="U25" s="332">
        <v>249.86</v>
      </c>
      <c r="V25" s="332">
        <v>249.87</v>
      </c>
      <c r="W25" s="332">
        <v>249.86</v>
      </c>
      <c r="X25" s="332">
        <v>2998.38</v>
      </c>
      <c r="Y25" s="332">
        <f t="shared" si="1"/>
        <v>2998.38</v>
      </c>
      <c r="Z25" s="332">
        <f t="shared" si="11"/>
        <v>2998.38</v>
      </c>
      <c r="AA25" s="332">
        <f t="shared" si="11"/>
        <v>2998.38</v>
      </c>
      <c r="AB25" s="332">
        <f t="shared" si="11"/>
        <v>2998.38</v>
      </c>
      <c r="AC25" s="332">
        <f t="shared" si="11"/>
        <v>2998.38</v>
      </c>
      <c r="AD25" s="332">
        <f t="shared" si="11"/>
        <v>2998.38</v>
      </c>
      <c r="AE25" s="332"/>
      <c r="AF25" s="332"/>
      <c r="AG25" s="332"/>
      <c r="AH25" s="332"/>
      <c r="AI25" s="332"/>
      <c r="AJ25" s="332"/>
      <c r="AK25" s="332"/>
      <c r="AL25" s="332"/>
      <c r="AM25" s="332"/>
    </row>
    <row r="26" spans="2:39" s="287" customFormat="1">
      <c r="B26" s="343">
        <v>24</v>
      </c>
      <c r="C26" s="343">
        <v>595</v>
      </c>
      <c r="D26" s="345" t="s">
        <v>539</v>
      </c>
      <c r="E26" s="331" t="s">
        <v>540</v>
      </c>
      <c r="F26" s="330" t="s">
        <v>507</v>
      </c>
      <c r="G26" s="330" t="s">
        <v>366</v>
      </c>
      <c r="H26" s="332">
        <v>1542.57</v>
      </c>
      <c r="I26" s="329" t="s">
        <v>494</v>
      </c>
      <c r="J26" s="332">
        <v>10</v>
      </c>
      <c r="K26" s="332">
        <v>1</v>
      </c>
      <c r="L26" s="332">
        <v>12.86</v>
      </c>
      <c r="M26" s="332">
        <v>12.85</v>
      </c>
      <c r="N26" s="332">
        <v>12.86</v>
      </c>
      <c r="O26" s="332">
        <v>12.85</v>
      </c>
      <c r="P26" s="332">
        <v>12.86</v>
      </c>
      <c r="Q26" s="332">
        <v>12.85</v>
      </c>
      <c r="R26" s="332">
        <v>12.86</v>
      </c>
      <c r="S26" s="332">
        <v>12.85</v>
      </c>
      <c r="T26" s="332">
        <v>12.86</v>
      </c>
      <c r="U26" s="332">
        <v>12.85</v>
      </c>
      <c r="V26" s="332">
        <v>12.86</v>
      </c>
      <c r="W26" s="332">
        <v>12.85</v>
      </c>
      <c r="X26" s="332">
        <v>154.26</v>
      </c>
      <c r="Y26" s="332">
        <f t="shared" si="1"/>
        <v>154.26</v>
      </c>
      <c r="Z26" s="332">
        <f t="shared" si="11"/>
        <v>154.26</v>
      </c>
      <c r="AA26" s="332">
        <f t="shared" si="11"/>
        <v>154.26</v>
      </c>
      <c r="AB26" s="332">
        <f t="shared" si="11"/>
        <v>154.26</v>
      </c>
      <c r="AC26" s="332">
        <f t="shared" si="11"/>
        <v>154.26</v>
      </c>
      <c r="AD26" s="332">
        <f t="shared" si="11"/>
        <v>154.26</v>
      </c>
      <c r="AE26" s="332">
        <f t="shared" si="11"/>
        <v>154.26</v>
      </c>
      <c r="AF26" s="332"/>
      <c r="AG26" s="332"/>
      <c r="AH26" s="332"/>
      <c r="AI26" s="332"/>
      <c r="AJ26" s="332"/>
      <c r="AK26" s="332"/>
      <c r="AL26" s="332"/>
      <c r="AM26" s="332"/>
    </row>
    <row r="27" spans="2:39" s="287" customFormat="1">
      <c r="B27" s="343">
        <v>25</v>
      </c>
      <c r="C27" s="343">
        <v>594</v>
      </c>
      <c r="D27" s="345" t="s">
        <v>541</v>
      </c>
      <c r="E27" s="331" t="s">
        <v>542</v>
      </c>
      <c r="F27" s="330" t="s">
        <v>507</v>
      </c>
      <c r="G27" s="330" t="s">
        <v>367</v>
      </c>
      <c r="H27" s="332">
        <v>4640.09</v>
      </c>
      <c r="I27" s="329" t="s">
        <v>494</v>
      </c>
      <c r="J27" s="332">
        <v>10</v>
      </c>
      <c r="K27" s="332">
        <v>1</v>
      </c>
      <c r="L27" s="332">
        <v>38.67</v>
      </c>
      <c r="M27" s="332">
        <v>38.67</v>
      </c>
      <c r="N27" s="332">
        <v>38.659999999999997</v>
      </c>
      <c r="O27" s="332">
        <v>38.67</v>
      </c>
      <c r="P27" s="332">
        <v>38.67</v>
      </c>
      <c r="Q27" s="332">
        <v>38.67</v>
      </c>
      <c r="R27" s="332">
        <v>38.659999999999997</v>
      </c>
      <c r="S27" s="332">
        <v>38.67</v>
      </c>
      <c r="T27" s="332">
        <v>38.67</v>
      </c>
      <c r="U27" s="332">
        <v>38.67</v>
      </c>
      <c r="V27" s="332">
        <v>38.659999999999997</v>
      </c>
      <c r="W27" s="332">
        <v>38.67</v>
      </c>
      <c r="X27" s="332">
        <v>464.01</v>
      </c>
      <c r="Y27" s="332">
        <f t="shared" si="1"/>
        <v>464.01</v>
      </c>
      <c r="Z27" s="332">
        <f t="shared" si="11"/>
        <v>464.01</v>
      </c>
      <c r="AA27" s="332">
        <f t="shared" si="11"/>
        <v>464.01</v>
      </c>
      <c r="AB27" s="332">
        <f t="shared" si="11"/>
        <v>464.01</v>
      </c>
      <c r="AC27" s="332">
        <f t="shared" si="11"/>
        <v>464.01</v>
      </c>
      <c r="AD27" s="332">
        <f t="shared" si="11"/>
        <v>464.01</v>
      </c>
      <c r="AE27" s="332">
        <f t="shared" si="11"/>
        <v>464.01</v>
      </c>
      <c r="AF27" s="332">
        <f t="shared" si="11"/>
        <v>464.01</v>
      </c>
      <c r="AG27" s="332"/>
      <c r="AH27" s="332"/>
      <c r="AI27" s="332"/>
      <c r="AJ27" s="332"/>
      <c r="AK27" s="332"/>
      <c r="AL27" s="332"/>
      <c r="AM27" s="332"/>
    </row>
    <row r="28" spans="2:39" s="287" customFormat="1">
      <c r="B28" s="343">
        <v>26</v>
      </c>
      <c r="C28" s="343">
        <v>689</v>
      </c>
      <c r="D28" s="345" t="s">
        <v>543</v>
      </c>
      <c r="E28" s="331" t="s">
        <v>544</v>
      </c>
      <c r="F28" s="330" t="s">
        <v>507</v>
      </c>
      <c r="G28" s="330"/>
      <c r="H28" s="332">
        <v>19700</v>
      </c>
      <c r="I28" s="329" t="s">
        <v>494</v>
      </c>
      <c r="J28" s="332">
        <v>4.5</v>
      </c>
      <c r="K28" s="332">
        <v>1</v>
      </c>
      <c r="L28" s="332">
        <v>73.88</v>
      </c>
      <c r="M28" s="332">
        <v>73.87</v>
      </c>
      <c r="N28" s="332">
        <v>73.88</v>
      </c>
      <c r="O28" s="332">
        <v>73.87</v>
      </c>
      <c r="P28" s="332">
        <v>73.88</v>
      </c>
      <c r="Q28" s="332">
        <v>73.87</v>
      </c>
      <c r="R28" s="332">
        <v>73.88</v>
      </c>
      <c r="S28" s="332">
        <v>73.87</v>
      </c>
      <c r="T28" s="332">
        <v>73.88</v>
      </c>
      <c r="U28" s="332">
        <v>73.87</v>
      </c>
      <c r="V28" s="332">
        <v>73.88</v>
      </c>
      <c r="W28" s="332">
        <v>73.87</v>
      </c>
      <c r="X28" s="332">
        <v>886.5</v>
      </c>
      <c r="Y28" s="332">
        <f t="shared" si="1"/>
        <v>886.5</v>
      </c>
      <c r="Z28" s="332">
        <f t="shared" si="11"/>
        <v>886.5</v>
      </c>
      <c r="AA28" s="332">
        <f t="shared" si="11"/>
        <v>886.5</v>
      </c>
      <c r="AB28" s="332">
        <f t="shared" si="11"/>
        <v>886.5</v>
      </c>
      <c r="AC28" s="332">
        <f t="shared" si="11"/>
        <v>886.5</v>
      </c>
      <c r="AD28" s="332">
        <f t="shared" si="11"/>
        <v>886.5</v>
      </c>
      <c r="AE28" s="332">
        <f t="shared" si="11"/>
        <v>886.5</v>
      </c>
      <c r="AF28" s="332">
        <f t="shared" si="11"/>
        <v>886.5</v>
      </c>
      <c r="AG28" s="332">
        <f t="shared" si="11"/>
        <v>886.5</v>
      </c>
      <c r="AH28" s="332">
        <f t="shared" si="11"/>
        <v>886.5</v>
      </c>
      <c r="AI28" s="332">
        <f t="shared" si="11"/>
        <v>886.5</v>
      </c>
      <c r="AJ28" s="332">
        <f t="shared" ref="AJ28:AJ29" si="15">AI28</f>
        <v>886.5</v>
      </c>
      <c r="AK28" s="332">
        <f t="shared" ref="AK28:AK29" si="16">AJ28</f>
        <v>886.5</v>
      </c>
      <c r="AL28" s="332">
        <f t="shared" ref="AL28:AM29" si="17">AK28</f>
        <v>886.5</v>
      </c>
      <c r="AM28" s="332">
        <f t="shared" si="17"/>
        <v>886.5</v>
      </c>
    </row>
    <row r="29" spans="2:39" s="287" customFormat="1">
      <c r="B29" s="343">
        <v>27</v>
      </c>
      <c r="C29" s="343">
        <v>640</v>
      </c>
      <c r="D29" s="345" t="s">
        <v>545</v>
      </c>
      <c r="E29" s="331" t="s">
        <v>546</v>
      </c>
      <c r="F29" s="330" t="s">
        <v>507</v>
      </c>
      <c r="G29" s="330"/>
      <c r="H29" s="332">
        <v>982823.71</v>
      </c>
      <c r="I29" s="329" t="s">
        <v>494</v>
      </c>
      <c r="J29" s="332">
        <v>4.5</v>
      </c>
      <c r="K29" s="332">
        <v>1</v>
      </c>
      <c r="L29" s="332">
        <v>3685.59</v>
      </c>
      <c r="M29" s="332">
        <v>3685.59</v>
      </c>
      <c r="N29" s="332">
        <v>3685.59</v>
      </c>
      <c r="O29" s="332">
        <v>3685.59</v>
      </c>
      <c r="P29" s="332">
        <v>3685.59</v>
      </c>
      <c r="Q29" s="332">
        <v>3685.59</v>
      </c>
      <c r="R29" s="332">
        <v>3685.58</v>
      </c>
      <c r="S29" s="332">
        <v>3685.59</v>
      </c>
      <c r="T29" s="332">
        <v>3685.59</v>
      </c>
      <c r="U29" s="332">
        <v>3685.59</v>
      </c>
      <c r="V29" s="332">
        <v>3685.59</v>
      </c>
      <c r="W29" s="332">
        <v>3685.59</v>
      </c>
      <c r="X29" s="332">
        <v>44227.07</v>
      </c>
      <c r="Y29" s="332">
        <f t="shared" si="1"/>
        <v>44227.07</v>
      </c>
      <c r="Z29" s="332">
        <f t="shared" si="11"/>
        <v>44227.07</v>
      </c>
      <c r="AA29" s="332">
        <f t="shared" si="11"/>
        <v>44227.07</v>
      </c>
      <c r="AB29" s="332">
        <f t="shared" si="11"/>
        <v>44227.07</v>
      </c>
      <c r="AC29" s="332">
        <f t="shared" si="11"/>
        <v>44227.07</v>
      </c>
      <c r="AD29" s="332">
        <f t="shared" si="11"/>
        <v>44227.07</v>
      </c>
      <c r="AE29" s="332">
        <f t="shared" si="11"/>
        <v>44227.07</v>
      </c>
      <c r="AF29" s="332">
        <f t="shared" si="11"/>
        <v>44227.07</v>
      </c>
      <c r="AG29" s="332">
        <f t="shared" si="11"/>
        <v>44227.07</v>
      </c>
      <c r="AH29" s="332">
        <f t="shared" si="11"/>
        <v>44227.07</v>
      </c>
      <c r="AI29" s="332">
        <f t="shared" si="11"/>
        <v>44227.07</v>
      </c>
      <c r="AJ29" s="332">
        <f t="shared" si="15"/>
        <v>44227.07</v>
      </c>
      <c r="AK29" s="332">
        <f t="shared" si="16"/>
        <v>44227.07</v>
      </c>
      <c r="AL29" s="332">
        <f t="shared" si="17"/>
        <v>44227.07</v>
      </c>
      <c r="AM29" s="332">
        <f t="shared" si="17"/>
        <v>44227.07</v>
      </c>
    </row>
    <row r="30" spans="2:39" s="287" customFormat="1">
      <c r="B30" s="343">
        <v>28</v>
      </c>
      <c r="C30" s="343">
        <v>465</v>
      </c>
      <c r="D30" s="345" t="s">
        <v>547</v>
      </c>
      <c r="E30" s="331" t="s">
        <v>548</v>
      </c>
      <c r="F30" s="330" t="s">
        <v>549</v>
      </c>
      <c r="G30" s="330" t="s">
        <v>365</v>
      </c>
      <c r="H30" s="332">
        <v>4005</v>
      </c>
      <c r="I30" s="329" t="s">
        <v>494</v>
      </c>
      <c r="J30" s="332">
        <v>10</v>
      </c>
      <c r="K30" s="332">
        <v>1</v>
      </c>
      <c r="L30" s="332">
        <v>33.380000000000003</v>
      </c>
      <c r="M30" s="332">
        <v>33.369999999999997</v>
      </c>
      <c r="N30" s="332">
        <v>33.380000000000003</v>
      </c>
      <c r="O30" s="332">
        <v>33.369999999999997</v>
      </c>
      <c r="P30" s="332">
        <v>33.380000000000003</v>
      </c>
      <c r="Q30" s="332">
        <v>33.369999999999997</v>
      </c>
      <c r="R30" s="332">
        <v>33.380000000000003</v>
      </c>
      <c r="S30" s="332">
        <v>33.369999999999997</v>
      </c>
      <c r="T30" s="332">
        <v>33.380000000000003</v>
      </c>
      <c r="U30" s="332">
        <v>33.369999999999997</v>
      </c>
      <c r="V30" s="332">
        <v>33.380000000000003</v>
      </c>
      <c r="W30" s="332">
        <v>33.369999999999997</v>
      </c>
      <c r="X30" s="332">
        <v>400.5</v>
      </c>
      <c r="Y30" s="332">
        <f t="shared" si="1"/>
        <v>400.5</v>
      </c>
      <c r="Z30" s="332">
        <f t="shared" si="11"/>
        <v>400.5</v>
      </c>
      <c r="AA30" s="332">
        <f t="shared" si="11"/>
        <v>400.5</v>
      </c>
      <c r="AB30" s="332">
        <f t="shared" si="11"/>
        <v>400.5</v>
      </c>
      <c r="AC30" s="332">
        <f t="shared" si="11"/>
        <v>400.5</v>
      </c>
      <c r="AD30" s="332">
        <f t="shared" si="11"/>
        <v>400.5</v>
      </c>
      <c r="AE30" s="332"/>
      <c r="AF30" s="332"/>
      <c r="AG30" s="332"/>
      <c r="AH30" s="332"/>
      <c r="AI30" s="332"/>
      <c r="AJ30" s="332"/>
      <c r="AK30" s="332"/>
      <c r="AL30" s="332"/>
      <c r="AM30" s="332"/>
    </row>
    <row r="31" spans="2:39" s="287" customFormat="1">
      <c r="B31" s="343">
        <v>29</v>
      </c>
      <c r="C31" s="343">
        <v>741</v>
      </c>
      <c r="D31" s="345" t="s">
        <v>550</v>
      </c>
      <c r="E31" s="331" t="s">
        <v>551</v>
      </c>
      <c r="F31" s="330" t="s">
        <v>549</v>
      </c>
      <c r="G31" s="330" t="s">
        <v>324</v>
      </c>
      <c r="H31" s="332">
        <v>2380</v>
      </c>
      <c r="I31" s="329" t="s">
        <v>494</v>
      </c>
      <c r="J31" s="332">
        <v>30</v>
      </c>
      <c r="K31" s="332">
        <v>1</v>
      </c>
      <c r="L31" s="332">
        <v>59.5</v>
      </c>
      <c r="M31" s="332">
        <v>59.5</v>
      </c>
      <c r="N31" s="332">
        <v>59.5</v>
      </c>
      <c r="O31" s="332">
        <v>59.5</v>
      </c>
      <c r="P31" s="332">
        <v>59.5</v>
      </c>
      <c r="Q31" s="332">
        <v>59.5</v>
      </c>
      <c r="R31" s="332">
        <v>59.5</v>
      </c>
      <c r="S31" s="332">
        <v>59.5</v>
      </c>
      <c r="T31" s="332">
        <v>59.5</v>
      </c>
      <c r="U31" s="332">
        <v>59.5</v>
      </c>
      <c r="V31" s="332">
        <v>59.5</v>
      </c>
      <c r="W31" s="332">
        <v>59.5</v>
      </c>
      <c r="X31" s="332">
        <v>714</v>
      </c>
      <c r="Y31" s="332">
        <f t="shared" si="1"/>
        <v>714</v>
      </c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</row>
    <row r="32" spans="2:39" s="287" customFormat="1">
      <c r="B32" s="343">
        <v>30</v>
      </c>
      <c r="C32" s="343">
        <v>742</v>
      </c>
      <c r="D32" s="345" t="s">
        <v>550</v>
      </c>
      <c r="E32" s="331" t="s">
        <v>552</v>
      </c>
      <c r="F32" s="330" t="s">
        <v>549</v>
      </c>
      <c r="G32" s="330" t="s">
        <v>324</v>
      </c>
      <c r="H32" s="332">
        <v>2380</v>
      </c>
      <c r="I32" s="329" t="s">
        <v>494</v>
      </c>
      <c r="J32" s="332">
        <v>30</v>
      </c>
      <c r="K32" s="332">
        <v>1</v>
      </c>
      <c r="L32" s="332">
        <v>59.5</v>
      </c>
      <c r="M32" s="332">
        <v>59.5</v>
      </c>
      <c r="N32" s="332">
        <v>59.5</v>
      </c>
      <c r="O32" s="332">
        <v>59.5</v>
      </c>
      <c r="P32" s="332">
        <v>59.5</v>
      </c>
      <c r="Q32" s="332">
        <v>59.5</v>
      </c>
      <c r="R32" s="332">
        <v>59.5</v>
      </c>
      <c r="S32" s="332">
        <v>59.5</v>
      </c>
      <c r="T32" s="332">
        <v>59.5</v>
      </c>
      <c r="U32" s="332">
        <v>59.5</v>
      </c>
      <c r="V32" s="332">
        <v>59.5</v>
      </c>
      <c r="W32" s="332">
        <v>59.5</v>
      </c>
      <c r="X32" s="332">
        <v>714</v>
      </c>
      <c r="Y32" s="332">
        <f t="shared" si="1"/>
        <v>714</v>
      </c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</row>
    <row r="33" spans="2:39" s="287" customFormat="1">
      <c r="B33" s="343">
        <v>31</v>
      </c>
      <c r="C33" s="343">
        <v>728</v>
      </c>
      <c r="D33" s="345" t="s">
        <v>553</v>
      </c>
      <c r="E33" s="331" t="s">
        <v>554</v>
      </c>
      <c r="F33" s="330" t="s">
        <v>549</v>
      </c>
      <c r="G33" s="330" t="s">
        <v>361</v>
      </c>
      <c r="H33" s="332">
        <v>2380</v>
      </c>
      <c r="I33" s="329" t="s">
        <v>494</v>
      </c>
      <c r="J33" s="332">
        <v>30</v>
      </c>
      <c r="K33" s="332">
        <v>1</v>
      </c>
      <c r="L33" s="332">
        <v>59.5</v>
      </c>
      <c r="M33" s="332">
        <v>59.5</v>
      </c>
      <c r="N33" s="332">
        <v>59.5</v>
      </c>
      <c r="O33" s="332">
        <v>59.5</v>
      </c>
      <c r="P33" s="332">
        <v>59.5</v>
      </c>
      <c r="Q33" s="332">
        <v>59.5</v>
      </c>
      <c r="R33" s="332">
        <v>59.5</v>
      </c>
      <c r="S33" s="332">
        <v>59.5</v>
      </c>
      <c r="T33" s="332">
        <v>59.5</v>
      </c>
      <c r="U33" s="332">
        <v>59.5</v>
      </c>
      <c r="V33" s="332">
        <v>59.5</v>
      </c>
      <c r="W33" s="332">
        <v>59.5</v>
      </c>
      <c r="X33" s="332">
        <v>714</v>
      </c>
      <c r="Y33" s="332">
        <f t="shared" si="1"/>
        <v>714</v>
      </c>
      <c r="Z33" s="332">
        <f t="shared" si="11"/>
        <v>714</v>
      </c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</row>
    <row r="34" spans="2:39" s="287" customFormat="1">
      <c r="B34" s="343">
        <v>32</v>
      </c>
      <c r="C34" s="343">
        <v>729</v>
      </c>
      <c r="D34" s="345" t="s">
        <v>555</v>
      </c>
      <c r="E34" s="331" t="s">
        <v>556</v>
      </c>
      <c r="F34" s="330" t="s">
        <v>549</v>
      </c>
      <c r="G34" s="330" t="s">
        <v>364</v>
      </c>
      <c r="H34" s="332">
        <v>21000</v>
      </c>
      <c r="I34" s="329" t="s">
        <v>494</v>
      </c>
      <c r="J34" s="332">
        <v>14</v>
      </c>
      <c r="K34" s="332">
        <v>1</v>
      </c>
      <c r="L34" s="332">
        <v>245</v>
      </c>
      <c r="M34" s="332">
        <v>245</v>
      </c>
      <c r="N34" s="332">
        <v>245</v>
      </c>
      <c r="O34" s="332">
        <v>245</v>
      </c>
      <c r="P34" s="332">
        <v>245</v>
      </c>
      <c r="Q34" s="332">
        <v>245</v>
      </c>
      <c r="R34" s="332">
        <v>245</v>
      </c>
      <c r="S34" s="332">
        <v>245</v>
      </c>
      <c r="T34" s="332">
        <v>245</v>
      </c>
      <c r="U34" s="332">
        <v>245</v>
      </c>
      <c r="V34" s="332">
        <v>245</v>
      </c>
      <c r="W34" s="332">
        <v>245</v>
      </c>
      <c r="X34" s="332">
        <v>2940</v>
      </c>
      <c r="Y34" s="332">
        <f t="shared" si="1"/>
        <v>2940</v>
      </c>
      <c r="Z34" s="332">
        <f t="shared" si="11"/>
        <v>2940</v>
      </c>
      <c r="AA34" s="332">
        <f t="shared" si="11"/>
        <v>2940</v>
      </c>
      <c r="AB34" s="332">
        <f t="shared" si="11"/>
        <v>2940</v>
      </c>
      <c r="AC34" s="332">
        <f t="shared" si="11"/>
        <v>2940</v>
      </c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</row>
    <row r="35" spans="2:39" s="287" customFormat="1">
      <c r="B35" s="343">
        <v>33</v>
      </c>
      <c r="C35" s="343">
        <v>677</v>
      </c>
      <c r="D35" s="345" t="s">
        <v>557</v>
      </c>
      <c r="E35" s="331" t="s">
        <v>558</v>
      </c>
      <c r="F35" s="330" t="s">
        <v>549</v>
      </c>
      <c r="G35" s="330" t="s">
        <v>366</v>
      </c>
      <c r="H35" s="332">
        <v>899900</v>
      </c>
      <c r="I35" s="329" t="s">
        <v>494</v>
      </c>
      <c r="J35" s="332">
        <v>10</v>
      </c>
      <c r="K35" s="332">
        <v>1</v>
      </c>
      <c r="L35" s="332">
        <v>7499.17</v>
      </c>
      <c r="M35" s="332">
        <v>7499.16</v>
      </c>
      <c r="N35" s="332">
        <v>7499.17</v>
      </c>
      <c r="O35" s="332">
        <v>7499.17</v>
      </c>
      <c r="P35" s="332">
        <v>7499.16</v>
      </c>
      <c r="Q35" s="332">
        <v>7499.17</v>
      </c>
      <c r="R35" s="332">
        <v>7499.17</v>
      </c>
      <c r="S35" s="332">
        <v>7499.16</v>
      </c>
      <c r="T35" s="332">
        <v>7499.17</v>
      </c>
      <c r="U35" s="332">
        <v>7499.17</v>
      </c>
      <c r="V35" s="332">
        <v>7499.16</v>
      </c>
      <c r="W35" s="332">
        <v>7499.17</v>
      </c>
      <c r="X35" s="332">
        <v>89990</v>
      </c>
      <c r="Y35" s="332">
        <f t="shared" si="1"/>
        <v>89990</v>
      </c>
      <c r="Z35" s="332">
        <f t="shared" si="11"/>
        <v>89990</v>
      </c>
      <c r="AA35" s="332">
        <f t="shared" si="11"/>
        <v>89990</v>
      </c>
      <c r="AB35" s="332">
        <f t="shared" si="11"/>
        <v>89990</v>
      </c>
      <c r="AC35" s="332">
        <f t="shared" si="11"/>
        <v>89990</v>
      </c>
      <c r="AD35" s="332">
        <f t="shared" si="11"/>
        <v>89990</v>
      </c>
      <c r="AE35" s="332">
        <f t="shared" si="11"/>
        <v>89990</v>
      </c>
      <c r="AF35" s="332"/>
      <c r="AG35" s="332"/>
      <c r="AH35" s="332"/>
      <c r="AI35" s="332"/>
      <c r="AJ35" s="332"/>
      <c r="AK35" s="332"/>
      <c r="AL35" s="332"/>
      <c r="AM35" s="332"/>
    </row>
    <row r="36" spans="2:39" s="287" customFormat="1">
      <c r="B36" s="343">
        <v>34</v>
      </c>
      <c r="C36" s="343">
        <v>637</v>
      </c>
      <c r="D36" s="345" t="s">
        <v>559</v>
      </c>
      <c r="E36" s="331" t="s">
        <v>560</v>
      </c>
      <c r="F36" s="330" t="s">
        <v>549</v>
      </c>
      <c r="G36" s="330" t="s">
        <v>323</v>
      </c>
      <c r="H36" s="332">
        <v>3066</v>
      </c>
      <c r="I36" s="329" t="s">
        <v>494</v>
      </c>
      <c r="J36" s="332">
        <v>30</v>
      </c>
      <c r="K36" s="332">
        <v>1</v>
      </c>
      <c r="L36" s="332">
        <v>76.650000000000006</v>
      </c>
      <c r="M36" s="332">
        <v>76.650000000000006</v>
      </c>
      <c r="N36" s="332">
        <v>76.650000000000006</v>
      </c>
      <c r="O36" s="332">
        <v>76.650000000000006</v>
      </c>
      <c r="P36" s="332">
        <v>76.650000000000006</v>
      </c>
      <c r="Q36" s="332">
        <v>76.650000000000006</v>
      </c>
      <c r="R36" s="332">
        <v>76.650000000000006</v>
      </c>
      <c r="S36" s="332">
        <v>76.650000000000006</v>
      </c>
      <c r="T36" s="332"/>
      <c r="U36" s="332"/>
      <c r="V36" s="332"/>
      <c r="W36" s="332"/>
      <c r="X36" s="332">
        <v>613.20000000000005</v>
      </c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</row>
    <row r="37" spans="2:39" s="287" customFormat="1">
      <c r="B37" s="343">
        <v>35</v>
      </c>
      <c r="C37" s="343">
        <v>726</v>
      </c>
      <c r="D37" s="345" t="s">
        <v>561</v>
      </c>
      <c r="E37" s="331" t="s">
        <v>562</v>
      </c>
      <c r="F37" s="330" t="s">
        <v>549</v>
      </c>
      <c r="G37" s="330" t="s">
        <v>324</v>
      </c>
      <c r="H37" s="332">
        <v>3190</v>
      </c>
      <c r="I37" s="329" t="s">
        <v>494</v>
      </c>
      <c r="J37" s="332">
        <v>30</v>
      </c>
      <c r="K37" s="332">
        <v>1</v>
      </c>
      <c r="L37" s="332">
        <v>79.75</v>
      </c>
      <c r="M37" s="332">
        <v>79.75</v>
      </c>
      <c r="N37" s="332">
        <v>79.75</v>
      </c>
      <c r="O37" s="332">
        <v>79.75</v>
      </c>
      <c r="P37" s="332">
        <v>79.75</v>
      </c>
      <c r="Q37" s="332">
        <v>79.75</v>
      </c>
      <c r="R37" s="332">
        <v>79.75</v>
      </c>
      <c r="S37" s="332">
        <v>79.75</v>
      </c>
      <c r="T37" s="332">
        <v>79.75</v>
      </c>
      <c r="U37" s="332">
        <v>79.75</v>
      </c>
      <c r="V37" s="332">
        <v>79.75</v>
      </c>
      <c r="W37" s="332">
        <v>79.75</v>
      </c>
      <c r="X37" s="332">
        <v>957</v>
      </c>
      <c r="Y37" s="332">
        <f t="shared" si="1"/>
        <v>957</v>
      </c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</row>
    <row r="38" spans="2:39" s="287" customFormat="1">
      <c r="B38" s="343">
        <v>36</v>
      </c>
      <c r="C38" s="343">
        <v>709</v>
      </c>
      <c r="D38" s="345" t="s">
        <v>563</v>
      </c>
      <c r="E38" s="331" t="s">
        <v>564</v>
      </c>
      <c r="F38" s="330" t="s">
        <v>549</v>
      </c>
      <c r="G38" s="330" t="s">
        <v>361</v>
      </c>
      <c r="H38" s="332">
        <v>3190</v>
      </c>
      <c r="I38" s="329" t="s">
        <v>494</v>
      </c>
      <c r="J38" s="332">
        <v>30</v>
      </c>
      <c r="K38" s="332">
        <v>1</v>
      </c>
      <c r="L38" s="332">
        <v>79.75</v>
      </c>
      <c r="M38" s="332">
        <v>79.75</v>
      </c>
      <c r="N38" s="332">
        <v>79.75</v>
      </c>
      <c r="O38" s="332">
        <v>79.75</v>
      </c>
      <c r="P38" s="332">
        <v>79.75</v>
      </c>
      <c r="Q38" s="332">
        <v>79.75</v>
      </c>
      <c r="R38" s="332">
        <v>79.75</v>
      </c>
      <c r="S38" s="332">
        <v>79.75</v>
      </c>
      <c r="T38" s="332">
        <v>79.75</v>
      </c>
      <c r="U38" s="332">
        <v>79.75</v>
      </c>
      <c r="V38" s="332">
        <v>79.75</v>
      </c>
      <c r="W38" s="332">
        <v>79.75</v>
      </c>
      <c r="X38" s="332">
        <v>957</v>
      </c>
      <c r="Y38" s="332">
        <f t="shared" si="1"/>
        <v>957</v>
      </c>
      <c r="Z38" s="332">
        <f t="shared" si="11"/>
        <v>957</v>
      </c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</row>
    <row r="39" spans="2:39" s="287" customFormat="1">
      <c r="B39" s="343">
        <v>37</v>
      </c>
      <c r="C39" s="343">
        <v>713</v>
      </c>
      <c r="D39" s="345" t="s">
        <v>565</v>
      </c>
      <c r="E39" s="331" t="s">
        <v>566</v>
      </c>
      <c r="F39" s="330" t="s">
        <v>549</v>
      </c>
      <c r="G39" s="330" t="s">
        <v>362</v>
      </c>
      <c r="H39" s="332">
        <v>3190</v>
      </c>
      <c r="I39" s="329" t="s">
        <v>494</v>
      </c>
      <c r="J39" s="332">
        <v>30</v>
      </c>
      <c r="K39" s="332">
        <v>1</v>
      </c>
      <c r="L39" s="332">
        <v>79.75</v>
      </c>
      <c r="M39" s="332">
        <v>79.75</v>
      </c>
      <c r="N39" s="332">
        <v>79.75</v>
      </c>
      <c r="O39" s="332">
        <v>79.75</v>
      </c>
      <c r="P39" s="332">
        <v>79.75</v>
      </c>
      <c r="Q39" s="332">
        <v>79.75</v>
      </c>
      <c r="R39" s="332">
        <v>79.75</v>
      </c>
      <c r="S39" s="332">
        <v>79.75</v>
      </c>
      <c r="T39" s="332">
        <v>79.75</v>
      </c>
      <c r="U39" s="332">
        <v>79.75</v>
      </c>
      <c r="V39" s="332">
        <v>79.75</v>
      </c>
      <c r="W39" s="332">
        <v>79.75</v>
      </c>
      <c r="X39" s="332">
        <v>957</v>
      </c>
      <c r="Y39" s="332">
        <f t="shared" si="1"/>
        <v>957</v>
      </c>
      <c r="Z39" s="332">
        <f t="shared" ref="Z39:AG54" si="18">Y39</f>
        <v>957</v>
      </c>
      <c r="AA39" s="332">
        <f t="shared" si="18"/>
        <v>957</v>
      </c>
      <c r="AB39" s="332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</row>
    <row r="40" spans="2:39" s="287" customFormat="1">
      <c r="B40" s="343">
        <v>38</v>
      </c>
      <c r="C40" s="343">
        <v>714</v>
      </c>
      <c r="D40" s="345" t="s">
        <v>567</v>
      </c>
      <c r="E40" s="331" t="s">
        <v>568</v>
      </c>
      <c r="F40" s="330" t="s">
        <v>549</v>
      </c>
      <c r="G40" s="330" t="s">
        <v>363</v>
      </c>
      <c r="H40" s="332">
        <v>3190</v>
      </c>
      <c r="I40" s="329" t="s">
        <v>494</v>
      </c>
      <c r="J40" s="332">
        <v>30</v>
      </c>
      <c r="K40" s="332">
        <v>1</v>
      </c>
      <c r="L40" s="332">
        <v>79.75</v>
      </c>
      <c r="M40" s="332">
        <v>79.75</v>
      </c>
      <c r="N40" s="332">
        <v>79.75</v>
      </c>
      <c r="O40" s="332">
        <v>79.75</v>
      </c>
      <c r="P40" s="332">
        <v>79.75</v>
      </c>
      <c r="Q40" s="332">
        <v>79.75</v>
      </c>
      <c r="R40" s="332">
        <v>79.75</v>
      </c>
      <c r="S40" s="332">
        <v>79.75</v>
      </c>
      <c r="T40" s="332">
        <v>79.75</v>
      </c>
      <c r="U40" s="332">
        <v>79.75</v>
      </c>
      <c r="V40" s="332">
        <v>79.75</v>
      </c>
      <c r="W40" s="332">
        <v>79.75</v>
      </c>
      <c r="X40" s="332">
        <v>957</v>
      </c>
      <c r="Y40" s="332">
        <f t="shared" si="1"/>
        <v>957</v>
      </c>
      <c r="Z40" s="332">
        <f t="shared" si="18"/>
        <v>957</v>
      </c>
      <c r="AA40" s="332">
        <f t="shared" si="18"/>
        <v>957</v>
      </c>
      <c r="AB40" s="332">
        <f t="shared" si="18"/>
        <v>957</v>
      </c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</row>
    <row r="41" spans="2:39" s="287" customFormat="1">
      <c r="B41" s="343">
        <v>39</v>
      </c>
      <c r="C41" s="343">
        <v>773</v>
      </c>
      <c r="D41" s="345" t="s">
        <v>569</v>
      </c>
      <c r="E41" s="331" t="s">
        <v>570</v>
      </c>
      <c r="F41" s="330" t="s">
        <v>549</v>
      </c>
      <c r="G41" s="330" t="s">
        <v>365</v>
      </c>
      <c r="H41" s="330" t="s">
        <v>366</v>
      </c>
      <c r="I41" s="330" t="s">
        <v>367</v>
      </c>
      <c r="J41" s="332">
        <v>14</v>
      </c>
      <c r="K41" s="332">
        <v>1</v>
      </c>
      <c r="L41" s="332">
        <v>252</v>
      </c>
      <c r="M41" s="332">
        <v>252</v>
      </c>
      <c r="N41" s="332">
        <v>252</v>
      </c>
      <c r="O41" s="332">
        <v>252</v>
      </c>
      <c r="P41" s="332">
        <v>252</v>
      </c>
      <c r="Q41" s="332">
        <v>252</v>
      </c>
      <c r="R41" s="332">
        <v>252</v>
      </c>
      <c r="S41" s="332">
        <v>252</v>
      </c>
      <c r="T41" s="332">
        <v>252</v>
      </c>
      <c r="U41" s="332">
        <v>252</v>
      </c>
      <c r="V41" s="332">
        <v>252</v>
      </c>
      <c r="W41" s="332">
        <v>252</v>
      </c>
      <c r="X41" s="332">
        <v>3024</v>
      </c>
      <c r="Y41" s="332">
        <f t="shared" si="1"/>
        <v>3024</v>
      </c>
      <c r="Z41" s="332">
        <f t="shared" si="18"/>
        <v>3024</v>
      </c>
      <c r="AA41" s="332">
        <f t="shared" si="18"/>
        <v>3024</v>
      </c>
      <c r="AB41" s="332">
        <f t="shared" si="18"/>
        <v>3024</v>
      </c>
      <c r="AC41" s="332">
        <f t="shared" si="18"/>
        <v>3024</v>
      </c>
      <c r="AD41" s="332">
        <f t="shared" si="18"/>
        <v>3024</v>
      </c>
      <c r="AE41" s="332"/>
      <c r="AF41" s="332"/>
      <c r="AG41" s="332"/>
      <c r="AH41" s="332"/>
      <c r="AI41" s="332"/>
      <c r="AJ41" s="332"/>
      <c r="AK41" s="332"/>
      <c r="AL41" s="332"/>
      <c r="AM41" s="332"/>
    </row>
    <row r="42" spans="2:39" s="287" customFormat="1">
      <c r="B42" s="343">
        <v>40</v>
      </c>
      <c r="C42" s="343">
        <v>776</v>
      </c>
      <c r="D42" s="345" t="s">
        <v>571</v>
      </c>
      <c r="E42" s="331" t="s">
        <v>572</v>
      </c>
      <c r="F42" s="330" t="s">
        <v>549</v>
      </c>
      <c r="G42" s="330" t="s">
        <v>365</v>
      </c>
      <c r="H42" s="332">
        <v>115109.04</v>
      </c>
      <c r="I42" s="329" t="s">
        <v>494</v>
      </c>
      <c r="J42" s="332">
        <v>14</v>
      </c>
      <c r="K42" s="332">
        <v>1</v>
      </c>
      <c r="L42" s="332">
        <v>1342.94</v>
      </c>
      <c r="M42" s="332">
        <v>1342.94</v>
      </c>
      <c r="N42" s="332">
        <v>1342.94</v>
      </c>
      <c r="O42" s="332">
        <v>1342.94</v>
      </c>
      <c r="P42" s="332">
        <v>1342.94</v>
      </c>
      <c r="Q42" s="332">
        <v>1342.94</v>
      </c>
      <c r="R42" s="332">
        <v>1342.93</v>
      </c>
      <c r="S42" s="332">
        <v>1342.94</v>
      </c>
      <c r="T42" s="332">
        <v>1342.94</v>
      </c>
      <c r="U42" s="332">
        <v>1342.94</v>
      </c>
      <c r="V42" s="332">
        <v>1342.94</v>
      </c>
      <c r="W42" s="332">
        <v>1342.94</v>
      </c>
      <c r="X42" s="332">
        <v>16115.27</v>
      </c>
      <c r="Y42" s="332">
        <f t="shared" si="1"/>
        <v>16115.27</v>
      </c>
      <c r="Z42" s="332">
        <f t="shared" si="18"/>
        <v>16115.27</v>
      </c>
      <c r="AA42" s="332">
        <f t="shared" si="18"/>
        <v>16115.27</v>
      </c>
      <c r="AB42" s="332">
        <f t="shared" si="18"/>
        <v>16115.27</v>
      </c>
      <c r="AC42" s="332">
        <f t="shared" si="18"/>
        <v>16115.27</v>
      </c>
      <c r="AD42" s="332">
        <f t="shared" si="18"/>
        <v>16115.27</v>
      </c>
      <c r="AE42" s="332"/>
      <c r="AF42" s="332"/>
      <c r="AG42" s="332"/>
      <c r="AH42" s="332"/>
      <c r="AI42" s="332"/>
      <c r="AJ42" s="332"/>
      <c r="AK42" s="332"/>
      <c r="AL42" s="332"/>
      <c r="AM42" s="332"/>
    </row>
    <row r="43" spans="2:39" s="287" customFormat="1">
      <c r="B43" s="343">
        <v>41</v>
      </c>
      <c r="C43" s="343">
        <v>613</v>
      </c>
      <c r="D43" s="345" t="s">
        <v>573</v>
      </c>
      <c r="E43" s="331" t="s">
        <v>574</v>
      </c>
      <c r="F43" s="330" t="s">
        <v>549</v>
      </c>
      <c r="G43" s="330" t="s">
        <v>362</v>
      </c>
      <c r="H43" s="332">
        <v>5800</v>
      </c>
      <c r="I43" s="329" t="s">
        <v>494</v>
      </c>
      <c r="J43" s="332">
        <v>14</v>
      </c>
      <c r="K43" s="332">
        <v>1</v>
      </c>
      <c r="L43" s="332">
        <v>67.67</v>
      </c>
      <c r="M43" s="332">
        <v>67.66</v>
      </c>
      <c r="N43" s="332">
        <v>67.67</v>
      </c>
      <c r="O43" s="332">
        <v>67.67</v>
      </c>
      <c r="P43" s="332">
        <v>67.66</v>
      </c>
      <c r="Q43" s="332">
        <v>67.67</v>
      </c>
      <c r="R43" s="332">
        <v>67.67</v>
      </c>
      <c r="S43" s="332">
        <v>67.66</v>
      </c>
      <c r="T43" s="332">
        <v>67.67</v>
      </c>
      <c r="U43" s="332">
        <v>67.67</v>
      </c>
      <c r="V43" s="332">
        <v>67.66</v>
      </c>
      <c r="W43" s="332">
        <v>67.67</v>
      </c>
      <c r="X43" s="332">
        <v>812</v>
      </c>
      <c r="Y43" s="332">
        <f t="shared" si="1"/>
        <v>812</v>
      </c>
      <c r="Z43" s="332">
        <f t="shared" si="18"/>
        <v>812</v>
      </c>
      <c r="AA43" s="332">
        <f t="shared" si="18"/>
        <v>812</v>
      </c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</row>
    <row r="44" spans="2:39" s="287" customFormat="1">
      <c r="B44" s="343">
        <v>42</v>
      </c>
      <c r="C44" s="343">
        <v>663</v>
      </c>
      <c r="D44" s="345" t="s">
        <v>575</v>
      </c>
      <c r="E44" s="331" t="s">
        <v>576</v>
      </c>
      <c r="F44" s="330" t="s">
        <v>549</v>
      </c>
      <c r="G44" s="330" t="s">
        <v>363</v>
      </c>
      <c r="H44" s="332">
        <v>6100</v>
      </c>
      <c r="I44" s="329" t="s">
        <v>494</v>
      </c>
      <c r="J44" s="332">
        <v>14</v>
      </c>
      <c r="K44" s="332">
        <v>1</v>
      </c>
      <c r="L44" s="332">
        <v>71.17</v>
      </c>
      <c r="M44" s="332">
        <v>71.16</v>
      </c>
      <c r="N44" s="332">
        <v>71.17</v>
      </c>
      <c r="O44" s="332">
        <v>71.17</v>
      </c>
      <c r="P44" s="332">
        <v>71.16</v>
      </c>
      <c r="Q44" s="332">
        <v>71.17</v>
      </c>
      <c r="R44" s="332">
        <v>71.17</v>
      </c>
      <c r="S44" s="332">
        <v>71.16</v>
      </c>
      <c r="T44" s="332">
        <v>71.17</v>
      </c>
      <c r="U44" s="332">
        <v>71.17</v>
      </c>
      <c r="V44" s="332">
        <v>71.16</v>
      </c>
      <c r="W44" s="332">
        <v>71.17</v>
      </c>
      <c r="X44" s="332">
        <v>854</v>
      </c>
      <c r="Y44" s="332">
        <f t="shared" si="1"/>
        <v>854</v>
      </c>
      <c r="Z44" s="332">
        <f t="shared" si="18"/>
        <v>854</v>
      </c>
      <c r="AA44" s="332">
        <f t="shared" si="18"/>
        <v>854</v>
      </c>
      <c r="AB44" s="332">
        <f t="shared" si="18"/>
        <v>854</v>
      </c>
      <c r="AC44" s="332"/>
      <c r="AD44" s="332"/>
      <c r="AE44" s="332"/>
      <c r="AF44" s="332"/>
      <c r="AG44" s="332"/>
      <c r="AH44" s="332"/>
      <c r="AI44" s="332"/>
      <c r="AJ44" s="332"/>
      <c r="AK44" s="332"/>
      <c r="AL44" s="332"/>
      <c r="AM44" s="332"/>
    </row>
    <row r="45" spans="2:39" s="287" customFormat="1">
      <c r="B45" s="343">
        <v>43</v>
      </c>
      <c r="C45" s="343">
        <v>758</v>
      </c>
      <c r="D45" s="345" t="s">
        <v>577</v>
      </c>
      <c r="E45" s="331" t="s">
        <v>446</v>
      </c>
      <c r="F45" s="330" t="s">
        <v>578</v>
      </c>
      <c r="G45" s="330" t="s">
        <v>363</v>
      </c>
      <c r="H45" s="332">
        <v>642900</v>
      </c>
      <c r="I45" s="329" t="s">
        <v>494</v>
      </c>
      <c r="J45" s="332">
        <v>20</v>
      </c>
      <c r="K45" s="332">
        <v>1</v>
      </c>
      <c r="L45" s="332">
        <v>10715</v>
      </c>
      <c r="M45" s="332">
        <v>10715</v>
      </c>
      <c r="N45" s="332">
        <v>10715</v>
      </c>
      <c r="O45" s="332">
        <v>10715</v>
      </c>
      <c r="P45" s="332">
        <v>10715</v>
      </c>
      <c r="Q45" s="332">
        <v>10715</v>
      </c>
      <c r="R45" s="332">
        <v>10715</v>
      </c>
      <c r="S45" s="332">
        <v>10715</v>
      </c>
      <c r="T45" s="332">
        <v>10715</v>
      </c>
      <c r="U45" s="332">
        <v>10715</v>
      </c>
      <c r="V45" s="332">
        <v>10715</v>
      </c>
      <c r="W45" s="332">
        <v>10715</v>
      </c>
      <c r="X45" s="332">
        <v>128580</v>
      </c>
      <c r="Y45" s="332">
        <f t="shared" si="1"/>
        <v>128580</v>
      </c>
      <c r="Z45" s="332">
        <f t="shared" si="18"/>
        <v>128580</v>
      </c>
      <c r="AA45" s="332">
        <f t="shared" si="18"/>
        <v>128580</v>
      </c>
      <c r="AB45" s="332">
        <f t="shared" si="18"/>
        <v>128580</v>
      </c>
      <c r="AC45" s="332"/>
      <c r="AD45" s="332"/>
      <c r="AE45" s="332"/>
      <c r="AF45" s="332"/>
      <c r="AG45" s="332"/>
      <c r="AH45" s="332"/>
      <c r="AI45" s="332"/>
      <c r="AJ45" s="332"/>
      <c r="AK45" s="332"/>
      <c r="AL45" s="332"/>
      <c r="AM45" s="332"/>
    </row>
    <row r="46" spans="2:39" s="287" customFormat="1">
      <c r="B46" s="343">
        <v>44</v>
      </c>
      <c r="C46" s="343">
        <v>649</v>
      </c>
      <c r="D46" s="345" t="s">
        <v>579</v>
      </c>
      <c r="E46" s="331" t="s">
        <v>580</v>
      </c>
      <c r="F46" s="330" t="s">
        <v>578</v>
      </c>
      <c r="G46" s="330" t="s">
        <v>361</v>
      </c>
      <c r="H46" s="332">
        <v>338949.94</v>
      </c>
      <c r="I46" s="329" t="s">
        <v>494</v>
      </c>
      <c r="J46" s="332">
        <v>20</v>
      </c>
      <c r="K46" s="332">
        <v>1</v>
      </c>
      <c r="L46" s="332">
        <v>5649.17</v>
      </c>
      <c r="M46" s="332">
        <v>5649.16</v>
      </c>
      <c r="N46" s="332">
        <v>5649.17</v>
      </c>
      <c r="O46" s="332">
        <v>5649.16</v>
      </c>
      <c r="P46" s="332">
        <v>5649.17</v>
      </c>
      <c r="Q46" s="332">
        <v>5649.17</v>
      </c>
      <c r="R46" s="332">
        <v>5649.16</v>
      </c>
      <c r="S46" s="332">
        <v>5649.17</v>
      </c>
      <c r="T46" s="332">
        <v>5649.16</v>
      </c>
      <c r="U46" s="332">
        <v>5649.17</v>
      </c>
      <c r="V46" s="332">
        <v>5649.16</v>
      </c>
      <c r="W46" s="332">
        <v>5649.17</v>
      </c>
      <c r="X46" s="332">
        <v>67789.990000000005</v>
      </c>
      <c r="Y46" s="332">
        <f t="shared" si="1"/>
        <v>67789.990000000005</v>
      </c>
      <c r="Z46" s="332">
        <f t="shared" si="18"/>
        <v>67789.990000000005</v>
      </c>
      <c r="AA46" s="332"/>
      <c r="AB46" s="332"/>
      <c r="AC46" s="332"/>
      <c r="AD46" s="332"/>
      <c r="AE46" s="332"/>
      <c r="AF46" s="332"/>
      <c r="AG46" s="332"/>
      <c r="AH46" s="332"/>
      <c r="AI46" s="332"/>
      <c r="AJ46" s="332"/>
      <c r="AK46" s="332"/>
      <c r="AL46" s="332"/>
      <c r="AM46" s="332"/>
    </row>
    <row r="47" spans="2:39" s="287" customFormat="1">
      <c r="B47" s="343">
        <v>45</v>
      </c>
      <c r="C47" s="343">
        <v>664</v>
      </c>
      <c r="D47" s="345" t="s">
        <v>581</v>
      </c>
      <c r="E47" s="331" t="s">
        <v>582</v>
      </c>
      <c r="F47" s="330" t="s">
        <v>583</v>
      </c>
      <c r="G47" s="330" t="s">
        <v>366</v>
      </c>
      <c r="H47" s="332">
        <v>18199.22</v>
      </c>
      <c r="I47" s="329" t="s">
        <v>494</v>
      </c>
      <c r="J47" s="332">
        <v>10</v>
      </c>
      <c r="K47" s="332">
        <v>1</v>
      </c>
      <c r="L47" s="332">
        <v>151.66</v>
      </c>
      <c r="M47" s="332">
        <v>151.66</v>
      </c>
      <c r="N47" s="332">
        <v>151.66</v>
      </c>
      <c r="O47" s="332">
        <v>151.66</v>
      </c>
      <c r="P47" s="332">
        <v>151.66</v>
      </c>
      <c r="Q47" s="332">
        <v>151.66</v>
      </c>
      <c r="R47" s="332">
        <v>151.66</v>
      </c>
      <c r="S47" s="332">
        <v>151.66</v>
      </c>
      <c r="T47" s="332">
        <v>151.66</v>
      </c>
      <c r="U47" s="332">
        <v>151.66</v>
      </c>
      <c r="V47" s="332">
        <v>151.66</v>
      </c>
      <c r="W47" s="332">
        <v>151.66</v>
      </c>
      <c r="X47" s="332">
        <v>1819.92</v>
      </c>
      <c r="Y47" s="332">
        <f t="shared" si="1"/>
        <v>1819.92</v>
      </c>
      <c r="Z47" s="332">
        <f t="shared" si="18"/>
        <v>1819.92</v>
      </c>
      <c r="AA47" s="332">
        <f t="shared" si="18"/>
        <v>1819.92</v>
      </c>
      <c r="AB47" s="332">
        <f t="shared" si="18"/>
        <v>1819.92</v>
      </c>
      <c r="AC47" s="332">
        <f t="shared" si="18"/>
        <v>1819.92</v>
      </c>
      <c r="AD47" s="332">
        <f t="shared" si="18"/>
        <v>1819.92</v>
      </c>
      <c r="AE47" s="332">
        <f t="shared" si="18"/>
        <v>1819.92</v>
      </c>
      <c r="AF47" s="332"/>
      <c r="AG47" s="332"/>
      <c r="AH47" s="332"/>
      <c r="AI47" s="332"/>
      <c r="AJ47" s="332"/>
      <c r="AK47" s="332"/>
      <c r="AL47" s="332"/>
      <c r="AM47" s="332"/>
    </row>
    <row r="48" spans="2:39" s="287" customFormat="1">
      <c r="B48" s="343">
        <v>46</v>
      </c>
      <c r="C48" s="343">
        <v>629</v>
      </c>
      <c r="D48" s="345" t="s">
        <v>584</v>
      </c>
      <c r="E48" s="331" t="s">
        <v>585</v>
      </c>
      <c r="F48" s="330" t="s">
        <v>583</v>
      </c>
      <c r="G48" s="330" t="s">
        <v>366</v>
      </c>
      <c r="H48" s="332">
        <v>77112.69</v>
      </c>
      <c r="I48" s="329" t="s">
        <v>494</v>
      </c>
      <c r="J48" s="332">
        <v>10</v>
      </c>
      <c r="K48" s="332">
        <v>1</v>
      </c>
      <c r="L48" s="332">
        <v>642.61</v>
      </c>
      <c r="M48" s="332">
        <v>642.6</v>
      </c>
      <c r="N48" s="332">
        <v>642.61</v>
      </c>
      <c r="O48" s="332">
        <v>642.6</v>
      </c>
      <c r="P48" s="332">
        <v>642.61</v>
      </c>
      <c r="Q48" s="332">
        <v>642.61</v>
      </c>
      <c r="R48" s="332">
        <v>642.6</v>
      </c>
      <c r="S48" s="332">
        <v>642.61</v>
      </c>
      <c r="T48" s="332">
        <v>642.6</v>
      </c>
      <c r="U48" s="332">
        <v>642.61</v>
      </c>
      <c r="V48" s="332">
        <v>642.6</v>
      </c>
      <c r="W48" s="332">
        <v>642.61</v>
      </c>
      <c r="X48" s="332">
        <v>7711.27</v>
      </c>
      <c r="Y48" s="332">
        <f t="shared" si="1"/>
        <v>7711.27</v>
      </c>
      <c r="Z48" s="332">
        <f t="shared" si="18"/>
        <v>7711.27</v>
      </c>
      <c r="AA48" s="332">
        <f t="shared" si="18"/>
        <v>7711.27</v>
      </c>
      <c r="AB48" s="332">
        <f t="shared" si="18"/>
        <v>7711.27</v>
      </c>
      <c r="AC48" s="332">
        <f t="shared" si="18"/>
        <v>7711.27</v>
      </c>
      <c r="AD48" s="332">
        <f t="shared" si="18"/>
        <v>7711.27</v>
      </c>
      <c r="AE48" s="332">
        <f t="shared" si="18"/>
        <v>7711.27</v>
      </c>
      <c r="AF48" s="332"/>
      <c r="AG48" s="332"/>
      <c r="AH48" s="332"/>
      <c r="AI48" s="332"/>
      <c r="AJ48" s="332"/>
      <c r="AK48" s="332"/>
      <c r="AL48" s="332"/>
      <c r="AM48" s="332"/>
    </row>
    <row r="49" spans="2:39" s="287" customFormat="1">
      <c r="B49" s="343">
        <v>47</v>
      </c>
      <c r="C49" s="343">
        <v>704</v>
      </c>
      <c r="D49" s="345" t="s">
        <v>586</v>
      </c>
      <c r="E49" s="331" t="s">
        <v>587</v>
      </c>
      <c r="F49" s="330" t="s">
        <v>583</v>
      </c>
      <c r="G49" s="330" t="s">
        <v>367</v>
      </c>
      <c r="H49" s="332">
        <v>22540</v>
      </c>
      <c r="I49" s="329" t="s">
        <v>494</v>
      </c>
      <c r="J49" s="332">
        <v>10</v>
      </c>
      <c r="K49" s="332">
        <v>1</v>
      </c>
      <c r="L49" s="332">
        <v>187.83</v>
      </c>
      <c r="M49" s="332">
        <v>187.84</v>
      </c>
      <c r="N49" s="332">
        <v>187.83</v>
      </c>
      <c r="O49" s="332">
        <v>187.83</v>
      </c>
      <c r="P49" s="332">
        <v>187.84</v>
      </c>
      <c r="Q49" s="332">
        <v>187.83</v>
      </c>
      <c r="R49" s="332">
        <v>187.83</v>
      </c>
      <c r="S49" s="332">
        <v>187.84</v>
      </c>
      <c r="T49" s="332">
        <v>187.83</v>
      </c>
      <c r="U49" s="332">
        <v>187.83</v>
      </c>
      <c r="V49" s="332">
        <v>187.84</v>
      </c>
      <c r="W49" s="332">
        <v>187.83</v>
      </c>
      <c r="X49" s="332">
        <v>2254</v>
      </c>
      <c r="Y49" s="332">
        <f t="shared" si="1"/>
        <v>2254</v>
      </c>
      <c r="Z49" s="332">
        <f t="shared" si="18"/>
        <v>2254</v>
      </c>
      <c r="AA49" s="332">
        <f t="shared" si="18"/>
        <v>2254</v>
      </c>
      <c r="AB49" s="332">
        <f t="shared" si="18"/>
        <v>2254</v>
      </c>
      <c r="AC49" s="332">
        <f t="shared" si="18"/>
        <v>2254</v>
      </c>
      <c r="AD49" s="332">
        <f t="shared" si="18"/>
        <v>2254</v>
      </c>
      <c r="AE49" s="332">
        <f t="shared" si="18"/>
        <v>2254</v>
      </c>
      <c r="AF49" s="332">
        <f t="shared" si="18"/>
        <v>2254</v>
      </c>
      <c r="AG49" s="332"/>
      <c r="AH49" s="332"/>
      <c r="AI49" s="332"/>
      <c r="AJ49" s="332"/>
      <c r="AK49" s="332"/>
      <c r="AL49" s="332"/>
      <c r="AM49" s="332"/>
    </row>
    <row r="50" spans="2:39" s="287" customFormat="1">
      <c r="B50" s="343">
        <v>48</v>
      </c>
      <c r="C50" s="343">
        <v>705</v>
      </c>
      <c r="D50" s="345" t="s">
        <v>586</v>
      </c>
      <c r="E50" s="331" t="s">
        <v>588</v>
      </c>
      <c r="F50" s="330" t="s">
        <v>583</v>
      </c>
      <c r="G50" s="330" t="s">
        <v>367</v>
      </c>
      <c r="H50" s="332">
        <v>23000</v>
      </c>
      <c r="I50" s="329" t="s">
        <v>494</v>
      </c>
      <c r="J50" s="332">
        <v>10</v>
      </c>
      <c r="K50" s="332">
        <v>1</v>
      </c>
      <c r="L50" s="332">
        <v>191.67</v>
      </c>
      <c r="M50" s="332">
        <v>191.66</v>
      </c>
      <c r="N50" s="332">
        <v>191.67</v>
      </c>
      <c r="O50" s="332">
        <v>191.67</v>
      </c>
      <c r="P50" s="332">
        <v>191.66</v>
      </c>
      <c r="Q50" s="332">
        <v>191.67</v>
      </c>
      <c r="R50" s="332">
        <v>191.67</v>
      </c>
      <c r="S50" s="332">
        <v>191.66</v>
      </c>
      <c r="T50" s="332">
        <v>191.67</v>
      </c>
      <c r="U50" s="332">
        <v>191.67</v>
      </c>
      <c r="V50" s="332">
        <v>191.66</v>
      </c>
      <c r="W50" s="332">
        <v>191.67</v>
      </c>
      <c r="X50" s="332">
        <v>2300</v>
      </c>
      <c r="Y50" s="332">
        <f t="shared" si="1"/>
        <v>2300</v>
      </c>
      <c r="Z50" s="332">
        <f t="shared" si="18"/>
        <v>2300</v>
      </c>
      <c r="AA50" s="332">
        <f t="shared" si="18"/>
        <v>2300</v>
      </c>
      <c r="AB50" s="332">
        <f t="shared" si="18"/>
        <v>2300</v>
      </c>
      <c r="AC50" s="332">
        <f t="shared" si="18"/>
        <v>2300</v>
      </c>
      <c r="AD50" s="332">
        <f t="shared" si="18"/>
        <v>2300</v>
      </c>
      <c r="AE50" s="332">
        <f t="shared" si="18"/>
        <v>2300</v>
      </c>
      <c r="AF50" s="332">
        <f t="shared" si="18"/>
        <v>2300</v>
      </c>
      <c r="AG50" s="332"/>
      <c r="AH50" s="332"/>
      <c r="AI50" s="332"/>
      <c r="AJ50" s="332"/>
      <c r="AK50" s="332"/>
      <c r="AL50" s="332"/>
      <c r="AM50" s="332"/>
    </row>
    <row r="51" spans="2:39" s="287" customFormat="1">
      <c r="B51" s="343">
        <v>49</v>
      </c>
      <c r="C51" s="343">
        <v>706</v>
      </c>
      <c r="D51" s="345" t="s">
        <v>586</v>
      </c>
      <c r="E51" s="331" t="s">
        <v>589</v>
      </c>
      <c r="F51" s="330" t="s">
        <v>583</v>
      </c>
      <c r="G51" s="330" t="s">
        <v>367</v>
      </c>
      <c r="H51" s="332">
        <v>23536</v>
      </c>
      <c r="I51" s="329" t="s">
        <v>494</v>
      </c>
      <c r="J51" s="332">
        <v>10</v>
      </c>
      <c r="K51" s="332">
        <v>1</v>
      </c>
      <c r="L51" s="332">
        <v>196.13</v>
      </c>
      <c r="M51" s="332">
        <v>196.14</v>
      </c>
      <c r="N51" s="332">
        <v>196.13</v>
      </c>
      <c r="O51" s="332">
        <v>196.13</v>
      </c>
      <c r="P51" s="332">
        <v>196.14</v>
      </c>
      <c r="Q51" s="332">
        <v>196.13</v>
      </c>
      <c r="R51" s="332">
        <v>196.13</v>
      </c>
      <c r="S51" s="332">
        <v>196.14</v>
      </c>
      <c r="T51" s="332">
        <v>196.13</v>
      </c>
      <c r="U51" s="332">
        <v>196.13</v>
      </c>
      <c r="V51" s="332">
        <v>196.14</v>
      </c>
      <c r="W51" s="332">
        <v>196.13</v>
      </c>
      <c r="X51" s="332">
        <v>2353.6</v>
      </c>
      <c r="Y51" s="332">
        <f t="shared" si="1"/>
        <v>2353.6</v>
      </c>
      <c r="Z51" s="332">
        <f t="shared" si="18"/>
        <v>2353.6</v>
      </c>
      <c r="AA51" s="332">
        <f t="shared" si="18"/>
        <v>2353.6</v>
      </c>
      <c r="AB51" s="332">
        <f t="shared" si="18"/>
        <v>2353.6</v>
      </c>
      <c r="AC51" s="332">
        <f t="shared" si="18"/>
        <v>2353.6</v>
      </c>
      <c r="AD51" s="332">
        <f t="shared" si="18"/>
        <v>2353.6</v>
      </c>
      <c r="AE51" s="332">
        <f t="shared" si="18"/>
        <v>2353.6</v>
      </c>
      <c r="AF51" s="332">
        <f t="shared" si="18"/>
        <v>2353.6</v>
      </c>
      <c r="AG51" s="332"/>
      <c r="AH51" s="332"/>
      <c r="AI51" s="332"/>
      <c r="AJ51" s="332"/>
      <c r="AK51" s="332"/>
      <c r="AL51" s="332"/>
      <c r="AM51" s="332"/>
    </row>
    <row r="52" spans="2:39" s="287" customFormat="1">
      <c r="B52" s="343">
        <v>50</v>
      </c>
      <c r="C52" s="343">
        <v>542</v>
      </c>
      <c r="D52" s="345" t="s">
        <v>590</v>
      </c>
      <c r="E52" s="331" t="s">
        <v>591</v>
      </c>
      <c r="F52" s="330" t="s">
        <v>583</v>
      </c>
      <c r="G52" s="330" t="s">
        <v>363</v>
      </c>
      <c r="H52" s="332">
        <v>3548</v>
      </c>
      <c r="I52" s="329" t="s">
        <v>494</v>
      </c>
      <c r="J52" s="332">
        <v>10</v>
      </c>
      <c r="K52" s="332">
        <v>1</v>
      </c>
      <c r="L52" s="332">
        <v>29.57</v>
      </c>
      <c r="M52" s="332">
        <v>29.56</v>
      </c>
      <c r="N52" s="332">
        <v>29.57</v>
      </c>
      <c r="O52" s="332">
        <v>29.57</v>
      </c>
      <c r="P52" s="332">
        <v>29.56</v>
      </c>
      <c r="Q52" s="332">
        <v>29.57</v>
      </c>
      <c r="R52" s="332">
        <v>29.57</v>
      </c>
      <c r="S52" s="332">
        <v>29.56</v>
      </c>
      <c r="T52" s="332">
        <v>29.57</v>
      </c>
      <c r="U52" s="332">
        <v>29.57</v>
      </c>
      <c r="V52" s="332">
        <v>29.56</v>
      </c>
      <c r="W52" s="332">
        <v>29.57</v>
      </c>
      <c r="X52" s="332">
        <v>354.8</v>
      </c>
      <c r="Y52" s="332">
        <f t="shared" si="1"/>
        <v>354.8</v>
      </c>
      <c r="Z52" s="332">
        <f t="shared" si="18"/>
        <v>354.8</v>
      </c>
      <c r="AA52" s="332">
        <f t="shared" si="18"/>
        <v>354.8</v>
      </c>
      <c r="AB52" s="332">
        <f t="shared" si="18"/>
        <v>354.8</v>
      </c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332"/>
    </row>
    <row r="53" spans="2:39" s="287" customFormat="1">
      <c r="B53" s="343">
        <v>51</v>
      </c>
      <c r="C53" s="343">
        <v>757</v>
      </c>
      <c r="D53" s="345" t="s">
        <v>592</v>
      </c>
      <c r="E53" s="331" t="s">
        <v>593</v>
      </c>
      <c r="F53" s="330" t="s">
        <v>583</v>
      </c>
      <c r="G53" s="330" t="s">
        <v>368</v>
      </c>
      <c r="H53" s="332">
        <v>6300</v>
      </c>
      <c r="I53" s="329" t="s">
        <v>494</v>
      </c>
      <c r="J53" s="332">
        <v>10</v>
      </c>
      <c r="K53" s="332">
        <v>1</v>
      </c>
      <c r="L53" s="332">
        <v>52.5</v>
      </c>
      <c r="M53" s="332">
        <v>52.5</v>
      </c>
      <c r="N53" s="332">
        <v>52.5</v>
      </c>
      <c r="O53" s="332">
        <v>52.5</v>
      </c>
      <c r="P53" s="332">
        <v>52.5</v>
      </c>
      <c r="Q53" s="332">
        <v>52.5</v>
      </c>
      <c r="R53" s="332">
        <v>52.5</v>
      </c>
      <c r="S53" s="332">
        <v>52.5</v>
      </c>
      <c r="T53" s="332">
        <v>52.5</v>
      </c>
      <c r="U53" s="332">
        <v>52.5</v>
      </c>
      <c r="V53" s="332">
        <v>52.5</v>
      </c>
      <c r="W53" s="332">
        <v>52.5</v>
      </c>
      <c r="X53" s="332">
        <v>630</v>
      </c>
      <c r="Y53" s="332">
        <f t="shared" si="1"/>
        <v>630</v>
      </c>
      <c r="Z53" s="332">
        <f t="shared" si="18"/>
        <v>630</v>
      </c>
      <c r="AA53" s="332">
        <f t="shared" si="18"/>
        <v>630</v>
      </c>
      <c r="AB53" s="332">
        <f t="shared" si="18"/>
        <v>630</v>
      </c>
      <c r="AC53" s="332">
        <f t="shared" si="18"/>
        <v>630</v>
      </c>
      <c r="AD53" s="332">
        <f t="shared" si="18"/>
        <v>630</v>
      </c>
      <c r="AE53" s="332">
        <f t="shared" si="18"/>
        <v>630</v>
      </c>
      <c r="AF53" s="332">
        <f t="shared" si="18"/>
        <v>630</v>
      </c>
      <c r="AG53" s="332">
        <f t="shared" si="18"/>
        <v>630</v>
      </c>
      <c r="AH53" s="332"/>
      <c r="AI53" s="332"/>
      <c r="AJ53" s="332"/>
      <c r="AK53" s="332"/>
      <c r="AL53" s="332"/>
      <c r="AM53" s="332"/>
    </row>
    <row r="54" spans="2:39" s="287" customFormat="1">
      <c r="B54" s="343">
        <v>52</v>
      </c>
      <c r="C54" s="343">
        <v>720</v>
      </c>
      <c r="D54" s="345" t="s">
        <v>594</v>
      </c>
      <c r="E54" s="331" t="s">
        <v>595</v>
      </c>
      <c r="F54" s="330" t="s">
        <v>583</v>
      </c>
      <c r="G54" s="330" t="s">
        <v>367</v>
      </c>
      <c r="H54" s="332">
        <v>9500</v>
      </c>
      <c r="I54" s="329" t="s">
        <v>494</v>
      </c>
      <c r="J54" s="332">
        <v>10</v>
      </c>
      <c r="K54" s="332">
        <v>1</v>
      </c>
      <c r="L54" s="332">
        <v>79.17</v>
      </c>
      <c r="M54" s="332">
        <v>79.16</v>
      </c>
      <c r="N54" s="332">
        <v>79.17</v>
      </c>
      <c r="O54" s="332">
        <v>79.17</v>
      </c>
      <c r="P54" s="332">
        <v>79.16</v>
      </c>
      <c r="Q54" s="332">
        <v>79.17</v>
      </c>
      <c r="R54" s="332">
        <v>79.17</v>
      </c>
      <c r="S54" s="332">
        <v>79.16</v>
      </c>
      <c r="T54" s="332">
        <v>79.17</v>
      </c>
      <c r="U54" s="332">
        <v>79.17</v>
      </c>
      <c r="V54" s="332">
        <v>79.16</v>
      </c>
      <c r="W54" s="332">
        <v>79.17</v>
      </c>
      <c r="X54" s="332">
        <v>950</v>
      </c>
      <c r="Y54" s="332">
        <f t="shared" si="1"/>
        <v>950</v>
      </c>
      <c r="Z54" s="332">
        <f t="shared" si="18"/>
        <v>950</v>
      </c>
      <c r="AA54" s="332">
        <f t="shared" si="18"/>
        <v>950</v>
      </c>
      <c r="AB54" s="332">
        <f t="shared" si="18"/>
        <v>950</v>
      </c>
      <c r="AC54" s="332">
        <f t="shared" si="18"/>
        <v>950</v>
      </c>
      <c r="AD54" s="332">
        <f t="shared" si="18"/>
        <v>950</v>
      </c>
      <c r="AE54" s="332">
        <f t="shared" si="18"/>
        <v>950</v>
      </c>
      <c r="AF54" s="332">
        <f t="shared" si="18"/>
        <v>950</v>
      </c>
      <c r="AG54" s="332"/>
      <c r="AH54" s="332"/>
      <c r="AI54" s="332"/>
      <c r="AJ54" s="332"/>
      <c r="AK54" s="332"/>
      <c r="AL54" s="332"/>
      <c r="AM54" s="332"/>
    </row>
    <row r="55" spans="2:39" s="287" customFormat="1">
      <c r="B55" s="343">
        <v>53</v>
      </c>
      <c r="C55" s="343">
        <v>696</v>
      </c>
      <c r="D55" s="345" t="s">
        <v>596</v>
      </c>
      <c r="E55" s="331" t="s">
        <v>597</v>
      </c>
      <c r="F55" s="330" t="s">
        <v>583</v>
      </c>
      <c r="G55" s="330" t="s">
        <v>367</v>
      </c>
      <c r="H55" s="332">
        <v>16590</v>
      </c>
      <c r="I55" s="329" t="s">
        <v>494</v>
      </c>
      <c r="J55" s="332">
        <v>10</v>
      </c>
      <c r="K55" s="332">
        <v>1</v>
      </c>
      <c r="L55" s="332">
        <v>138.25</v>
      </c>
      <c r="M55" s="332">
        <v>138.25</v>
      </c>
      <c r="N55" s="332">
        <v>138.25</v>
      </c>
      <c r="O55" s="332">
        <v>138.25</v>
      </c>
      <c r="P55" s="332">
        <v>138.25</v>
      </c>
      <c r="Q55" s="332">
        <v>138.25</v>
      </c>
      <c r="R55" s="332">
        <v>138.25</v>
      </c>
      <c r="S55" s="332">
        <v>138.25</v>
      </c>
      <c r="T55" s="332">
        <v>138.25</v>
      </c>
      <c r="U55" s="332">
        <v>138.25</v>
      </c>
      <c r="V55" s="332">
        <v>138.25</v>
      </c>
      <c r="W55" s="332">
        <v>138.25</v>
      </c>
      <c r="X55" s="332">
        <v>1659</v>
      </c>
      <c r="Y55" s="332">
        <f t="shared" si="1"/>
        <v>1659</v>
      </c>
      <c r="Z55" s="332">
        <f t="shared" ref="Z55:AI67" si="19">Y55</f>
        <v>1659</v>
      </c>
      <c r="AA55" s="332">
        <f t="shared" si="19"/>
        <v>1659</v>
      </c>
      <c r="AB55" s="332">
        <f t="shared" si="19"/>
        <v>1659</v>
      </c>
      <c r="AC55" s="332">
        <f t="shared" si="19"/>
        <v>1659</v>
      </c>
      <c r="AD55" s="332">
        <f t="shared" si="19"/>
        <v>1659</v>
      </c>
      <c r="AE55" s="332">
        <f t="shared" si="19"/>
        <v>1659</v>
      </c>
      <c r="AF55" s="332">
        <f t="shared" si="19"/>
        <v>1659</v>
      </c>
      <c r="AG55" s="332"/>
      <c r="AH55" s="332"/>
      <c r="AI55" s="332"/>
      <c r="AJ55" s="332"/>
      <c r="AK55" s="332"/>
      <c r="AL55" s="332"/>
      <c r="AM55" s="332"/>
    </row>
    <row r="56" spans="2:39" s="287" customFormat="1">
      <c r="B56" s="343">
        <v>54</v>
      </c>
      <c r="C56" s="343">
        <v>657</v>
      </c>
      <c r="D56" s="345" t="s">
        <v>598</v>
      </c>
      <c r="E56" s="331" t="s">
        <v>599</v>
      </c>
      <c r="F56" s="330" t="s">
        <v>583</v>
      </c>
      <c r="G56" s="330" t="s">
        <v>366</v>
      </c>
      <c r="H56" s="332">
        <v>43906.25</v>
      </c>
      <c r="I56" s="329" t="s">
        <v>494</v>
      </c>
      <c r="J56" s="332">
        <v>10</v>
      </c>
      <c r="K56" s="332">
        <v>1</v>
      </c>
      <c r="L56" s="332">
        <v>365.89</v>
      </c>
      <c r="M56" s="332">
        <v>365.88</v>
      </c>
      <c r="N56" s="332">
        <v>365.89</v>
      </c>
      <c r="O56" s="332">
        <v>365.88</v>
      </c>
      <c r="P56" s="332">
        <v>365.89</v>
      </c>
      <c r="Q56" s="332">
        <v>365.89</v>
      </c>
      <c r="R56" s="332">
        <v>365.88</v>
      </c>
      <c r="S56" s="332">
        <v>365.89</v>
      </c>
      <c r="T56" s="332">
        <v>365.88</v>
      </c>
      <c r="U56" s="332">
        <v>365.89</v>
      </c>
      <c r="V56" s="332">
        <v>365.88</v>
      </c>
      <c r="W56" s="332">
        <v>365.89</v>
      </c>
      <c r="X56" s="332">
        <v>4390.63</v>
      </c>
      <c r="Y56" s="332">
        <f t="shared" si="1"/>
        <v>4390.63</v>
      </c>
      <c r="Z56" s="332">
        <f t="shared" si="19"/>
        <v>4390.63</v>
      </c>
      <c r="AA56" s="332">
        <f t="shared" si="19"/>
        <v>4390.63</v>
      </c>
      <c r="AB56" s="332">
        <f t="shared" si="19"/>
        <v>4390.63</v>
      </c>
      <c r="AC56" s="332">
        <f t="shared" si="19"/>
        <v>4390.63</v>
      </c>
      <c r="AD56" s="332">
        <f t="shared" si="19"/>
        <v>4390.63</v>
      </c>
      <c r="AE56" s="332">
        <f t="shared" si="19"/>
        <v>4390.63</v>
      </c>
      <c r="AF56" s="332"/>
      <c r="AG56" s="332"/>
      <c r="AH56" s="332"/>
      <c r="AI56" s="332"/>
      <c r="AJ56" s="332"/>
      <c r="AK56" s="332"/>
      <c r="AL56" s="332"/>
      <c r="AM56" s="332"/>
    </row>
    <row r="57" spans="2:39" s="287" customFormat="1">
      <c r="B57" s="343">
        <v>55</v>
      </c>
      <c r="C57" s="343">
        <v>785</v>
      </c>
      <c r="D57" s="345" t="s">
        <v>468</v>
      </c>
      <c r="E57" s="331" t="s">
        <v>469</v>
      </c>
      <c r="F57" s="330" t="s">
        <v>583</v>
      </c>
      <c r="G57" s="330" t="s">
        <v>368</v>
      </c>
      <c r="H57" s="332">
        <v>330000</v>
      </c>
      <c r="I57" s="329" t="s">
        <v>494</v>
      </c>
      <c r="J57" s="332">
        <v>10</v>
      </c>
      <c r="K57" s="332">
        <v>1</v>
      </c>
      <c r="L57" s="332">
        <v>2750</v>
      </c>
      <c r="M57" s="332">
        <v>2750</v>
      </c>
      <c r="N57" s="332">
        <v>2750</v>
      </c>
      <c r="O57" s="332">
        <v>2750</v>
      </c>
      <c r="P57" s="332">
        <v>2750</v>
      </c>
      <c r="Q57" s="332">
        <v>2750</v>
      </c>
      <c r="R57" s="332">
        <v>2750</v>
      </c>
      <c r="S57" s="332">
        <v>2750</v>
      </c>
      <c r="T57" s="332">
        <v>2750</v>
      </c>
      <c r="U57" s="332">
        <v>2750</v>
      </c>
      <c r="V57" s="332">
        <v>2750</v>
      </c>
      <c r="W57" s="332">
        <v>2750</v>
      </c>
      <c r="X57" s="332">
        <v>33000</v>
      </c>
      <c r="Y57" s="332">
        <f t="shared" si="1"/>
        <v>33000</v>
      </c>
      <c r="Z57" s="332">
        <f t="shared" si="19"/>
        <v>33000</v>
      </c>
      <c r="AA57" s="332">
        <f t="shared" si="19"/>
        <v>33000</v>
      </c>
      <c r="AB57" s="332">
        <f t="shared" si="19"/>
        <v>33000</v>
      </c>
      <c r="AC57" s="332">
        <f t="shared" si="19"/>
        <v>33000</v>
      </c>
      <c r="AD57" s="332">
        <f t="shared" si="19"/>
        <v>33000</v>
      </c>
      <c r="AE57" s="332">
        <f t="shared" si="19"/>
        <v>33000</v>
      </c>
      <c r="AF57" s="332">
        <f t="shared" si="19"/>
        <v>33000</v>
      </c>
      <c r="AG57" s="332">
        <f t="shared" si="19"/>
        <v>33000</v>
      </c>
      <c r="AH57" s="332"/>
      <c r="AI57" s="332"/>
      <c r="AJ57" s="332"/>
      <c r="AK57" s="332"/>
      <c r="AL57" s="332"/>
      <c r="AM57" s="332"/>
    </row>
    <row r="58" spans="2:39" s="287" customFormat="1">
      <c r="B58" s="343">
        <v>56</v>
      </c>
      <c r="C58" s="343">
        <v>618</v>
      </c>
      <c r="D58" s="345" t="s">
        <v>600</v>
      </c>
      <c r="E58" s="331" t="s">
        <v>601</v>
      </c>
      <c r="F58" s="330" t="s">
        <v>583</v>
      </c>
      <c r="G58" s="330" t="s">
        <v>365</v>
      </c>
      <c r="H58" s="332">
        <v>117309</v>
      </c>
      <c r="I58" s="329" t="s">
        <v>494</v>
      </c>
      <c r="J58" s="332">
        <v>10</v>
      </c>
      <c r="K58" s="332">
        <v>1</v>
      </c>
      <c r="L58" s="332">
        <v>977.58</v>
      </c>
      <c r="M58" s="332">
        <v>977.57</v>
      </c>
      <c r="N58" s="332">
        <v>977.58</v>
      </c>
      <c r="O58" s="332">
        <v>977.57</v>
      </c>
      <c r="P58" s="332">
        <v>977.58</v>
      </c>
      <c r="Q58" s="332">
        <v>977.57</v>
      </c>
      <c r="R58" s="332">
        <v>977.58</v>
      </c>
      <c r="S58" s="332">
        <v>977.57</v>
      </c>
      <c r="T58" s="332">
        <v>977.58</v>
      </c>
      <c r="U58" s="332">
        <v>977.57</v>
      </c>
      <c r="V58" s="332">
        <v>977.58</v>
      </c>
      <c r="W58" s="332">
        <v>977.57</v>
      </c>
      <c r="X58" s="332">
        <v>11730.9</v>
      </c>
      <c r="Y58" s="332">
        <f t="shared" si="1"/>
        <v>11730.9</v>
      </c>
      <c r="Z58" s="332">
        <f t="shared" si="19"/>
        <v>11730.9</v>
      </c>
      <c r="AA58" s="332">
        <f t="shared" si="19"/>
        <v>11730.9</v>
      </c>
      <c r="AB58" s="332">
        <f t="shared" si="19"/>
        <v>11730.9</v>
      </c>
      <c r="AC58" s="332">
        <f t="shared" si="19"/>
        <v>11730.9</v>
      </c>
      <c r="AD58" s="332">
        <f t="shared" si="19"/>
        <v>11730.9</v>
      </c>
      <c r="AE58" s="332"/>
      <c r="AF58" s="332"/>
      <c r="AG58" s="332"/>
      <c r="AH58" s="332"/>
      <c r="AI58" s="332"/>
      <c r="AJ58" s="332"/>
      <c r="AK58" s="332"/>
      <c r="AL58" s="332"/>
      <c r="AM58" s="332"/>
    </row>
    <row r="59" spans="2:39" s="287" customFormat="1">
      <c r="B59" s="343">
        <v>57</v>
      </c>
      <c r="C59" s="343">
        <v>775</v>
      </c>
      <c r="D59" s="345" t="s">
        <v>602</v>
      </c>
      <c r="E59" s="331" t="s">
        <v>603</v>
      </c>
      <c r="F59" s="330" t="s">
        <v>583</v>
      </c>
      <c r="G59" s="330" t="s">
        <v>368</v>
      </c>
      <c r="H59" s="332">
        <v>45134</v>
      </c>
      <c r="I59" s="329" t="s">
        <v>494</v>
      </c>
      <c r="J59" s="332">
        <v>10</v>
      </c>
      <c r="K59" s="332">
        <v>1</v>
      </c>
      <c r="L59" s="332">
        <v>376.12</v>
      </c>
      <c r="M59" s="332">
        <v>376.11</v>
      </c>
      <c r="N59" s="332">
        <v>376.12</v>
      </c>
      <c r="O59" s="332">
        <v>376.12</v>
      </c>
      <c r="P59" s="332">
        <v>376.11</v>
      </c>
      <c r="Q59" s="332">
        <v>376.12</v>
      </c>
      <c r="R59" s="332">
        <v>376.12</v>
      </c>
      <c r="S59" s="332">
        <v>376.11</v>
      </c>
      <c r="T59" s="332">
        <v>376.12</v>
      </c>
      <c r="U59" s="332">
        <v>376.12</v>
      </c>
      <c r="V59" s="332">
        <v>376.11</v>
      </c>
      <c r="W59" s="332">
        <v>376.12</v>
      </c>
      <c r="X59" s="332">
        <v>4513.3999999999996</v>
      </c>
      <c r="Y59" s="332">
        <f t="shared" si="1"/>
        <v>4513.3999999999996</v>
      </c>
      <c r="Z59" s="332">
        <f t="shared" si="19"/>
        <v>4513.3999999999996</v>
      </c>
      <c r="AA59" s="332">
        <f t="shared" si="19"/>
        <v>4513.3999999999996</v>
      </c>
      <c r="AB59" s="332">
        <f t="shared" si="19"/>
        <v>4513.3999999999996</v>
      </c>
      <c r="AC59" s="332">
        <f t="shared" si="19"/>
        <v>4513.3999999999996</v>
      </c>
      <c r="AD59" s="332">
        <f t="shared" si="19"/>
        <v>4513.3999999999996</v>
      </c>
      <c r="AE59" s="332">
        <f t="shared" si="19"/>
        <v>4513.3999999999996</v>
      </c>
      <c r="AF59" s="332">
        <f t="shared" si="19"/>
        <v>4513.3999999999996</v>
      </c>
      <c r="AG59" s="332">
        <f t="shared" si="19"/>
        <v>4513.3999999999996</v>
      </c>
      <c r="AH59" s="332"/>
      <c r="AI59" s="332"/>
      <c r="AJ59" s="332"/>
      <c r="AK59" s="332"/>
      <c r="AL59" s="332"/>
      <c r="AM59" s="332"/>
    </row>
    <row r="60" spans="2:39" s="287" customFormat="1">
      <c r="B60" s="343">
        <v>58</v>
      </c>
      <c r="C60" s="343">
        <v>681</v>
      </c>
      <c r="D60" s="345" t="s">
        <v>604</v>
      </c>
      <c r="E60" s="331" t="s">
        <v>605</v>
      </c>
      <c r="F60" s="330" t="s">
        <v>583</v>
      </c>
      <c r="G60" s="330" t="s">
        <v>366</v>
      </c>
      <c r="H60" s="332">
        <v>202855.46</v>
      </c>
      <c r="I60" s="329" t="s">
        <v>494</v>
      </c>
      <c r="J60" s="332">
        <v>10</v>
      </c>
      <c r="K60" s="332">
        <v>1</v>
      </c>
      <c r="L60" s="332">
        <v>1690.46</v>
      </c>
      <c r="M60" s="332">
        <v>1690.47</v>
      </c>
      <c r="N60" s="332">
        <v>1690.46</v>
      </c>
      <c r="O60" s="332">
        <v>1690.46</v>
      </c>
      <c r="P60" s="332">
        <v>1690.46</v>
      </c>
      <c r="Q60" s="332">
        <v>1690.47</v>
      </c>
      <c r="R60" s="332">
        <v>1690.46</v>
      </c>
      <c r="S60" s="332">
        <v>1690.46</v>
      </c>
      <c r="T60" s="332">
        <v>1690.46</v>
      </c>
      <c r="U60" s="332">
        <v>1690.47</v>
      </c>
      <c r="V60" s="332">
        <v>1690.46</v>
      </c>
      <c r="W60" s="332">
        <v>1690.46</v>
      </c>
      <c r="X60" s="332">
        <v>20285.55</v>
      </c>
      <c r="Y60" s="332">
        <f t="shared" si="1"/>
        <v>20285.55</v>
      </c>
      <c r="Z60" s="332">
        <f t="shared" si="19"/>
        <v>20285.55</v>
      </c>
      <c r="AA60" s="332">
        <f t="shared" si="19"/>
        <v>20285.55</v>
      </c>
      <c r="AB60" s="332">
        <f t="shared" si="19"/>
        <v>20285.55</v>
      </c>
      <c r="AC60" s="332">
        <f t="shared" si="19"/>
        <v>20285.55</v>
      </c>
      <c r="AD60" s="332">
        <f t="shared" si="19"/>
        <v>20285.55</v>
      </c>
      <c r="AE60" s="332">
        <f t="shared" si="19"/>
        <v>20285.55</v>
      </c>
      <c r="AF60" s="332"/>
      <c r="AG60" s="332"/>
      <c r="AH60" s="332"/>
      <c r="AI60" s="332"/>
      <c r="AJ60" s="332"/>
      <c r="AK60" s="332"/>
      <c r="AL60" s="332"/>
      <c r="AM60" s="332"/>
    </row>
    <row r="61" spans="2:39" s="287" customFormat="1">
      <c r="B61" s="343">
        <v>59</v>
      </c>
      <c r="C61" s="343">
        <v>680</v>
      </c>
      <c r="D61" s="345" t="s">
        <v>606</v>
      </c>
      <c r="E61" s="331" t="s">
        <v>607</v>
      </c>
      <c r="F61" s="330" t="s">
        <v>583</v>
      </c>
      <c r="G61" s="330" t="s">
        <v>366</v>
      </c>
      <c r="H61" s="332">
        <v>1941304.94</v>
      </c>
      <c r="I61" s="329" t="s">
        <v>494</v>
      </c>
      <c r="J61" s="332">
        <v>10</v>
      </c>
      <c r="K61" s="332">
        <v>1</v>
      </c>
      <c r="L61" s="332">
        <v>16177.54</v>
      </c>
      <c r="M61" s="332">
        <v>16177.54</v>
      </c>
      <c r="N61" s="332">
        <v>16177.54</v>
      </c>
      <c r="O61" s="332">
        <v>16177.54</v>
      </c>
      <c r="P61" s="332">
        <v>16177.54</v>
      </c>
      <c r="Q61" s="332">
        <v>16177.55</v>
      </c>
      <c r="R61" s="332">
        <v>16177.54</v>
      </c>
      <c r="S61" s="332">
        <v>16177.54</v>
      </c>
      <c r="T61" s="332">
        <v>16177.54</v>
      </c>
      <c r="U61" s="332">
        <v>16177.54</v>
      </c>
      <c r="V61" s="332">
        <v>16177.54</v>
      </c>
      <c r="W61" s="332">
        <v>16177.54</v>
      </c>
      <c r="X61" s="332">
        <v>194130.49</v>
      </c>
      <c r="Y61" s="332">
        <f t="shared" si="1"/>
        <v>194130.49</v>
      </c>
      <c r="Z61" s="332">
        <f t="shared" si="19"/>
        <v>194130.49</v>
      </c>
      <c r="AA61" s="332">
        <f t="shared" si="19"/>
        <v>194130.49</v>
      </c>
      <c r="AB61" s="332">
        <f t="shared" si="19"/>
        <v>194130.49</v>
      </c>
      <c r="AC61" s="332">
        <f t="shared" si="19"/>
        <v>194130.49</v>
      </c>
      <c r="AD61" s="332">
        <f t="shared" si="19"/>
        <v>194130.49</v>
      </c>
      <c r="AE61" s="332">
        <f t="shared" si="19"/>
        <v>194130.49</v>
      </c>
      <c r="AF61" s="332"/>
      <c r="AG61" s="332"/>
      <c r="AH61" s="332"/>
      <c r="AI61" s="332"/>
      <c r="AJ61" s="332"/>
      <c r="AK61" s="332"/>
      <c r="AL61" s="332"/>
      <c r="AM61" s="332"/>
    </row>
    <row r="62" spans="2:39" s="287" customFormat="1">
      <c r="B62" s="343">
        <v>60</v>
      </c>
      <c r="C62" s="343">
        <v>724</v>
      </c>
      <c r="D62" s="345" t="s">
        <v>608</v>
      </c>
      <c r="E62" s="331" t="s">
        <v>609</v>
      </c>
      <c r="F62" s="330" t="s">
        <v>583</v>
      </c>
      <c r="G62" s="330" t="s">
        <v>367</v>
      </c>
      <c r="H62" s="332">
        <v>1598885.17</v>
      </c>
      <c r="I62" s="329" t="s">
        <v>494</v>
      </c>
      <c r="J62" s="332">
        <v>10</v>
      </c>
      <c r="K62" s="332">
        <v>1</v>
      </c>
      <c r="L62" s="332">
        <v>13324.04</v>
      </c>
      <c r="M62" s="332">
        <v>13324.05</v>
      </c>
      <c r="N62" s="332">
        <v>13324.04</v>
      </c>
      <c r="O62" s="332">
        <v>13324.04</v>
      </c>
      <c r="P62" s="332">
        <v>13324.05</v>
      </c>
      <c r="Q62" s="332">
        <v>13324.04</v>
      </c>
      <c r="R62" s="332">
        <v>13324.04</v>
      </c>
      <c r="S62" s="332">
        <v>13324.05</v>
      </c>
      <c r="T62" s="332">
        <v>13324.04</v>
      </c>
      <c r="U62" s="332">
        <v>13324.04</v>
      </c>
      <c r="V62" s="332">
        <v>13324.05</v>
      </c>
      <c r="W62" s="332">
        <v>13324.04</v>
      </c>
      <c r="X62" s="332">
        <v>159888.51999999999</v>
      </c>
      <c r="Y62" s="332">
        <f t="shared" si="1"/>
        <v>159888.51999999999</v>
      </c>
      <c r="Z62" s="332">
        <f t="shared" si="19"/>
        <v>159888.51999999999</v>
      </c>
      <c r="AA62" s="332">
        <f t="shared" si="19"/>
        <v>159888.51999999999</v>
      </c>
      <c r="AB62" s="332">
        <f t="shared" si="19"/>
        <v>159888.51999999999</v>
      </c>
      <c r="AC62" s="332">
        <f t="shared" si="19"/>
        <v>159888.51999999999</v>
      </c>
      <c r="AD62" s="332">
        <f t="shared" si="19"/>
        <v>159888.51999999999</v>
      </c>
      <c r="AE62" s="332">
        <f t="shared" si="19"/>
        <v>159888.51999999999</v>
      </c>
      <c r="AF62" s="332">
        <f t="shared" si="19"/>
        <v>159888.51999999999</v>
      </c>
      <c r="AG62" s="332"/>
      <c r="AH62" s="332"/>
      <c r="AI62" s="332"/>
      <c r="AJ62" s="332"/>
      <c r="AK62" s="332"/>
      <c r="AL62" s="332"/>
      <c r="AM62" s="332"/>
    </row>
    <row r="63" spans="2:39" s="287" customFormat="1">
      <c r="B63" s="343">
        <v>61</v>
      </c>
      <c r="C63" s="343">
        <v>633</v>
      </c>
      <c r="D63" s="345" t="s">
        <v>610</v>
      </c>
      <c r="E63" s="331" t="s">
        <v>611</v>
      </c>
      <c r="F63" s="330" t="s">
        <v>583</v>
      </c>
      <c r="G63" s="330" t="s">
        <v>366</v>
      </c>
      <c r="H63" s="332">
        <v>82000</v>
      </c>
      <c r="I63" s="329" t="s">
        <v>494</v>
      </c>
      <c r="J63" s="332">
        <v>10</v>
      </c>
      <c r="K63" s="332">
        <v>1</v>
      </c>
      <c r="L63" s="332">
        <v>683.33</v>
      </c>
      <c r="M63" s="332">
        <v>683.34</v>
      </c>
      <c r="N63" s="332">
        <v>683.33</v>
      </c>
      <c r="O63" s="332">
        <v>683.33</v>
      </c>
      <c r="P63" s="332">
        <v>683.34</v>
      </c>
      <c r="Q63" s="332">
        <v>683.33</v>
      </c>
      <c r="R63" s="332">
        <v>683.33</v>
      </c>
      <c r="S63" s="332">
        <v>683.34</v>
      </c>
      <c r="T63" s="332">
        <v>683.33</v>
      </c>
      <c r="U63" s="332">
        <v>683.33</v>
      </c>
      <c r="V63" s="332">
        <v>683.34</v>
      </c>
      <c r="W63" s="332">
        <v>683.33</v>
      </c>
      <c r="X63" s="332">
        <v>8200</v>
      </c>
      <c r="Y63" s="332">
        <f t="shared" si="1"/>
        <v>8200</v>
      </c>
      <c r="Z63" s="332">
        <f t="shared" si="19"/>
        <v>8200</v>
      </c>
      <c r="AA63" s="332">
        <f t="shared" si="19"/>
        <v>8200</v>
      </c>
      <c r="AB63" s="332">
        <f t="shared" si="19"/>
        <v>8200</v>
      </c>
      <c r="AC63" s="332">
        <f t="shared" si="19"/>
        <v>8200</v>
      </c>
      <c r="AD63" s="332">
        <f t="shared" si="19"/>
        <v>8200</v>
      </c>
      <c r="AE63" s="332">
        <f t="shared" si="19"/>
        <v>8200</v>
      </c>
      <c r="AF63" s="332"/>
      <c r="AG63" s="332"/>
      <c r="AH63" s="332"/>
      <c r="AI63" s="332"/>
      <c r="AJ63" s="332"/>
      <c r="AK63" s="332"/>
      <c r="AL63" s="332"/>
      <c r="AM63" s="332"/>
    </row>
    <row r="64" spans="2:39" s="287" customFormat="1">
      <c r="B64" s="343">
        <v>62</v>
      </c>
      <c r="C64" s="343">
        <v>736</v>
      </c>
      <c r="D64" s="345" t="s">
        <v>612</v>
      </c>
      <c r="E64" s="331" t="s">
        <v>613</v>
      </c>
      <c r="F64" s="330" t="s">
        <v>583</v>
      </c>
      <c r="G64" s="330" t="s">
        <v>367</v>
      </c>
      <c r="H64" s="332">
        <v>127700</v>
      </c>
      <c r="I64" s="329" t="s">
        <v>494</v>
      </c>
      <c r="J64" s="332">
        <v>10</v>
      </c>
      <c r="K64" s="332">
        <v>1</v>
      </c>
      <c r="L64" s="332">
        <v>1064.17</v>
      </c>
      <c r="M64" s="332">
        <v>1064.1600000000001</v>
      </c>
      <c r="N64" s="332">
        <v>1064.17</v>
      </c>
      <c r="O64" s="332">
        <v>1064.17</v>
      </c>
      <c r="P64" s="332">
        <v>1064.1600000000001</v>
      </c>
      <c r="Q64" s="332">
        <v>1064.17</v>
      </c>
      <c r="R64" s="332">
        <v>1064.17</v>
      </c>
      <c r="S64" s="332">
        <v>1064.1600000000001</v>
      </c>
      <c r="T64" s="332">
        <v>1064.17</v>
      </c>
      <c r="U64" s="332">
        <v>1064.17</v>
      </c>
      <c r="V64" s="332">
        <v>1064.1600000000001</v>
      </c>
      <c r="W64" s="332">
        <v>1064.17</v>
      </c>
      <c r="X64" s="332">
        <v>12770</v>
      </c>
      <c r="Y64" s="332">
        <f t="shared" si="1"/>
        <v>12770</v>
      </c>
      <c r="Z64" s="332">
        <f t="shared" si="19"/>
        <v>12770</v>
      </c>
      <c r="AA64" s="332">
        <f t="shared" si="19"/>
        <v>12770</v>
      </c>
      <c r="AB64" s="332">
        <f t="shared" si="19"/>
        <v>12770</v>
      </c>
      <c r="AC64" s="332">
        <f t="shared" si="19"/>
        <v>12770</v>
      </c>
      <c r="AD64" s="332">
        <f t="shared" si="19"/>
        <v>12770</v>
      </c>
      <c r="AE64" s="332">
        <f t="shared" si="19"/>
        <v>12770</v>
      </c>
      <c r="AF64" s="332">
        <f t="shared" si="19"/>
        <v>12770</v>
      </c>
      <c r="AG64" s="332"/>
      <c r="AH64" s="332"/>
      <c r="AI64" s="332"/>
      <c r="AJ64" s="332"/>
      <c r="AK64" s="332"/>
      <c r="AL64" s="332"/>
      <c r="AM64" s="332"/>
    </row>
    <row r="65" spans="2:39" s="287" customFormat="1">
      <c r="B65" s="343">
        <v>63</v>
      </c>
      <c r="C65" s="343">
        <v>528</v>
      </c>
      <c r="D65" s="345" t="s">
        <v>614</v>
      </c>
      <c r="E65" s="331" t="s">
        <v>615</v>
      </c>
      <c r="F65" s="330" t="s">
        <v>583</v>
      </c>
      <c r="G65" s="330" t="s">
        <v>363</v>
      </c>
      <c r="H65" s="332">
        <v>15400</v>
      </c>
      <c r="I65" s="329" t="s">
        <v>494</v>
      </c>
      <c r="J65" s="332">
        <v>10</v>
      </c>
      <c r="K65" s="332">
        <v>1</v>
      </c>
      <c r="L65" s="332">
        <v>128.33000000000001</v>
      </c>
      <c r="M65" s="332">
        <v>128.34</v>
      </c>
      <c r="N65" s="332">
        <v>128.33000000000001</v>
      </c>
      <c r="O65" s="332">
        <v>128.33000000000001</v>
      </c>
      <c r="P65" s="332">
        <v>128.34</v>
      </c>
      <c r="Q65" s="332">
        <v>128.33000000000001</v>
      </c>
      <c r="R65" s="332">
        <v>128.33000000000001</v>
      </c>
      <c r="S65" s="332">
        <v>128.34</v>
      </c>
      <c r="T65" s="332">
        <v>128.33000000000001</v>
      </c>
      <c r="U65" s="332">
        <v>128.33000000000001</v>
      </c>
      <c r="V65" s="332">
        <v>128.34</v>
      </c>
      <c r="W65" s="332">
        <v>128.33000000000001</v>
      </c>
      <c r="X65" s="332">
        <v>1540</v>
      </c>
      <c r="Y65" s="332">
        <f t="shared" si="1"/>
        <v>1540</v>
      </c>
      <c r="Z65" s="332">
        <f t="shared" si="19"/>
        <v>1540</v>
      </c>
      <c r="AA65" s="332">
        <f t="shared" si="19"/>
        <v>1540</v>
      </c>
      <c r="AB65" s="332">
        <f t="shared" si="19"/>
        <v>1540</v>
      </c>
      <c r="AC65" s="332"/>
      <c r="AD65" s="332"/>
      <c r="AE65" s="332"/>
      <c r="AF65" s="332"/>
      <c r="AG65" s="332"/>
      <c r="AH65" s="332"/>
      <c r="AI65" s="332"/>
      <c r="AJ65" s="332"/>
      <c r="AK65" s="332"/>
      <c r="AL65" s="332"/>
      <c r="AM65" s="332"/>
    </row>
    <row r="66" spans="2:39" s="287" customFormat="1">
      <c r="B66" s="343">
        <v>64</v>
      </c>
      <c r="C66" s="343">
        <v>676</v>
      </c>
      <c r="D66" s="345" t="s">
        <v>616</v>
      </c>
      <c r="E66" s="331" t="s">
        <v>617</v>
      </c>
      <c r="F66" s="330" t="s">
        <v>583</v>
      </c>
      <c r="G66" s="330" t="s">
        <v>366</v>
      </c>
      <c r="H66" s="332">
        <v>10360.370000000001</v>
      </c>
      <c r="I66" s="329" t="s">
        <v>494</v>
      </c>
      <c r="J66" s="332">
        <v>10</v>
      </c>
      <c r="K66" s="332">
        <v>1</v>
      </c>
      <c r="L66" s="332">
        <v>86.34</v>
      </c>
      <c r="M66" s="332">
        <v>86.33</v>
      </c>
      <c r="N66" s="332">
        <v>86.34</v>
      </c>
      <c r="O66" s="332">
        <v>86.34</v>
      </c>
      <c r="P66" s="332">
        <v>86.33</v>
      </c>
      <c r="Q66" s="332">
        <v>86.34</v>
      </c>
      <c r="R66" s="332">
        <v>86.34</v>
      </c>
      <c r="S66" s="332">
        <v>86.33</v>
      </c>
      <c r="T66" s="332">
        <v>86.34</v>
      </c>
      <c r="U66" s="332">
        <v>86.34</v>
      </c>
      <c r="V66" s="332">
        <v>86.33</v>
      </c>
      <c r="W66" s="332">
        <v>86.34</v>
      </c>
      <c r="X66" s="332">
        <v>1036.04</v>
      </c>
      <c r="Y66" s="332">
        <f t="shared" si="1"/>
        <v>1036.04</v>
      </c>
      <c r="Z66" s="332">
        <f t="shared" si="19"/>
        <v>1036.04</v>
      </c>
      <c r="AA66" s="332">
        <f t="shared" si="19"/>
        <v>1036.04</v>
      </c>
      <c r="AB66" s="332">
        <f t="shared" si="19"/>
        <v>1036.04</v>
      </c>
      <c r="AC66" s="332">
        <f t="shared" si="19"/>
        <v>1036.04</v>
      </c>
      <c r="AD66" s="332">
        <f t="shared" si="19"/>
        <v>1036.04</v>
      </c>
      <c r="AE66" s="332">
        <f t="shared" si="19"/>
        <v>1036.04</v>
      </c>
      <c r="AF66" s="332"/>
      <c r="AG66" s="332"/>
      <c r="AH66" s="332"/>
      <c r="AI66" s="332"/>
      <c r="AJ66" s="332"/>
      <c r="AK66" s="332"/>
      <c r="AL66" s="332"/>
      <c r="AM66" s="332"/>
    </row>
    <row r="67" spans="2:39" s="287" customFormat="1">
      <c r="B67" s="343">
        <v>65</v>
      </c>
      <c r="C67" s="343">
        <v>529</v>
      </c>
      <c r="D67" s="345" t="s">
        <v>618</v>
      </c>
      <c r="E67" s="331" t="s">
        <v>619</v>
      </c>
      <c r="F67" s="330" t="s">
        <v>583</v>
      </c>
      <c r="G67" s="330"/>
      <c r="H67" s="332">
        <v>11500</v>
      </c>
      <c r="I67" s="329" t="s">
        <v>494</v>
      </c>
      <c r="J67" s="332">
        <v>4.5</v>
      </c>
      <c r="K67" s="332">
        <v>1</v>
      </c>
      <c r="L67" s="332">
        <v>43.13</v>
      </c>
      <c r="M67" s="332">
        <v>43.12</v>
      </c>
      <c r="N67" s="332">
        <v>43.13</v>
      </c>
      <c r="O67" s="332">
        <v>43.12</v>
      </c>
      <c r="P67" s="332">
        <v>43.13</v>
      </c>
      <c r="Q67" s="332">
        <v>43.12</v>
      </c>
      <c r="R67" s="332">
        <v>43.13</v>
      </c>
      <c r="S67" s="332">
        <v>43.12</v>
      </c>
      <c r="T67" s="332">
        <v>43.13</v>
      </c>
      <c r="U67" s="332">
        <v>43.12</v>
      </c>
      <c r="V67" s="332">
        <v>43.13</v>
      </c>
      <c r="W67" s="332">
        <v>43.12</v>
      </c>
      <c r="X67" s="332">
        <v>517.5</v>
      </c>
      <c r="Y67" s="332">
        <f t="shared" si="1"/>
        <v>517.5</v>
      </c>
      <c r="Z67" s="332">
        <f t="shared" si="19"/>
        <v>517.5</v>
      </c>
      <c r="AA67" s="332">
        <f t="shared" si="19"/>
        <v>517.5</v>
      </c>
      <c r="AB67" s="332">
        <f t="shared" si="19"/>
        <v>517.5</v>
      </c>
      <c r="AC67" s="332">
        <f t="shared" si="19"/>
        <v>517.5</v>
      </c>
      <c r="AD67" s="332">
        <f t="shared" si="19"/>
        <v>517.5</v>
      </c>
      <c r="AE67" s="332">
        <f t="shared" si="19"/>
        <v>517.5</v>
      </c>
      <c r="AF67" s="332">
        <f t="shared" si="19"/>
        <v>517.5</v>
      </c>
      <c r="AG67" s="332">
        <f t="shared" si="19"/>
        <v>517.5</v>
      </c>
      <c r="AH67" s="332">
        <f t="shared" si="19"/>
        <v>517.5</v>
      </c>
      <c r="AI67" s="332">
        <f t="shared" si="19"/>
        <v>517.5</v>
      </c>
      <c r="AJ67" s="332">
        <f t="shared" ref="AJ67" si="20">AI67</f>
        <v>517.5</v>
      </c>
      <c r="AK67" s="332">
        <f t="shared" ref="AK67" si="21">AJ67</f>
        <v>517.5</v>
      </c>
      <c r="AL67" s="332">
        <f t="shared" ref="AL67:AM67" si="22">AK67</f>
        <v>517.5</v>
      </c>
      <c r="AM67" s="332">
        <f t="shared" si="22"/>
        <v>517.5</v>
      </c>
    </row>
    <row r="68" spans="2:39" s="287" customFormat="1">
      <c r="B68" s="343">
        <v>66</v>
      </c>
      <c r="C68" s="343">
        <v>679</v>
      </c>
      <c r="D68" s="345" t="s">
        <v>620</v>
      </c>
      <c r="E68" s="331" t="s">
        <v>621</v>
      </c>
      <c r="F68" s="330" t="s">
        <v>583</v>
      </c>
      <c r="G68" s="330" t="s">
        <v>366</v>
      </c>
      <c r="H68" s="332">
        <v>118877.66</v>
      </c>
      <c r="I68" s="329" t="s">
        <v>494</v>
      </c>
      <c r="J68" s="332">
        <v>10</v>
      </c>
      <c r="K68" s="332">
        <v>1</v>
      </c>
      <c r="L68" s="332">
        <v>990.65</v>
      </c>
      <c r="M68" s="332">
        <v>990.65</v>
      </c>
      <c r="N68" s="332">
        <v>990.64</v>
      </c>
      <c r="O68" s="332">
        <v>990.65</v>
      </c>
      <c r="P68" s="332">
        <v>990.65</v>
      </c>
      <c r="Q68" s="332">
        <v>990.65</v>
      </c>
      <c r="R68" s="332">
        <v>990.64</v>
      </c>
      <c r="S68" s="332">
        <v>990.65</v>
      </c>
      <c r="T68" s="332">
        <v>990.65</v>
      </c>
      <c r="U68" s="332">
        <v>990.65</v>
      </c>
      <c r="V68" s="332">
        <v>990.64</v>
      </c>
      <c r="W68" s="332">
        <v>990.65</v>
      </c>
      <c r="X68" s="332">
        <v>11887.77</v>
      </c>
      <c r="Y68" s="332">
        <f t="shared" ref="Y68:AE76" si="23">X68</f>
        <v>11887.77</v>
      </c>
      <c r="Z68" s="332">
        <f t="shared" si="23"/>
        <v>11887.77</v>
      </c>
      <c r="AA68" s="332">
        <f t="shared" si="23"/>
        <v>11887.77</v>
      </c>
      <c r="AB68" s="332">
        <f t="shared" si="23"/>
        <v>11887.77</v>
      </c>
      <c r="AC68" s="332">
        <f t="shared" si="23"/>
        <v>11887.77</v>
      </c>
      <c r="AD68" s="332">
        <f t="shared" si="23"/>
        <v>11887.77</v>
      </c>
      <c r="AE68" s="332">
        <f t="shared" si="23"/>
        <v>11887.77</v>
      </c>
      <c r="AF68" s="332"/>
      <c r="AG68" s="332"/>
      <c r="AH68" s="332"/>
      <c r="AI68" s="332"/>
      <c r="AJ68" s="332"/>
      <c r="AK68" s="332"/>
      <c r="AL68" s="332"/>
      <c r="AM68" s="332"/>
    </row>
    <row r="69" spans="2:39" s="287" customFormat="1">
      <c r="B69" s="343">
        <v>67</v>
      </c>
      <c r="C69" s="343">
        <v>583</v>
      </c>
      <c r="D69" s="345" t="s">
        <v>622</v>
      </c>
      <c r="E69" s="331" t="s">
        <v>623</v>
      </c>
      <c r="F69" s="330" t="s">
        <v>624</v>
      </c>
      <c r="G69" s="330" t="s">
        <v>361</v>
      </c>
      <c r="H69" s="332">
        <v>362740</v>
      </c>
      <c r="I69" s="329" t="s">
        <v>494</v>
      </c>
      <c r="J69" s="332">
        <v>14</v>
      </c>
      <c r="K69" s="332">
        <v>1</v>
      </c>
      <c r="L69" s="332">
        <v>4231.97</v>
      </c>
      <c r="M69" s="332">
        <v>4231.96</v>
      </c>
      <c r="N69" s="332">
        <v>4231.97</v>
      </c>
      <c r="O69" s="332">
        <v>4231.97</v>
      </c>
      <c r="P69" s="332">
        <v>4231.96</v>
      </c>
      <c r="Q69" s="332">
        <v>4231.97</v>
      </c>
      <c r="R69" s="332">
        <v>4231.97</v>
      </c>
      <c r="S69" s="332">
        <v>4231.96</v>
      </c>
      <c r="T69" s="332">
        <v>4231.97</v>
      </c>
      <c r="U69" s="332">
        <v>4231.97</v>
      </c>
      <c r="V69" s="332">
        <v>4231.96</v>
      </c>
      <c r="W69" s="332">
        <v>4231.97</v>
      </c>
      <c r="X69" s="332">
        <v>50783.6</v>
      </c>
      <c r="Y69" s="332">
        <f t="shared" si="23"/>
        <v>50783.6</v>
      </c>
      <c r="Z69" s="332">
        <f t="shared" si="23"/>
        <v>50783.6</v>
      </c>
      <c r="AA69" s="332"/>
      <c r="AB69" s="332"/>
      <c r="AC69" s="332"/>
      <c r="AD69" s="332"/>
      <c r="AE69" s="332"/>
      <c r="AF69" s="332"/>
      <c r="AG69" s="332"/>
      <c r="AH69" s="332"/>
      <c r="AI69" s="332"/>
      <c r="AJ69" s="332"/>
      <c r="AK69" s="332"/>
      <c r="AL69" s="332"/>
      <c r="AM69" s="332"/>
    </row>
    <row r="70" spans="2:39" s="287" customFormat="1">
      <c r="B70" s="343">
        <v>68</v>
      </c>
      <c r="C70" s="343">
        <v>703</v>
      </c>
      <c r="D70" s="345" t="s">
        <v>625</v>
      </c>
      <c r="E70" s="331" t="s">
        <v>626</v>
      </c>
      <c r="F70" s="330" t="s">
        <v>624</v>
      </c>
      <c r="G70" s="330" t="s">
        <v>363</v>
      </c>
      <c r="H70" s="332">
        <v>45300</v>
      </c>
      <c r="I70" s="329" t="s">
        <v>494</v>
      </c>
      <c r="J70" s="332">
        <v>18</v>
      </c>
      <c r="K70" s="332">
        <v>1</v>
      </c>
      <c r="L70" s="332">
        <v>679.5</v>
      </c>
      <c r="M70" s="332">
        <v>679.5</v>
      </c>
      <c r="N70" s="332">
        <v>679.5</v>
      </c>
      <c r="O70" s="332">
        <v>679.5</v>
      </c>
      <c r="P70" s="332">
        <v>679.5</v>
      </c>
      <c r="Q70" s="332">
        <v>679.5</v>
      </c>
      <c r="R70" s="332">
        <v>679.5</v>
      </c>
      <c r="S70" s="332">
        <v>679.5</v>
      </c>
      <c r="T70" s="332">
        <v>679.5</v>
      </c>
      <c r="U70" s="332">
        <v>679.5</v>
      </c>
      <c r="V70" s="332">
        <v>679.5</v>
      </c>
      <c r="W70" s="332">
        <v>679.5</v>
      </c>
      <c r="X70" s="332">
        <v>8154</v>
      </c>
      <c r="Y70" s="332">
        <f t="shared" si="23"/>
        <v>8154</v>
      </c>
      <c r="Z70" s="332">
        <f t="shared" si="23"/>
        <v>8154</v>
      </c>
      <c r="AA70" s="332">
        <f t="shared" si="23"/>
        <v>8154</v>
      </c>
      <c r="AB70" s="332">
        <f t="shared" si="23"/>
        <v>8154</v>
      </c>
      <c r="AC70" s="332"/>
      <c r="AD70" s="332"/>
      <c r="AE70" s="332"/>
      <c r="AF70" s="332"/>
      <c r="AG70" s="332"/>
      <c r="AH70" s="332"/>
      <c r="AI70" s="332"/>
      <c r="AJ70" s="332"/>
      <c r="AK70" s="332"/>
      <c r="AL70" s="332"/>
      <c r="AM70" s="332"/>
    </row>
    <row r="71" spans="2:39" s="287" customFormat="1">
      <c r="B71" s="343">
        <v>69</v>
      </c>
      <c r="C71" s="343">
        <v>582</v>
      </c>
      <c r="D71" s="345" t="s">
        <v>627</v>
      </c>
      <c r="E71" s="331" t="s">
        <v>628</v>
      </c>
      <c r="F71" s="330" t="s">
        <v>624</v>
      </c>
      <c r="G71" s="330" t="s">
        <v>361</v>
      </c>
      <c r="H71" s="332">
        <v>249000</v>
      </c>
      <c r="I71" s="329" t="s">
        <v>494</v>
      </c>
      <c r="J71" s="332">
        <v>14</v>
      </c>
      <c r="K71" s="332">
        <v>1</v>
      </c>
      <c r="L71" s="332">
        <v>2905</v>
      </c>
      <c r="M71" s="332">
        <v>2905</v>
      </c>
      <c r="N71" s="332">
        <v>2905</v>
      </c>
      <c r="O71" s="332">
        <v>2905</v>
      </c>
      <c r="P71" s="332">
        <v>2905</v>
      </c>
      <c r="Q71" s="332">
        <v>2905</v>
      </c>
      <c r="R71" s="332">
        <v>2905</v>
      </c>
      <c r="S71" s="332">
        <v>2905</v>
      </c>
      <c r="T71" s="332">
        <v>2905</v>
      </c>
      <c r="U71" s="332">
        <v>2905</v>
      </c>
      <c r="V71" s="332">
        <v>2905</v>
      </c>
      <c r="W71" s="332">
        <v>2905</v>
      </c>
      <c r="X71" s="332">
        <v>34860</v>
      </c>
      <c r="Y71" s="332">
        <f t="shared" si="23"/>
        <v>34860</v>
      </c>
      <c r="Z71" s="332">
        <f t="shared" si="23"/>
        <v>34860</v>
      </c>
      <c r="AA71" s="332"/>
      <c r="AB71" s="332"/>
      <c r="AC71" s="332"/>
      <c r="AD71" s="332"/>
      <c r="AE71" s="332"/>
      <c r="AF71" s="332"/>
      <c r="AG71" s="332"/>
      <c r="AH71" s="332"/>
      <c r="AI71" s="332"/>
      <c r="AJ71" s="332"/>
      <c r="AK71" s="332"/>
      <c r="AL71" s="332"/>
      <c r="AM71" s="332"/>
    </row>
    <row r="72" spans="2:39" s="287" customFormat="1">
      <c r="B72" s="343">
        <v>70</v>
      </c>
      <c r="C72" s="343">
        <v>666</v>
      </c>
      <c r="D72" s="345" t="s">
        <v>629</v>
      </c>
      <c r="E72" s="331" t="s">
        <v>630</v>
      </c>
      <c r="F72" s="330" t="s">
        <v>631</v>
      </c>
      <c r="G72" s="330" t="s">
        <v>361</v>
      </c>
      <c r="H72" s="332">
        <v>9477.67</v>
      </c>
      <c r="I72" s="329" t="s">
        <v>494</v>
      </c>
      <c r="J72" s="332">
        <v>20</v>
      </c>
      <c r="K72" s="332">
        <v>1</v>
      </c>
      <c r="L72" s="332">
        <v>157.96</v>
      </c>
      <c r="M72" s="332">
        <v>157.96</v>
      </c>
      <c r="N72" s="332">
        <v>157.96</v>
      </c>
      <c r="O72" s="332">
        <v>157.96</v>
      </c>
      <c r="P72" s="332">
        <v>157.96</v>
      </c>
      <c r="Q72" s="332">
        <v>157.97</v>
      </c>
      <c r="R72" s="332">
        <v>157.96</v>
      </c>
      <c r="S72" s="332">
        <v>157.96</v>
      </c>
      <c r="T72" s="332">
        <v>157.96</v>
      </c>
      <c r="U72" s="332">
        <v>157.96</v>
      </c>
      <c r="V72" s="332">
        <v>157.96</v>
      </c>
      <c r="W72" s="332">
        <v>157.96</v>
      </c>
      <c r="X72" s="332">
        <v>1895.53</v>
      </c>
      <c r="Y72" s="332">
        <f t="shared" si="23"/>
        <v>1895.53</v>
      </c>
      <c r="Z72" s="332">
        <f t="shared" si="23"/>
        <v>1895.53</v>
      </c>
      <c r="AA72" s="332"/>
      <c r="AB72" s="332"/>
      <c r="AC72" s="332"/>
      <c r="AD72" s="332"/>
      <c r="AE72" s="332"/>
      <c r="AF72" s="332"/>
      <c r="AG72" s="332"/>
      <c r="AH72" s="332"/>
      <c r="AI72" s="332"/>
      <c r="AJ72" s="332"/>
      <c r="AK72" s="332"/>
      <c r="AL72" s="332"/>
      <c r="AM72" s="332"/>
    </row>
    <row r="73" spans="2:39" s="287" customFormat="1">
      <c r="B73" s="343">
        <v>71</v>
      </c>
      <c r="C73" s="343">
        <v>667</v>
      </c>
      <c r="D73" s="345" t="s">
        <v>632</v>
      </c>
      <c r="E73" s="331" t="s">
        <v>633</v>
      </c>
      <c r="F73" s="330" t="s">
        <v>631</v>
      </c>
      <c r="G73" s="330" t="s">
        <v>361</v>
      </c>
      <c r="H73" s="332">
        <v>51727.5</v>
      </c>
      <c r="I73" s="329" t="s">
        <v>494</v>
      </c>
      <c r="J73" s="332">
        <v>20</v>
      </c>
      <c r="K73" s="332">
        <v>1</v>
      </c>
      <c r="L73" s="332">
        <v>862.13</v>
      </c>
      <c r="M73" s="332">
        <v>862.12</v>
      </c>
      <c r="N73" s="332">
        <v>862.13</v>
      </c>
      <c r="O73" s="332">
        <v>862.12</v>
      </c>
      <c r="P73" s="332">
        <v>862.13</v>
      </c>
      <c r="Q73" s="332">
        <v>862.12</v>
      </c>
      <c r="R73" s="332">
        <v>862.13</v>
      </c>
      <c r="S73" s="332">
        <v>862.12</v>
      </c>
      <c r="T73" s="332">
        <v>862.13</v>
      </c>
      <c r="U73" s="332">
        <v>862.12</v>
      </c>
      <c r="V73" s="332">
        <v>862.13</v>
      </c>
      <c r="W73" s="332">
        <v>862.12</v>
      </c>
      <c r="X73" s="332">
        <v>10345.5</v>
      </c>
      <c r="Y73" s="332">
        <f t="shared" si="23"/>
        <v>10345.5</v>
      </c>
      <c r="Z73" s="332">
        <f t="shared" si="23"/>
        <v>10345.5</v>
      </c>
      <c r="AA73" s="332"/>
      <c r="AB73" s="332"/>
      <c r="AC73" s="332"/>
      <c r="AD73" s="332"/>
      <c r="AE73" s="332"/>
      <c r="AF73" s="332"/>
      <c r="AG73" s="332"/>
      <c r="AH73" s="332"/>
      <c r="AI73" s="332"/>
      <c r="AJ73" s="332"/>
      <c r="AK73" s="332"/>
      <c r="AL73" s="332"/>
      <c r="AM73" s="332"/>
    </row>
    <row r="74" spans="2:39" s="287" customFormat="1">
      <c r="B74" s="343">
        <v>72</v>
      </c>
      <c r="C74" s="343">
        <v>682</v>
      </c>
      <c r="D74" s="345" t="s">
        <v>634</v>
      </c>
      <c r="E74" s="331" t="s">
        <v>635</v>
      </c>
      <c r="F74" s="330" t="s">
        <v>631</v>
      </c>
      <c r="G74" s="330" t="s">
        <v>361</v>
      </c>
      <c r="H74" s="332">
        <v>74162.210000000006</v>
      </c>
      <c r="I74" s="329" t="s">
        <v>494</v>
      </c>
      <c r="J74" s="332">
        <v>20</v>
      </c>
      <c r="K74" s="332">
        <v>1</v>
      </c>
      <c r="L74" s="332">
        <v>1236.04</v>
      </c>
      <c r="M74" s="332">
        <v>1236.03</v>
      </c>
      <c r="N74" s="332">
        <v>1236.04</v>
      </c>
      <c r="O74" s="332">
        <v>1236.04</v>
      </c>
      <c r="P74" s="332">
        <v>1236.03</v>
      </c>
      <c r="Q74" s="332">
        <v>1236.04</v>
      </c>
      <c r="R74" s="332">
        <v>1236.04</v>
      </c>
      <c r="S74" s="332">
        <v>1236.03</v>
      </c>
      <c r="T74" s="332">
        <v>1236.04</v>
      </c>
      <c r="U74" s="332">
        <v>1236.04</v>
      </c>
      <c r="V74" s="332">
        <v>1236.03</v>
      </c>
      <c r="W74" s="332">
        <v>1236.04</v>
      </c>
      <c r="X74" s="332">
        <v>14832.44</v>
      </c>
      <c r="Y74" s="332">
        <f t="shared" si="23"/>
        <v>14832.44</v>
      </c>
      <c r="Z74" s="332">
        <f t="shared" si="23"/>
        <v>14832.44</v>
      </c>
      <c r="AA74" s="332"/>
      <c r="AB74" s="332"/>
      <c r="AC74" s="332"/>
      <c r="AD74" s="332"/>
      <c r="AE74" s="332"/>
      <c r="AF74" s="332"/>
      <c r="AG74" s="332"/>
      <c r="AH74" s="332"/>
      <c r="AI74" s="332"/>
      <c r="AJ74" s="332"/>
      <c r="AK74" s="332"/>
      <c r="AL74" s="332"/>
      <c r="AM74" s="332"/>
    </row>
    <row r="75" spans="2:39" s="287" customFormat="1">
      <c r="B75" s="343">
        <v>73</v>
      </c>
      <c r="C75" s="343">
        <v>748</v>
      </c>
      <c r="D75" s="345" t="s">
        <v>636</v>
      </c>
      <c r="E75" s="331" t="s">
        <v>637</v>
      </c>
      <c r="F75" s="330" t="s">
        <v>631</v>
      </c>
      <c r="G75" s="330" t="s">
        <v>363</v>
      </c>
      <c r="H75" s="332">
        <v>82500</v>
      </c>
      <c r="I75" s="329" t="s">
        <v>494</v>
      </c>
      <c r="J75" s="332">
        <v>20</v>
      </c>
      <c r="K75" s="332">
        <v>1</v>
      </c>
      <c r="L75" s="332">
        <v>1375</v>
      </c>
      <c r="M75" s="332">
        <v>1375</v>
      </c>
      <c r="N75" s="332">
        <v>1375</v>
      </c>
      <c r="O75" s="332">
        <v>1375</v>
      </c>
      <c r="P75" s="332">
        <v>1375</v>
      </c>
      <c r="Q75" s="332">
        <v>1375</v>
      </c>
      <c r="R75" s="332">
        <v>1375</v>
      </c>
      <c r="S75" s="332">
        <v>1375</v>
      </c>
      <c r="T75" s="332">
        <v>1375</v>
      </c>
      <c r="U75" s="332">
        <v>1375</v>
      </c>
      <c r="V75" s="332">
        <v>1375</v>
      </c>
      <c r="W75" s="332">
        <v>1375</v>
      </c>
      <c r="X75" s="332">
        <v>16500</v>
      </c>
      <c r="Y75" s="332">
        <f t="shared" si="23"/>
        <v>16500</v>
      </c>
      <c r="Z75" s="332">
        <f t="shared" si="23"/>
        <v>16500</v>
      </c>
      <c r="AA75" s="332">
        <f t="shared" si="23"/>
        <v>16500</v>
      </c>
      <c r="AB75" s="332">
        <f t="shared" si="23"/>
        <v>16500</v>
      </c>
      <c r="AC75" s="332"/>
      <c r="AD75" s="332"/>
      <c r="AE75" s="332"/>
      <c r="AF75" s="332"/>
      <c r="AG75" s="332"/>
      <c r="AH75" s="332"/>
      <c r="AI75" s="332"/>
      <c r="AJ75" s="332"/>
      <c r="AK75" s="332"/>
      <c r="AL75" s="332"/>
      <c r="AM75" s="332"/>
    </row>
    <row r="76" spans="2:39" s="287" customFormat="1">
      <c r="B76" s="343">
        <v>74</v>
      </c>
      <c r="C76" s="343">
        <v>516</v>
      </c>
      <c r="D76" s="345" t="s">
        <v>638</v>
      </c>
      <c r="E76" s="331" t="s">
        <v>639</v>
      </c>
      <c r="F76" s="330" t="s">
        <v>631</v>
      </c>
      <c r="G76" s="330" t="s">
        <v>363</v>
      </c>
      <c r="H76" s="332">
        <v>24800</v>
      </c>
      <c r="I76" s="329" t="s">
        <v>494</v>
      </c>
      <c r="J76" s="332">
        <v>10</v>
      </c>
      <c r="K76" s="332">
        <v>1</v>
      </c>
      <c r="L76" s="332">
        <v>206.67</v>
      </c>
      <c r="M76" s="332">
        <v>206.66</v>
      </c>
      <c r="N76" s="332">
        <v>206.67</v>
      </c>
      <c r="O76" s="332">
        <v>206.67</v>
      </c>
      <c r="P76" s="332">
        <v>206.66</v>
      </c>
      <c r="Q76" s="332">
        <v>206.67</v>
      </c>
      <c r="R76" s="332">
        <v>206.67</v>
      </c>
      <c r="S76" s="332">
        <v>206.66</v>
      </c>
      <c r="T76" s="332">
        <v>206.67</v>
      </c>
      <c r="U76" s="332">
        <v>206.67</v>
      </c>
      <c r="V76" s="332">
        <v>206.66</v>
      </c>
      <c r="W76" s="332">
        <v>206.67</v>
      </c>
      <c r="X76" s="332">
        <v>2480</v>
      </c>
      <c r="Y76" s="332">
        <f t="shared" si="23"/>
        <v>2480</v>
      </c>
      <c r="Z76" s="332">
        <f t="shared" si="23"/>
        <v>2480</v>
      </c>
      <c r="AA76" s="332">
        <f t="shared" si="23"/>
        <v>2480</v>
      </c>
      <c r="AB76" s="332">
        <f t="shared" si="23"/>
        <v>2480</v>
      </c>
      <c r="AC76" s="332"/>
      <c r="AD76" s="332"/>
      <c r="AE76" s="332"/>
      <c r="AF76" s="332"/>
      <c r="AG76" s="332"/>
      <c r="AH76" s="332"/>
      <c r="AI76" s="332"/>
      <c r="AJ76" s="332"/>
      <c r="AK76" s="332"/>
      <c r="AL76" s="332"/>
      <c r="AM76" s="332"/>
    </row>
    <row r="77" spans="2:39" s="287" customFormat="1">
      <c r="B77" s="343">
        <v>75</v>
      </c>
      <c r="C77" s="343">
        <v>564</v>
      </c>
      <c r="D77" s="345" t="s">
        <v>638</v>
      </c>
      <c r="E77" s="331" t="s">
        <v>640</v>
      </c>
      <c r="F77" s="330" t="s">
        <v>631</v>
      </c>
      <c r="G77" s="330" t="s">
        <v>323</v>
      </c>
      <c r="H77" s="332">
        <v>11000</v>
      </c>
      <c r="I77" s="329" t="s">
        <v>494</v>
      </c>
      <c r="J77" s="332">
        <v>20</v>
      </c>
      <c r="K77" s="332">
        <v>1</v>
      </c>
      <c r="L77" s="332">
        <v>183.33</v>
      </c>
      <c r="M77" s="332">
        <v>183.34</v>
      </c>
      <c r="N77" s="332"/>
      <c r="O77" s="332"/>
      <c r="P77" s="332"/>
      <c r="Q77" s="332"/>
      <c r="R77" s="332"/>
      <c r="S77" s="332"/>
      <c r="T77" s="332"/>
      <c r="U77" s="332"/>
      <c r="V77" s="332"/>
      <c r="W77" s="332"/>
      <c r="X77" s="332">
        <v>366.67</v>
      </c>
      <c r="Y77" s="332"/>
      <c r="Z77" s="332"/>
      <c r="AA77" s="332"/>
      <c r="AB77" s="332"/>
      <c r="AC77" s="332"/>
      <c r="AD77" s="332"/>
      <c r="AE77" s="332"/>
      <c r="AF77" s="332"/>
      <c r="AG77" s="332"/>
      <c r="AH77" s="332"/>
      <c r="AI77" s="332"/>
      <c r="AJ77" s="332"/>
      <c r="AK77" s="332"/>
      <c r="AL77" s="332"/>
      <c r="AM77" s="332"/>
    </row>
    <row r="78" spans="2:39" s="287" customFormat="1">
      <c r="B78" s="343">
        <v>76</v>
      </c>
      <c r="C78" s="343">
        <v>565</v>
      </c>
      <c r="D78" s="345" t="s">
        <v>638</v>
      </c>
      <c r="E78" s="331" t="s">
        <v>641</v>
      </c>
      <c r="F78" s="330" t="s">
        <v>631</v>
      </c>
      <c r="G78" s="330" t="s">
        <v>323</v>
      </c>
      <c r="H78" s="332">
        <v>17300</v>
      </c>
      <c r="I78" s="329" t="s">
        <v>494</v>
      </c>
      <c r="J78" s="332">
        <v>20</v>
      </c>
      <c r="K78" s="332">
        <v>1</v>
      </c>
      <c r="L78" s="332">
        <v>288.33</v>
      </c>
      <c r="M78" s="332">
        <v>288.33999999999997</v>
      </c>
      <c r="N78" s="332"/>
      <c r="O78" s="332"/>
      <c r="P78" s="332"/>
      <c r="Q78" s="332"/>
      <c r="R78" s="332"/>
      <c r="S78" s="332"/>
      <c r="T78" s="332"/>
      <c r="U78" s="332"/>
      <c r="V78" s="332"/>
      <c r="W78" s="332"/>
      <c r="X78" s="332">
        <v>576.66999999999996</v>
      </c>
      <c r="Y78" s="332"/>
      <c r="Z78" s="332"/>
      <c r="AA78" s="332"/>
      <c r="AB78" s="332"/>
      <c r="AC78" s="332"/>
      <c r="AD78" s="332"/>
      <c r="AE78" s="332"/>
      <c r="AF78" s="332"/>
      <c r="AG78" s="332"/>
      <c r="AH78" s="332"/>
      <c r="AI78" s="332"/>
      <c r="AJ78" s="332"/>
      <c r="AK78" s="332"/>
      <c r="AL78" s="332"/>
      <c r="AM78" s="332"/>
    </row>
    <row r="79" spans="2:39" s="287" customFormat="1">
      <c r="B79" s="343">
        <v>77</v>
      </c>
      <c r="C79" s="343">
        <v>579</v>
      </c>
      <c r="D79" s="345" t="s">
        <v>642</v>
      </c>
      <c r="E79" s="331" t="s">
        <v>643</v>
      </c>
      <c r="F79" s="330" t="s">
        <v>631</v>
      </c>
      <c r="G79" s="330" t="s">
        <v>323</v>
      </c>
      <c r="H79" s="332">
        <v>6663.92</v>
      </c>
      <c r="I79" s="329" t="s">
        <v>494</v>
      </c>
      <c r="J79" s="332">
        <v>20</v>
      </c>
      <c r="K79" s="332">
        <v>1</v>
      </c>
      <c r="L79" s="332">
        <v>111.07</v>
      </c>
      <c r="M79" s="332">
        <v>111.06</v>
      </c>
      <c r="N79" s="332">
        <v>111.07</v>
      </c>
      <c r="O79" s="332">
        <v>111.06</v>
      </c>
      <c r="P79" s="332">
        <v>111.07</v>
      </c>
      <c r="Q79" s="332">
        <v>111.06</v>
      </c>
      <c r="R79" s="332">
        <v>111.07</v>
      </c>
      <c r="S79" s="332">
        <v>111.08</v>
      </c>
      <c r="T79" s="332"/>
      <c r="U79" s="332"/>
      <c r="V79" s="332"/>
      <c r="W79" s="332"/>
      <c r="X79" s="332">
        <v>888.54</v>
      </c>
      <c r="Y79" s="332"/>
      <c r="Z79" s="332"/>
      <c r="AA79" s="332"/>
      <c r="AB79" s="332"/>
      <c r="AC79" s="332"/>
      <c r="AD79" s="332"/>
      <c r="AE79" s="332"/>
      <c r="AF79" s="332"/>
      <c r="AG79" s="332"/>
      <c r="AH79" s="332"/>
      <c r="AI79" s="332"/>
      <c r="AJ79" s="332"/>
      <c r="AK79" s="332"/>
      <c r="AL79" s="332"/>
      <c r="AM79" s="332"/>
    </row>
    <row r="80" spans="2:39" s="287" customFormat="1">
      <c r="B80" s="343">
        <v>78</v>
      </c>
      <c r="C80" s="343">
        <v>634</v>
      </c>
      <c r="D80" s="345" t="s">
        <v>644</v>
      </c>
      <c r="E80" s="331" t="s">
        <v>645</v>
      </c>
      <c r="F80" s="330" t="s">
        <v>631</v>
      </c>
      <c r="G80" s="330" t="s">
        <v>361</v>
      </c>
      <c r="H80" s="332">
        <v>54000</v>
      </c>
      <c r="I80" s="329" t="s">
        <v>494</v>
      </c>
      <c r="J80" s="332">
        <v>20</v>
      </c>
      <c r="K80" s="332">
        <v>1</v>
      </c>
      <c r="L80" s="332">
        <v>900</v>
      </c>
      <c r="M80" s="332">
        <v>900</v>
      </c>
      <c r="N80" s="332">
        <v>900</v>
      </c>
      <c r="O80" s="332">
        <v>900</v>
      </c>
      <c r="P80" s="332">
        <v>900</v>
      </c>
      <c r="Q80" s="332">
        <v>900</v>
      </c>
      <c r="R80" s="332">
        <v>900</v>
      </c>
      <c r="S80" s="332">
        <v>900</v>
      </c>
      <c r="T80" s="332">
        <v>900</v>
      </c>
      <c r="U80" s="332">
        <v>900</v>
      </c>
      <c r="V80" s="332">
        <v>900</v>
      </c>
      <c r="W80" s="332">
        <v>900</v>
      </c>
      <c r="X80" s="332">
        <v>10800</v>
      </c>
      <c r="Y80" s="332">
        <f>X80</f>
        <v>10800</v>
      </c>
      <c r="Z80" s="332">
        <f t="shared" ref="Z80" si="24">Y80</f>
        <v>10800</v>
      </c>
      <c r="AA80" s="332"/>
      <c r="AB80" s="332"/>
      <c r="AC80" s="332"/>
      <c r="AD80" s="332"/>
      <c r="AE80" s="332"/>
      <c r="AF80" s="332"/>
      <c r="AG80" s="332"/>
      <c r="AH80" s="332"/>
      <c r="AI80" s="332"/>
      <c r="AJ80" s="332"/>
      <c r="AK80" s="332"/>
      <c r="AL80" s="332"/>
      <c r="AM80" s="332"/>
    </row>
    <row r="81" spans="2:39" s="287" customFormat="1">
      <c r="B81" s="343">
        <v>79</v>
      </c>
      <c r="C81" s="343">
        <v>639</v>
      </c>
      <c r="D81" s="345" t="s">
        <v>646</v>
      </c>
      <c r="E81" s="331" t="s">
        <v>647</v>
      </c>
      <c r="F81" s="330" t="s">
        <v>631</v>
      </c>
      <c r="G81" s="330" t="s">
        <v>361</v>
      </c>
      <c r="H81" s="332">
        <v>32811.47</v>
      </c>
      <c r="I81" s="329" t="s">
        <v>494</v>
      </c>
      <c r="J81" s="332">
        <v>20</v>
      </c>
      <c r="K81" s="332">
        <v>1</v>
      </c>
      <c r="L81" s="332">
        <v>546.86</v>
      </c>
      <c r="M81" s="332">
        <v>546.86</v>
      </c>
      <c r="N81" s="332">
        <v>546.85</v>
      </c>
      <c r="O81" s="332">
        <v>546.86</v>
      </c>
      <c r="P81" s="332">
        <v>546.86</v>
      </c>
      <c r="Q81" s="332">
        <v>546.86</v>
      </c>
      <c r="R81" s="332">
        <v>546.85</v>
      </c>
      <c r="S81" s="332">
        <v>546.86</v>
      </c>
      <c r="T81" s="332">
        <v>546.86</v>
      </c>
      <c r="U81" s="332">
        <v>546.86</v>
      </c>
      <c r="V81" s="332">
        <v>546.85</v>
      </c>
      <c r="W81" s="332">
        <v>546.86</v>
      </c>
      <c r="X81" s="332">
        <v>6562.29</v>
      </c>
      <c r="Y81" s="332">
        <f t="shared" ref="Y81:AI144" si="25">X81</f>
        <v>6562.29</v>
      </c>
      <c r="Z81" s="332">
        <f t="shared" si="25"/>
        <v>6562.29</v>
      </c>
      <c r="AA81" s="332"/>
      <c r="AB81" s="332"/>
      <c r="AC81" s="332"/>
      <c r="AD81" s="332"/>
      <c r="AE81" s="332"/>
      <c r="AF81" s="332"/>
      <c r="AG81" s="332"/>
      <c r="AH81" s="332"/>
      <c r="AI81" s="332"/>
      <c r="AJ81" s="332"/>
      <c r="AK81" s="332"/>
      <c r="AL81" s="332"/>
      <c r="AM81" s="332"/>
    </row>
    <row r="82" spans="2:39" s="287" customFormat="1">
      <c r="B82" s="343">
        <v>80</v>
      </c>
      <c r="C82" s="343">
        <v>635</v>
      </c>
      <c r="D82" s="345" t="s">
        <v>648</v>
      </c>
      <c r="E82" s="331" t="s">
        <v>649</v>
      </c>
      <c r="F82" s="330" t="s">
        <v>631</v>
      </c>
      <c r="G82" s="330" t="s">
        <v>361</v>
      </c>
      <c r="H82" s="332">
        <v>48450.16</v>
      </c>
      <c r="I82" s="329" t="s">
        <v>494</v>
      </c>
      <c r="J82" s="332">
        <v>20</v>
      </c>
      <c r="K82" s="332">
        <v>1</v>
      </c>
      <c r="L82" s="332">
        <v>807.5</v>
      </c>
      <c r="M82" s="332">
        <v>807.51</v>
      </c>
      <c r="N82" s="332">
        <v>807.5</v>
      </c>
      <c r="O82" s="332">
        <v>807.5</v>
      </c>
      <c r="P82" s="332">
        <v>807.5</v>
      </c>
      <c r="Q82" s="332">
        <v>807.51</v>
      </c>
      <c r="R82" s="332">
        <v>807.5</v>
      </c>
      <c r="S82" s="332">
        <v>807.5</v>
      </c>
      <c r="T82" s="332">
        <v>807.5</v>
      </c>
      <c r="U82" s="332">
        <v>807.51</v>
      </c>
      <c r="V82" s="332">
        <v>807.5</v>
      </c>
      <c r="W82" s="332">
        <v>807.5</v>
      </c>
      <c r="X82" s="332">
        <v>9690.0300000000007</v>
      </c>
      <c r="Y82" s="332">
        <f t="shared" si="25"/>
        <v>9690.0300000000007</v>
      </c>
      <c r="Z82" s="332">
        <f t="shared" si="25"/>
        <v>9690.0300000000007</v>
      </c>
      <c r="AA82" s="332"/>
      <c r="AB82" s="332"/>
      <c r="AC82" s="332"/>
      <c r="AD82" s="332"/>
      <c r="AE82" s="332"/>
      <c r="AF82" s="332"/>
      <c r="AG82" s="332"/>
      <c r="AH82" s="332"/>
      <c r="AI82" s="332"/>
      <c r="AJ82" s="332"/>
      <c r="AK82" s="332"/>
      <c r="AL82" s="332"/>
      <c r="AM82" s="332"/>
    </row>
    <row r="83" spans="2:39" s="287" customFormat="1">
      <c r="B83" s="343">
        <v>81</v>
      </c>
      <c r="C83" s="343">
        <v>665</v>
      </c>
      <c r="D83" s="345" t="s">
        <v>650</v>
      </c>
      <c r="E83" s="331" t="s">
        <v>651</v>
      </c>
      <c r="F83" s="330" t="s">
        <v>631</v>
      </c>
      <c r="G83" s="330" t="s">
        <v>361</v>
      </c>
      <c r="H83" s="332">
        <v>7764.83</v>
      </c>
      <c r="I83" s="329" t="s">
        <v>494</v>
      </c>
      <c r="J83" s="332">
        <v>20</v>
      </c>
      <c r="K83" s="332">
        <v>1</v>
      </c>
      <c r="L83" s="332">
        <v>129.41</v>
      </c>
      <c r="M83" s="332">
        <v>129.41999999999999</v>
      </c>
      <c r="N83" s="332">
        <v>129.41</v>
      </c>
      <c r="O83" s="332">
        <v>129.41999999999999</v>
      </c>
      <c r="P83" s="332">
        <v>129.41</v>
      </c>
      <c r="Q83" s="332">
        <v>129.41999999999999</v>
      </c>
      <c r="R83" s="332">
        <v>129.41</v>
      </c>
      <c r="S83" s="332">
        <v>129.41</v>
      </c>
      <c r="T83" s="332">
        <v>129.41999999999999</v>
      </c>
      <c r="U83" s="332">
        <v>129.41</v>
      </c>
      <c r="V83" s="332">
        <v>129.41999999999999</v>
      </c>
      <c r="W83" s="332">
        <v>129.41</v>
      </c>
      <c r="X83" s="332">
        <v>1552.97</v>
      </c>
      <c r="Y83" s="332">
        <f t="shared" si="25"/>
        <v>1552.97</v>
      </c>
      <c r="Z83" s="332">
        <f t="shared" si="25"/>
        <v>1552.97</v>
      </c>
      <c r="AA83" s="332"/>
      <c r="AB83" s="332"/>
      <c r="AC83" s="332"/>
      <c r="AD83" s="332"/>
      <c r="AE83" s="332"/>
      <c r="AF83" s="332"/>
      <c r="AG83" s="332"/>
      <c r="AH83" s="332"/>
      <c r="AI83" s="332"/>
      <c r="AJ83" s="332"/>
      <c r="AK83" s="332"/>
      <c r="AL83" s="332"/>
      <c r="AM83" s="332"/>
    </row>
    <row r="84" spans="2:39" s="287" customFormat="1">
      <c r="B84" s="343">
        <v>82</v>
      </c>
      <c r="C84" s="343">
        <v>615</v>
      </c>
      <c r="D84" s="345" t="s">
        <v>652</v>
      </c>
      <c r="E84" s="331" t="s">
        <v>653</v>
      </c>
      <c r="F84" s="330" t="s">
        <v>631</v>
      </c>
      <c r="G84" s="330" t="s">
        <v>324</v>
      </c>
      <c r="H84" s="332">
        <v>15638.54</v>
      </c>
      <c r="I84" s="329" t="s">
        <v>494</v>
      </c>
      <c r="J84" s="332">
        <v>20</v>
      </c>
      <c r="K84" s="332">
        <v>1</v>
      </c>
      <c r="L84" s="332">
        <v>260.64</v>
      </c>
      <c r="M84" s="332">
        <v>260.64999999999998</v>
      </c>
      <c r="N84" s="332">
        <v>260.64</v>
      </c>
      <c r="O84" s="332">
        <v>260.64</v>
      </c>
      <c r="P84" s="332">
        <v>260.64</v>
      </c>
      <c r="Q84" s="332">
        <v>260.64999999999998</v>
      </c>
      <c r="R84" s="332">
        <v>260.64</v>
      </c>
      <c r="S84" s="332">
        <v>260.64</v>
      </c>
      <c r="T84" s="332">
        <v>260.64</v>
      </c>
      <c r="U84" s="332">
        <v>260.64999999999998</v>
      </c>
      <c r="V84" s="332">
        <v>260.64</v>
      </c>
      <c r="W84" s="332">
        <v>260.64</v>
      </c>
      <c r="X84" s="332">
        <v>3127.71</v>
      </c>
      <c r="Y84" s="332">
        <f t="shared" si="25"/>
        <v>3127.71</v>
      </c>
      <c r="Z84" s="332"/>
      <c r="AA84" s="332"/>
      <c r="AB84" s="332"/>
      <c r="AC84" s="332"/>
      <c r="AD84" s="332"/>
      <c r="AE84" s="332"/>
      <c r="AF84" s="332"/>
      <c r="AG84" s="332"/>
      <c r="AH84" s="332"/>
      <c r="AI84" s="332"/>
      <c r="AJ84" s="332"/>
      <c r="AK84" s="332"/>
      <c r="AL84" s="332"/>
      <c r="AM84" s="332"/>
    </row>
    <row r="85" spans="2:39" s="287" customFormat="1">
      <c r="B85" s="343">
        <v>83</v>
      </c>
      <c r="C85" s="343">
        <v>92</v>
      </c>
      <c r="D85" s="345" t="s">
        <v>654</v>
      </c>
      <c r="E85" s="331" t="s">
        <v>655</v>
      </c>
      <c r="F85" s="330" t="s">
        <v>631</v>
      </c>
      <c r="G85" s="330" t="s">
        <v>362</v>
      </c>
      <c r="H85" s="332">
        <v>166706.29999999999</v>
      </c>
      <c r="I85" s="329" t="s">
        <v>494</v>
      </c>
      <c r="J85" s="332">
        <v>4.5</v>
      </c>
      <c r="K85" s="332">
        <v>1</v>
      </c>
      <c r="L85" s="332">
        <v>625.15</v>
      </c>
      <c r="M85" s="332">
        <v>625.15</v>
      </c>
      <c r="N85" s="332">
        <v>625.15</v>
      </c>
      <c r="O85" s="332">
        <v>625.14</v>
      </c>
      <c r="P85" s="332">
        <v>625.15</v>
      </c>
      <c r="Q85" s="332">
        <v>625.15</v>
      </c>
      <c r="R85" s="332">
        <v>625.15</v>
      </c>
      <c r="S85" s="332">
        <v>625.15</v>
      </c>
      <c r="T85" s="332">
        <v>625.15</v>
      </c>
      <c r="U85" s="332">
        <v>625.14</v>
      </c>
      <c r="V85" s="332">
        <v>625.15</v>
      </c>
      <c r="W85" s="332">
        <v>625.15</v>
      </c>
      <c r="X85" s="332">
        <v>7501.78</v>
      </c>
      <c r="Y85" s="332">
        <f t="shared" si="25"/>
        <v>7501.78</v>
      </c>
      <c r="Z85" s="332">
        <f t="shared" si="25"/>
        <v>7501.78</v>
      </c>
      <c r="AA85" s="332">
        <f t="shared" si="25"/>
        <v>7501.78</v>
      </c>
      <c r="AB85" s="332"/>
      <c r="AC85" s="332"/>
      <c r="AD85" s="332"/>
      <c r="AE85" s="332"/>
      <c r="AF85" s="332"/>
      <c r="AG85" s="332"/>
      <c r="AH85" s="332"/>
      <c r="AI85" s="332"/>
      <c r="AJ85" s="332"/>
      <c r="AK85" s="332"/>
      <c r="AL85" s="332"/>
      <c r="AM85" s="332"/>
    </row>
    <row r="86" spans="2:39" s="287" customFormat="1">
      <c r="B86" s="343">
        <v>84</v>
      </c>
      <c r="C86" s="343">
        <v>659</v>
      </c>
      <c r="D86" s="345" t="s">
        <v>656</v>
      </c>
      <c r="E86" s="331" t="s">
        <v>657</v>
      </c>
      <c r="F86" s="330" t="s">
        <v>631</v>
      </c>
      <c r="G86" s="330" t="s">
        <v>361</v>
      </c>
      <c r="H86" s="332">
        <v>4534.6000000000004</v>
      </c>
      <c r="I86" s="329" t="s">
        <v>494</v>
      </c>
      <c r="J86" s="332">
        <v>20</v>
      </c>
      <c r="K86" s="332">
        <v>1</v>
      </c>
      <c r="L86" s="332">
        <v>75.58</v>
      </c>
      <c r="M86" s="332">
        <v>75.569999999999993</v>
      </c>
      <c r="N86" s="332">
        <v>75.58</v>
      </c>
      <c r="O86" s="332">
        <v>75.58</v>
      </c>
      <c r="P86" s="332">
        <v>75.569999999999993</v>
      </c>
      <c r="Q86" s="332">
        <v>75.58</v>
      </c>
      <c r="R86" s="332">
        <v>75.58</v>
      </c>
      <c r="S86" s="332">
        <v>75.569999999999993</v>
      </c>
      <c r="T86" s="332">
        <v>75.58</v>
      </c>
      <c r="U86" s="332">
        <v>75.58</v>
      </c>
      <c r="V86" s="332">
        <v>75.569999999999993</v>
      </c>
      <c r="W86" s="332">
        <v>75.58</v>
      </c>
      <c r="X86" s="332">
        <v>906.92</v>
      </c>
      <c r="Y86" s="332">
        <f t="shared" si="25"/>
        <v>906.92</v>
      </c>
      <c r="Z86" s="332">
        <f t="shared" si="25"/>
        <v>906.92</v>
      </c>
      <c r="AA86" s="332"/>
      <c r="AB86" s="332"/>
      <c r="AC86" s="332"/>
      <c r="AD86" s="332"/>
      <c r="AE86" s="332"/>
      <c r="AF86" s="332"/>
      <c r="AG86" s="332"/>
      <c r="AH86" s="332"/>
      <c r="AI86" s="332"/>
      <c r="AJ86" s="332"/>
      <c r="AK86" s="332"/>
      <c r="AL86" s="332"/>
      <c r="AM86" s="332"/>
    </row>
    <row r="87" spans="2:39" s="287" customFormat="1">
      <c r="B87" s="343">
        <v>85</v>
      </c>
      <c r="C87" s="343">
        <v>503</v>
      </c>
      <c r="D87" s="345" t="s">
        <v>658</v>
      </c>
      <c r="E87" s="331" t="s">
        <v>659</v>
      </c>
      <c r="F87" s="330" t="s">
        <v>660</v>
      </c>
      <c r="G87" s="330"/>
      <c r="H87" s="332">
        <v>50223.68</v>
      </c>
      <c r="I87" s="329" t="s">
        <v>494</v>
      </c>
      <c r="J87" s="332">
        <v>2.5</v>
      </c>
      <c r="K87" s="332">
        <v>1</v>
      </c>
      <c r="L87" s="332">
        <v>104.63</v>
      </c>
      <c r="M87" s="332">
        <v>104.64</v>
      </c>
      <c r="N87" s="332">
        <v>104.63</v>
      </c>
      <c r="O87" s="332">
        <v>104.63</v>
      </c>
      <c r="P87" s="332">
        <v>104.63</v>
      </c>
      <c r="Q87" s="332">
        <v>104.64</v>
      </c>
      <c r="R87" s="332">
        <v>104.63</v>
      </c>
      <c r="S87" s="332">
        <v>104.63</v>
      </c>
      <c r="T87" s="332">
        <v>104.63</v>
      </c>
      <c r="U87" s="332">
        <v>104.64</v>
      </c>
      <c r="V87" s="332">
        <v>104.63</v>
      </c>
      <c r="W87" s="332">
        <v>104.63</v>
      </c>
      <c r="X87" s="332">
        <v>1255.5899999999999</v>
      </c>
      <c r="Y87" s="332">
        <f t="shared" si="25"/>
        <v>1255.5899999999999</v>
      </c>
      <c r="Z87" s="332">
        <f t="shared" si="25"/>
        <v>1255.5899999999999</v>
      </c>
      <c r="AA87" s="332">
        <f t="shared" si="25"/>
        <v>1255.5899999999999</v>
      </c>
      <c r="AB87" s="332">
        <f t="shared" si="25"/>
        <v>1255.5899999999999</v>
      </c>
      <c r="AC87" s="332">
        <f t="shared" si="25"/>
        <v>1255.5899999999999</v>
      </c>
      <c r="AD87" s="332">
        <f t="shared" si="25"/>
        <v>1255.5899999999999</v>
      </c>
      <c r="AE87" s="332">
        <f t="shared" si="25"/>
        <v>1255.5899999999999</v>
      </c>
      <c r="AF87" s="332">
        <f t="shared" si="25"/>
        <v>1255.5899999999999</v>
      </c>
      <c r="AG87" s="332">
        <f t="shared" si="25"/>
        <v>1255.5899999999999</v>
      </c>
      <c r="AH87" s="332">
        <f t="shared" si="25"/>
        <v>1255.5899999999999</v>
      </c>
      <c r="AI87" s="332">
        <f t="shared" si="25"/>
        <v>1255.5899999999999</v>
      </c>
      <c r="AJ87" s="332">
        <f t="shared" ref="AJ87:AJ107" si="26">AI87</f>
        <v>1255.5899999999999</v>
      </c>
      <c r="AK87" s="332">
        <f t="shared" ref="AK87:AK107" si="27">AJ87</f>
        <v>1255.5899999999999</v>
      </c>
      <c r="AL87" s="332">
        <f t="shared" ref="AL87:AM107" si="28">AK87</f>
        <v>1255.5899999999999</v>
      </c>
      <c r="AM87" s="332">
        <f t="shared" si="28"/>
        <v>1255.5899999999999</v>
      </c>
    </row>
    <row r="88" spans="2:39" s="287" customFormat="1">
      <c r="B88" s="343">
        <v>86</v>
      </c>
      <c r="C88" s="343">
        <v>488</v>
      </c>
      <c r="D88" s="345" t="s">
        <v>661</v>
      </c>
      <c r="E88" s="331" t="s">
        <v>662</v>
      </c>
      <c r="F88" s="330" t="s">
        <v>660</v>
      </c>
      <c r="G88" s="330"/>
      <c r="H88" s="332">
        <v>3485622.1</v>
      </c>
      <c r="I88" s="329" t="s">
        <v>494</v>
      </c>
      <c r="J88" s="332">
        <v>2.5</v>
      </c>
      <c r="K88" s="332">
        <v>1</v>
      </c>
      <c r="L88" s="332">
        <v>7261.71</v>
      </c>
      <c r="M88" s="332">
        <v>7261.72</v>
      </c>
      <c r="N88" s="332">
        <v>7261.71</v>
      </c>
      <c r="O88" s="332">
        <v>7261.71</v>
      </c>
      <c r="P88" s="332">
        <v>7261.71</v>
      </c>
      <c r="Q88" s="332">
        <v>7261.72</v>
      </c>
      <c r="R88" s="332">
        <v>7261.71</v>
      </c>
      <c r="S88" s="332">
        <v>7261.71</v>
      </c>
      <c r="T88" s="332">
        <v>7261.71</v>
      </c>
      <c r="U88" s="332">
        <v>7261.72</v>
      </c>
      <c r="V88" s="332">
        <v>7261.71</v>
      </c>
      <c r="W88" s="332">
        <v>7261.71</v>
      </c>
      <c r="X88" s="332">
        <v>87140.55</v>
      </c>
      <c r="Y88" s="332">
        <f t="shared" si="25"/>
        <v>87140.55</v>
      </c>
      <c r="Z88" s="332">
        <f t="shared" si="25"/>
        <v>87140.55</v>
      </c>
      <c r="AA88" s="332">
        <f t="shared" si="25"/>
        <v>87140.55</v>
      </c>
      <c r="AB88" s="332">
        <f t="shared" si="25"/>
        <v>87140.55</v>
      </c>
      <c r="AC88" s="332">
        <f t="shared" si="25"/>
        <v>87140.55</v>
      </c>
      <c r="AD88" s="332">
        <f t="shared" si="25"/>
        <v>87140.55</v>
      </c>
      <c r="AE88" s="332">
        <f t="shared" si="25"/>
        <v>87140.55</v>
      </c>
      <c r="AF88" s="332">
        <f t="shared" si="25"/>
        <v>87140.55</v>
      </c>
      <c r="AG88" s="332">
        <f t="shared" si="25"/>
        <v>87140.55</v>
      </c>
      <c r="AH88" s="332">
        <f t="shared" si="25"/>
        <v>87140.55</v>
      </c>
      <c r="AI88" s="332">
        <f t="shared" si="25"/>
        <v>87140.55</v>
      </c>
      <c r="AJ88" s="332">
        <f t="shared" si="26"/>
        <v>87140.55</v>
      </c>
      <c r="AK88" s="332">
        <f t="shared" si="27"/>
        <v>87140.55</v>
      </c>
      <c r="AL88" s="332">
        <f t="shared" si="28"/>
        <v>87140.55</v>
      </c>
      <c r="AM88" s="332">
        <f t="shared" si="28"/>
        <v>87140.55</v>
      </c>
    </row>
    <row r="89" spans="2:39" s="287" customFormat="1">
      <c r="B89" s="343">
        <v>87</v>
      </c>
      <c r="C89" s="343">
        <v>489</v>
      </c>
      <c r="D89" s="345" t="s">
        <v>663</v>
      </c>
      <c r="E89" s="331" t="s">
        <v>664</v>
      </c>
      <c r="F89" s="330" t="s">
        <v>660</v>
      </c>
      <c r="G89" s="330"/>
      <c r="H89" s="332">
        <v>127182.44</v>
      </c>
      <c r="I89" s="329" t="s">
        <v>494</v>
      </c>
      <c r="J89" s="332">
        <v>2.5</v>
      </c>
      <c r="K89" s="332">
        <v>1</v>
      </c>
      <c r="L89" s="332">
        <v>264.95999999999998</v>
      </c>
      <c r="M89" s="332">
        <v>264.97000000000003</v>
      </c>
      <c r="N89" s="332">
        <v>264.95999999999998</v>
      </c>
      <c r="O89" s="332">
        <v>264.95999999999998</v>
      </c>
      <c r="P89" s="332">
        <v>264.97000000000003</v>
      </c>
      <c r="Q89" s="332">
        <v>264.95999999999998</v>
      </c>
      <c r="R89" s="332">
        <v>264.95999999999998</v>
      </c>
      <c r="S89" s="332">
        <v>264.97000000000003</v>
      </c>
      <c r="T89" s="332">
        <v>264.95999999999998</v>
      </c>
      <c r="U89" s="332">
        <v>264.95999999999998</v>
      </c>
      <c r="V89" s="332">
        <v>264.97000000000003</v>
      </c>
      <c r="W89" s="332">
        <v>264.95999999999998</v>
      </c>
      <c r="X89" s="332">
        <v>3179.56</v>
      </c>
      <c r="Y89" s="332">
        <f t="shared" si="25"/>
        <v>3179.56</v>
      </c>
      <c r="Z89" s="332">
        <f t="shared" si="25"/>
        <v>3179.56</v>
      </c>
      <c r="AA89" s="332">
        <f t="shared" si="25"/>
        <v>3179.56</v>
      </c>
      <c r="AB89" s="332">
        <f t="shared" si="25"/>
        <v>3179.56</v>
      </c>
      <c r="AC89" s="332">
        <f t="shared" si="25"/>
        <v>3179.56</v>
      </c>
      <c r="AD89" s="332">
        <f t="shared" si="25"/>
        <v>3179.56</v>
      </c>
      <c r="AE89" s="332">
        <f t="shared" si="25"/>
        <v>3179.56</v>
      </c>
      <c r="AF89" s="332">
        <f t="shared" si="25"/>
        <v>3179.56</v>
      </c>
      <c r="AG89" s="332">
        <f t="shared" si="25"/>
        <v>3179.56</v>
      </c>
      <c r="AH89" s="332">
        <f t="shared" si="25"/>
        <v>3179.56</v>
      </c>
      <c r="AI89" s="332">
        <f t="shared" si="25"/>
        <v>3179.56</v>
      </c>
      <c r="AJ89" s="332">
        <f t="shared" si="26"/>
        <v>3179.56</v>
      </c>
      <c r="AK89" s="332">
        <f t="shared" si="27"/>
        <v>3179.56</v>
      </c>
      <c r="AL89" s="332">
        <f t="shared" si="28"/>
        <v>3179.56</v>
      </c>
      <c r="AM89" s="332">
        <f t="shared" si="28"/>
        <v>3179.56</v>
      </c>
    </row>
    <row r="90" spans="2:39" s="287" customFormat="1">
      <c r="B90" s="343">
        <v>88</v>
      </c>
      <c r="C90" s="343">
        <v>486</v>
      </c>
      <c r="D90" s="345" t="s">
        <v>665</v>
      </c>
      <c r="E90" s="331" t="s">
        <v>666</v>
      </c>
      <c r="F90" s="330" t="s">
        <v>660</v>
      </c>
      <c r="G90" s="330"/>
      <c r="H90" s="332">
        <v>2567991.41</v>
      </c>
      <c r="I90" s="329" t="s">
        <v>494</v>
      </c>
      <c r="J90" s="332">
        <v>2.5</v>
      </c>
      <c r="K90" s="332">
        <v>1</v>
      </c>
      <c r="L90" s="332">
        <v>5349.98</v>
      </c>
      <c r="M90" s="332">
        <v>5349.99</v>
      </c>
      <c r="N90" s="332">
        <v>5349.98</v>
      </c>
      <c r="O90" s="332">
        <v>5349.98</v>
      </c>
      <c r="P90" s="332">
        <v>5349.98</v>
      </c>
      <c r="Q90" s="332">
        <v>5349.99</v>
      </c>
      <c r="R90" s="332">
        <v>5349.98</v>
      </c>
      <c r="S90" s="332">
        <v>5349.98</v>
      </c>
      <c r="T90" s="332">
        <v>5349.98</v>
      </c>
      <c r="U90" s="332">
        <v>5349.99</v>
      </c>
      <c r="V90" s="332">
        <v>5349.98</v>
      </c>
      <c r="W90" s="332">
        <v>5349.98</v>
      </c>
      <c r="X90" s="332">
        <v>64199.79</v>
      </c>
      <c r="Y90" s="332">
        <f t="shared" si="25"/>
        <v>64199.79</v>
      </c>
      <c r="Z90" s="332">
        <f t="shared" si="25"/>
        <v>64199.79</v>
      </c>
      <c r="AA90" s="332">
        <f t="shared" si="25"/>
        <v>64199.79</v>
      </c>
      <c r="AB90" s="332">
        <f t="shared" si="25"/>
        <v>64199.79</v>
      </c>
      <c r="AC90" s="332">
        <f t="shared" si="25"/>
        <v>64199.79</v>
      </c>
      <c r="AD90" s="332">
        <f t="shared" si="25"/>
        <v>64199.79</v>
      </c>
      <c r="AE90" s="332">
        <f t="shared" si="25"/>
        <v>64199.79</v>
      </c>
      <c r="AF90" s="332">
        <f t="shared" si="25"/>
        <v>64199.79</v>
      </c>
      <c r="AG90" s="332">
        <f t="shared" si="25"/>
        <v>64199.79</v>
      </c>
      <c r="AH90" s="332">
        <f t="shared" si="25"/>
        <v>64199.79</v>
      </c>
      <c r="AI90" s="332">
        <f t="shared" si="25"/>
        <v>64199.79</v>
      </c>
      <c r="AJ90" s="332">
        <f t="shared" si="26"/>
        <v>64199.79</v>
      </c>
      <c r="AK90" s="332">
        <f t="shared" si="27"/>
        <v>64199.79</v>
      </c>
      <c r="AL90" s="332">
        <f t="shared" si="28"/>
        <v>64199.79</v>
      </c>
      <c r="AM90" s="332">
        <f t="shared" si="28"/>
        <v>64199.79</v>
      </c>
    </row>
    <row r="91" spans="2:39" s="287" customFormat="1">
      <c r="B91" s="343">
        <v>89</v>
      </c>
      <c r="C91" s="343">
        <v>485</v>
      </c>
      <c r="D91" s="345" t="s">
        <v>667</v>
      </c>
      <c r="E91" s="331" t="s">
        <v>668</v>
      </c>
      <c r="F91" s="330" t="s">
        <v>660</v>
      </c>
      <c r="G91" s="330"/>
      <c r="H91" s="332">
        <v>9419361.0700000003</v>
      </c>
      <c r="I91" s="329" t="s">
        <v>494</v>
      </c>
      <c r="J91" s="332">
        <v>2.5</v>
      </c>
      <c r="K91" s="332">
        <v>1</v>
      </c>
      <c r="L91" s="332">
        <v>19623.669999999998</v>
      </c>
      <c r="M91" s="332">
        <v>19623.669999999998</v>
      </c>
      <c r="N91" s="332">
        <v>19623.669999999998</v>
      </c>
      <c r="O91" s="332">
        <v>19623.669999999998</v>
      </c>
      <c r="P91" s="332">
        <v>19623.669999999998</v>
      </c>
      <c r="Q91" s="332">
        <v>19623.669999999998</v>
      </c>
      <c r="R91" s="332">
        <v>19623.66</v>
      </c>
      <c r="S91" s="332">
        <v>19623.669999999998</v>
      </c>
      <c r="T91" s="332">
        <v>19623.669999999998</v>
      </c>
      <c r="U91" s="332">
        <v>19623.669999999998</v>
      </c>
      <c r="V91" s="332">
        <v>19623.669999999998</v>
      </c>
      <c r="W91" s="332">
        <v>19623.669999999998</v>
      </c>
      <c r="X91" s="332">
        <v>235484.03</v>
      </c>
      <c r="Y91" s="332">
        <f t="shared" si="25"/>
        <v>235484.03</v>
      </c>
      <c r="Z91" s="332">
        <f t="shared" si="25"/>
        <v>235484.03</v>
      </c>
      <c r="AA91" s="332">
        <f t="shared" si="25"/>
        <v>235484.03</v>
      </c>
      <c r="AB91" s="332">
        <f t="shared" si="25"/>
        <v>235484.03</v>
      </c>
      <c r="AC91" s="332">
        <f t="shared" si="25"/>
        <v>235484.03</v>
      </c>
      <c r="AD91" s="332">
        <f t="shared" si="25"/>
        <v>235484.03</v>
      </c>
      <c r="AE91" s="332">
        <f t="shared" si="25"/>
        <v>235484.03</v>
      </c>
      <c r="AF91" s="332">
        <f t="shared" si="25"/>
        <v>235484.03</v>
      </c>
      <c r="AG91" s="332">
        <f t="shared" si="25"/>
        <v>235484.03</v>
      </c>
      <c r="AH91" s="332">
        <f t="shared" si="25"/>
        <v>235484.03</v>
      </c>
      <c r="AI91" s="332">
        <f t="shared" si="25"/>
        <v>235484.03</v>
      </c>
      <c r="AJ91" s="332">
        <f t="shared" si="26"/>
        <v>235484.03</v>
      </c>
      <c r="AK91" s="332">
        <f t="shared" si="27"/>
        <v>235484.03</v>
      </c>
      <c r="AL91" s="332">
        <f t="shared" si="28"/>
        <v>235484.03</v>
      </c>
      <c r="AM91" s="332">
        <f t="shared" si="28"/>
        <v>235484.03</v>
      </c>
    </row>
    <row r="92" spans="2:39" s="287" customFormat="1">
      <c r="B92" s="343">
        <v>90</v>
      </c>
      <c r="C92" s="343">
        <v>487</v>
      </c>
      <c r="D92" s="345" t="s">
        <v>669</v>
      </c>
      <c r="E92" s="331" t="s">
        <v>670</v>
      </c>
      <c r="F92" s="330" t="s">
        <v>660</v>
      </c>
      <c r="G92" s="330"/>
      <c r="H92" s="332">
        <v>6336701.6100000003</v>
      </c>
      <c r="I92" s="329" t="s">
        <v>494</v>
      </c>
      <c r="J92" s="332">
        <v>2.5</v>
      </c>
      <c r="K92" s="332">
        <v>1</v>
      </c>
      <c r="L92" s="332">
        <v>13201.46</v>
      </c>
      <c r="M92" s="332">
        <v>13201.46</v>
      </c>
      <c r="N92" s="332">
        <v>13201.47</v>
      </c>
      <c r="O92" s="332">
        <v>13201.46</v>
      </c>
      <c r="P92" s="332">
        <v>13201.46</v>
      </c>
      <c r="Q92" s="332">
        <v>13201.46</v>
      </c>
      <c r="R92" s="332">
        <v>13201.46</v>
      </c>
      <c r="S92" s="332">
        <v>13201.46</v>
      </c>
      <c r="T92" s="332">
        <v>13201.47</v>
      </c>
      <c r="U92" s="332">
        <v>13201.46</v>
      </c>
      <c r="V92" s="332">
        <v>13201.46</v>
      </c>
      <c r="W92" s="332">
        <v>13201.46</v>
      </c>
      <c r="X92" s="332">
        <v>158417.54</v>
      </c>
      <c r="Y92" s="332">
        <f t="shared" si="25"/>
        <v>158417.54</v>
      </c>
      <c r="Z92" s="332">
        <f t="shared" si="25"/>
        <v>158417.54</v>
      </c>
      <c r="AA92" s="332">
        <f t="shared" si="25"/>
        <v>158417.54</v>
      </c>
      <c r="AB92" s="332">
        <f t="shared" si="25"/>
        <v>158417.54</v>
      </c>
      <c r="AC92" s="332">
        <f t="shared" si="25"/>
        <v>158417.54</v>
      </c>
      <c r="AD92" s="332">
        <f t="shared" si="25"/>
        <v>158417.54</v>
      </c>
      <c r="AE92" s="332">
        <f t="shared" si="25"/>
        <v>158417.54</v>
      </c>
      <c r="AF92" s="332">
        <f t="shared" si="25"/>
        <v>158417.54</v>
      </c>
      <c r="AG92" s="332">
        <f t="shared" si="25"/>
        <v>158417.54</v>
      </c>
      <c r="AH92" s="332">
        <f t="shared" si="25"/>
        <v>158417.54</v>
      </c>
      <c r="AI92" s="332">
        <f t="shared" si="25"/>
        <v>158417.54</v>
      </c>
      <c r="AJ92" s="332">
        <f t="shared" si="26"/>
        <v>158417.54</v>
      </c>
      <c r="AK92" s="332">
        <f t="shared" si="27"/>
        <v>158417.54</v>
      </c>
      <c r="AL92" s="332">
        <f t="shared" si="28"/>
        <v>158417.54</v>
      </c>
      <c r="AM92" s="332">
        <f t="shared" si="28"/>
        <v>158417.54</v>
      </c>
    </row>
    <row r="93" spans="2:39" s="287" customFormat="1">
      <c r="B93" s="343">
        <v>91</v>
      </c>
      <c r="C93" s="343">
        <v>507</v>
      </c>
      <c r="D93" s="345" t="s">
        <v>671</v>
      </c>
      <c r="E93" s="331" t="s">
        <v>672</v>
      </c>
      <c r="F93" s="330" t="s">
        <v>660</v>
      </c>
      <c r="G93" s="330"/>
      <c r="H93" s="332">
        <v>9257085.5099999998</v>
      </c>
      <c r="I93" s="329" t="s">
        <v>494</v>
      </c>
      <c r="J93" s="332">
        <v>2.5</v>
      </c>
      <c r="K93" s="332">
        <v>1</v>
      </c>
      <c r="L93" s="332">
        <v>19285.599999999999</v>
      </c>
      <c r="M93" s="332">
        <v>19285.59</v>
      </c>
      <c r="N93" s="332">
        <v>19285.599999999999</v>
      </c>
      <c r="O93" s="332">
        <v>19285.59</v>
      </c>
      <c r="P93" s="332">
        <v>19285.599999999999</v>
      </c>
      <c r="Q93" s="332">
        <v>19285.59</v>
      </c>
      <c r="R93" s="332">
        <v>19285.599999999999</v>
      </c>
      <c r="S93" s="332">
        <v>19285.59</v>
      </c>
      <c r="T93" s="332">
        <v>19285.599999999999</v>
      </c>
      <c r="U93" s="332">
        <v>19285.59</v>
      </c>
      <c r="V93" s="332">
        <v>19285.599999999999</v>
      </c>
      <c r="W93" s="332">
        <v>19285.59</v>
      </c>
      <c r="X93" s="332">
        <v>231427.14</v>
      </c>
      <c r="Y93" s="332">
        <f t="shared" si="25"/>
        <v>231427.14</v>
      </c>
      <c r="Z93" s="332">
        <f t="shared" si="25"/>
        <v>231427.14</v>
      </c>
      <c r="AA93" s="332">
        <f t="shared" si="25"/>
        <v>231427.14</v>
      </c>
      <c r="AB93" s="332">
        <f t="shared" si="25"/>
        <v>231427.14</v>
      </c>
      <c r="AC93" s="332">
        <f t="shared" si="25"/>
        <v>231427.14</v>
      </c>
      <c r="AD93" s="332">
        <f t="shared" si="25"/>
        <v>231427.14</v>
      </c>
      <c r="AE93" s="332">
        <f t="shared" si="25"/>
        <v>231427.14</v>
      </c>
      <c r="AF93" s="332">
        <f t="shared" si="25"/>
        <v>231427.14</v>
      </c>
      <c r="AG93" s="332">
        <f t="shared" si="25"/>
        <v>231427.14</v>
      </c>
      <c r="AH93" s="332">
        <f t="shared" si="25"/>
        <v>231427.14</v>
      </c>
      <c r="AI93" s="332">
        <f t="shared" si="25"/>
        <v>231427.14</v>
      </c>
      <c r="AJ93" s="332">
        <f t="shared" si="26"/>
        <v>231427.14</v>
      </c>
      <c r="AK93" s="332">
        <f t="shared" si="27"/>
        <v>231427.14</v>
      </c>
      <c r="AL93" s="332">
        <f t="shared" si="28"/>
        <v>231427.14</v>
      </c>
      <c r="AM93" s="332">
        <f t="shared" si="28"/>
        <v>231427.14</v>
      </c>
    </row>
    <row r="94" spans="2:39" s="287" customFormat="1">
      <c r="B94" s="343">
        <v>92</v>
      </c>
      <c r="C94" s="343">
        <v>494</v>
      </c>
      <c r="D94" s="345" t="s">
        <v>673</v>
      </c>
      <c r="E94" s="331" t="s">
        <v>674</v>
      </c>
      <c r="F94" s="330" t="s">
        <v>660</v>
      </c>
      <c r="G94" s="330"/>
      <c r="H94" s="332">
        <v>328358.5</v>
      </c>
      <c r="I94" s="329" t="s">
        <v>494</v>
      </c>
      <c r="J94" s="332">
        <v>2.5</v>
      </c>
      <c r="K94" s="332">
        <v>1</v>
      </c>
      <c r="L94" s="332">
        <v>684.08</v>
      </c>
      <c r="M94" s="332">
        <v>684.08</v>
      </c>
      <c r="N94" s="332">
        <v>684.08</v>
      </c>
      <c r="O94" s="332">
        <v>684.08</v>
      </c>
      <c r="P94" s="332">
        <v>684.08</v>
      </c>
      <c r="Q94" s="332">
        <v>684.08</v>
      </c>
      <c r="R94" s="332">
        <v>684.08</v>
      </c>
      <c r="S94" s="332">
        <v>684.08</v>
      </c>
      <c r="T94" s="332">
        <v>684.08</v>
      </c>
      <c r="U94" s="332">
        <v>684.08</v>
      </c>
      <c r="V94" s="332">
        <v>684.08</v>
      </c>
      <c r="W94" s="332">
        <v>684.08</v>
      </c>
      <c r="X94" s="332">
        <v>8208.9599999999991</v>
      </c>
      <c r="Y94" s="332">
        <f t="shared" si="25"/>
        <v>8208.9599999999991</v>
      </c>
      <c r="Z94" s="332">
        <f t="shared" si="25"/>
        <v>8208.9599999999991</v>
      </c>
      <c r="AA94" s="332">
        <f t="shared" si="25"/>
        <v>8208.9599999999991</v>
      </c>
      <c r="AB94" s="332">
        <f t="shared" si="25"/>
        <v>8208.9599999999991</v>
      </c>
      <c r="AC94" s="332">
        <f t="shared" si="25"/>
        <v>8208.9599999999991</v>
      </c>
      <c r="AD94" s="332">
        <f t="shared" si="25"/>
        <v>8208.9599999999991</v>
      </c>
      <c r="AE94" s="332">
        <f t="shared" si="25"/>
        <v>8208.9599999999991</v>
      </c>
      <c r="AF94" s="332">
        <f t="shared" si="25"/>
        <v>8208.9599999999991</v>
      </c>
      <c r="AG94" s="332">
        <f t="shared" si="25"/>
        <v>8208.9599999999991</v>
      </c>
      <c r="AH94" s="332">
        <f t="shared" si="25"/>
        <v>8208.9599999999991</v>
      </c>
      <c r="AI94" s="332">
        <f t="shared" si="25"/>
        <v>8208.9599999999991</v>
      </c>
      <c r="AJ94" s="332">
        <f t="shared" si="26"/>
        <v>8208.9599999999991</v>
      </c>
      <c r="AK94" s="332">
        <f t="shared" si="27"/>
        <v>8208.9599999999991</v>
      </c>
      <c r="AL94" s="332">
        <f t="shared" si="28"/>
        <v>8208.9599999999991</v>
      </c>
      <c r="AM94" s="332">
        <f t="shared" si="28"/>
        <v>8208.9599999999991</v>
      </c>
    </row>
    <row r="95" spans="2:39" s="287" customFormat="1">
      <c r="B95" s="343">
        <v>93</v>
      </c>
      <c r="C95" s="343">
        <v>490</v>
      </c>
      <c r="D95" s="345" t="s">
        <v>675</v>
      </c>
      <c r="E95" s="331" t="s">
        <v>676</v>
      </c>
      <c r="F95" s="330" t="s">
        <v>660</v>
      </c>
      <c r="G95" s="330"/>
      <c r="H95" s="332">
        <v>714514.33</v>
      </c>
      <c r="I95" s="329" t="s">
        <v>494</v>
      </c>
      <c r="J95" s="332">
        <v>2.5</v>
      </c>
      <c r="K95" s="332">
        <v>1</v>
      </c>
      <c r="L95" s="332">
        <v>1488.57</v>
      </c>
      <c r="M95" s="332">
        <v>1488.57</v>
      </c>
      <c r="N95" s="332">
        <v>1488.58</v>
      </c>
      <c r="O95" s="332">
        <v>1488.57</v>
      </c>
      <c r="P95" s="332">
        <v>1488.57</v>
      </c>
      <c r="Q95" s="332">
        <v>1488.57</v>
      </c>
      <c r="R95" s="332">
        <v>1488.57</v>
      </c>
      <c r="S95" s="332">
        <v>1488.57</v>
      </c>
      <c r="T95" s="332">
        <v>1488.58</v>
      </c>
      <c r="U95" s="332">
        <v>1488.57</v>
      </c>
      <c r="V95" s="332">
        <v>1488.57</v>
      </c>
      <c r="W95" s="332">
        <v>1488.57</v>
      </c>
      <c r="X95" s="332">
        <v>17862.86</v>
      </c>
      <c r="Y95" s="332">
        <f t="shared" si="25"/>
        <v>17862.86</v>
      </c>
      <c r="Z95" s="332">
        <f t="shared" si="25"/>
        <v>17862.86</v>
      </c>
      <c r="AA95" s="332">
        <f t="shared" si="25"/>
        <v>17862.86</v>
      </c>
      <c r="AB95" s="332">
        <f t="shared" si="25"/>
        <v>17862.86</v>
      </c>
      <c r="AC95" s="332">
        <f t="shared" si="25"/>
        <v>17862.86</v>
      </c>
      <c r="AD95" s="332">
        <f t="shared" si="25"/>
        <v>17862.86</v>
      </c>
      <c r="AE95" s="332">
        <f t="shared" si="25"/>
        <v>17862.86</v>
      </c>
      <c r="AF95" s="332">
        <f t="shared" si="25"/>
        <v>17862.86</v>
      </c>
      <c r="AG95" s="332">
        <f t="shared" si="25"/>
        <v>17862.86</v>
      </c>
      <c r="AH95" s="332">
        <f t="shared" si="25"/>
        <v>17862.86</v>
      </c>
      <c r="AI95" s="332">
        <f t="shared" si="25"/>
        <v>17862.86</v>
      </c>
      <c r="AJ95" s="332">
        <f t="shared" si="26"/>
        <v>17862.86</v>
      </c>
      <c r="AK95" s="332">
        <f t="shared" si="27"/>
        <v>17862.86</v>
      </c>
      <c r="AL95" s="332">
        <f t="shared" si="28"/>
        <v>17862.86</v>
      </c>
      <c r="AM95" s="332">
        <f t="shared" si="28"/>
        <v>17862.86</v>
      </c>
    </row>
    <row r="96" spans="2:39" s="287" customFormat="1">
      <c r="B96" s="343">
        <v>94</v>
      </c>
      <c r="C96" s="343">
        <v>491</v>
      </c>
      <c r="D96" s="345" t="s">
        <v>677</v>
      </c>
      <c r="E96" s="331" t="s">
        <v>678</v>
      </c>
      <c r="F96" s="330" t="s">
        <v>679</v>
      </c>
      <c r="G96" s="330"/>
      <c r="H96" s="332">
        <v>4344426.3899999997</v>
      </c>
      <c r="I96" s="329" t="s">
        <v>494</v>
      </c>
      <c r="J96" s="332">
        <v>2.2799999999999998</v>
      </c>
      <c r="K96" s="332">
        <v>1</v>
      </c>
      <c r="L96" s="332">
        <v>8254.41</v>
      </c>
      <c r="M96" s="332">
        <v>8254.41</v>
      </c>
      <c r="N96" s="332">
        <v>8254.41</v>
      </c>
      <c r="O96" s="332">
        <v>8254.41</v>
      </c>
      <c r="P96" s="332">
        <v>8254.41</v>
      </c>
      <c r="Q96" s="332">
        <v>8254.41</v>
      </c>
      <c r="R96" s="332">
        <v>8254.41</v>
      </c>
      <c r="S96" s="332">
        <v>8254.41</v>
      </c>
      <c r="T96" s="332">
        <v>8254.41</v>
      </c>
      <c r="U96" s="332">
        <v>8254.41</v>
      </c>
      <c r="V96" s="332">
        <v>8254.41</v>
      </c>
      <c r="W96" s="332">
        <v>8254.41</v>
      </c>
      <c r="X96" s="332">
        <v>99052.92</v>
      </c>
      <c r="Y96" s="332">
        <f t="shared" si="25"/>
        <v>99052.92</v>
      </c>
      <c r="Z96" s="332">
        <f t="shared" si="25"/>
        <v>99052.92</v>
      </c>
      <c r="AA96" s="332">
        <f t="shared" si="25"/>
        <v>99052.92</v>
      </c>
      <c r="AB96" s="332">
        <f t="shared" si="25"/>
        <v>99052.92</v>
      </c>
      <c r="AC96" s="332">
        <f t="shared" si="25"/>
        <v>99052.92</v>
      </c>
      <c r="AD96" s="332">
        <f t="shared" si="25"/>
        <v>99052.92</v>
      </c>
      <c r="AE96" s="332">
        <f t="shared" si="25"/>
        <v>99052.92</v>
      </c>
      <c r="AF96" s="332">
        <f t="shared" si="25"/>
        <v>99052.92</v>
      </c>
      <c r="AG96" s="332">
        <f t="shared" si="25"/>
        <v>99052.92</v>
      </c>
      <c r="AH96" s="332">
        <f t="shared" si="25"/>
        <v>99052.92</v>
      </c>
      <c r="AI96" s="332">
        <f t="shared" si="25"/>
        <v>99052.92</v>
      </c>
      <c r="AJ96" s="332">
        <f t="shared" si="26"/>
        <v>99052.92</v>
      </c>
      <c r="AK96" s="332">
        <f t="shared" si="27"/>
        <v>99052.92</v>
      </c>
      <c r="AL96" s="332">
        <f t="shared" si="28"/>
        <v>99052.92</v>
      </c>
      <c r="AM96" s="332">
        <f t="shared" si="28"/>
        <v>99052.92</v>
      </c>
    </row>
    <row r="97" spans="2:39" s="287" customFormat="1">
      <c r="B97" s="343">
        <v>95</v>
      </c>
      <c r="C97" s="343">
        <v>493</v>
      </c>
      <c r="D97" s="345" t="s">
        <v>680</v>
      </c>
      <c r="E97" s="331" t="s">
        <v>681</v>
      </c>
      <c r="F97" s="330" t="s">
        <v>679</v>
      </c>
      <c r="G97" s="330"/>
      <c r="H97" s="332">
        <v>128521.2</v>
      </c>
      <c r="I97" s="329" t="s">
        <v>494</v>
      </c>
      <c r="J97" s="332">
        <v>2.2799999999999998</v>
      </c>
      <c r="K97" s="332">
        <v>1</v>
      </c>
      <c r="L97" s="332">
        <v>244.19</v>
      </c>
      <c r="M97" s="332">
        <v>244.19</v>
      </c>
      <c r="N97" s="332">
        <v>244.19</v>
      </c>
      <c r="O97" s="332">
        <v>244.19</v>
      </c>
      <c r="P97" s="332">
        <v>244.19</v>
      </c>
      <c r="Q97" s="332">
        <v>244.19</v>
      </c>
      <c r="R97" s="332">
        <v>244.19</v>
      </c>
      <c r="S97" s="332">
        <v>244.19</v>
      </c>
      <c r="T97" s="332">
        <v>244.19</v>
      </c>
      <c r="U97" s="332">
        <v>244.19</v>
      </c>
      <c r="V97" s="332">
        <v>244.19</v>
      </c>
      <c r="W97" s="332">
        <v>244.19</v>
      </c>
      <c r="X97" s="332">
        <v>2930.28</v>
      </c>
      <c r="Y97" s="332">
        <f t="shared" si="25"/>
        <v>2930.28</v>
      </c>
      <c r="Z97" s="332">
        <f t="shared" si="25"/>
        <v>2930.28</v>
      </c>
      <c r="AA97" s="332">
        <f t="shared" si="25"/>
        <v>2930.28</v>
      </c>
      <c r="AB97" s="332">
        <f t="shared" si="25"/>
        <v>2930.28</v>
      </c>
      <c r="AC97" s="332">
        <f t="shared" si="25"/>
        <v>2930.28</v>
      </c>
      <c r="AD97" s="332">
        <f t="shared" si="25"/>
        <v>2930.28</v>
      </c>
      <c r="AE97" s="332">
        <f t="shared" si="25"/>
        <v>2930.28</v>
      </c>
      <c r="AF97" s="332">
        <f t="shared" si="25"/>
        <v>2930.28</v>
      </c>
      <c r="AG97" s="332">
        <f t="shared" si="25"/>
        <v>2930.28</v>
      </c>
      <c r="AH97" s="332">
        <f t="shared" si="25"/>
        <v>2930.28</v>
      </c>
      <c r="AI97" s="332">
        <f t="shared" si="25"/>
        <v>2930.28</v>
      </c>
      <c r="AJ97" s="332">
        <f t="shared" si="26"/>
        <v>2930.28</v>
      </c>
      <c r="AK97" s="332">
        <f t="shared" si="27"/>
        <v>2930.28</v>
      </c>
      <c r="AL97" s="332">
        <f t="shared" si="28"/>
        <v>2930.28</v>
      </c>
      <c r="AM97" s="332">
        <f t="shared" si="28"/>
        <v>2930.28</v>
      </c>
    </row>
    <row r="98" spans="2:39" s="287" customFormat="1">
      <c r="B98" s="343">
        <v>96</v>
      </c>
      <c r="C98" s="343">
        <v>492</v>
      </c>
      <c r="D98" s="345" t="s">
        <v>524</v>
      </c>
      <c r="E98" s="331" t="s">
        <v>682</v>
      </c>
      <c r="F98" s="330" t="s">
        <v>679</v>
      </c>
      <c r="G98" s="330"/>
      <c r="H98" s="332">
        <v>111786.67</v>
      </c>
      <c r="I98" s="329" t="s">
        <v>494</v>
      </c>
      <c r="J98" s="332">
        <v>2.2799999999999998</v>
      </c>
      <c r="K98" s="332">
        <v>1</v>
      </c>
      <c r="L98" s="332">
        <v>212.4</v>
      </c>
      <c r="M98" s="332">
        <v>212.39</v>
      </c>
      <c r="N98" s="332">
        <v>212.4</v>
      </c>
      <c r="O98" s="332">
        <v>212.39</v>
      </c>
      <c r="P98" s="332">
        <v>212.4</v>
      </c>
      <c r="Q98" s="332">
        <v>212.39</v>
      </c>
      <c r="R98" s="332">
        <v>212.4</v>
      </c>
      <c r="S98" s="332">
        <v>212.39</v>
      </c>
      <c r="T98" s="332">
        <v>212.4</v>
      </c>
      <c r="U98" s="332">
        <v>212.39</v>
      </c>
      <c r="V98" s="332">
        <v>212.4</v>
      </c>
      <c r="W98" s="332">
        <v>212.39</v>
      </c>
      <c r="X98" s="332">
        <v>2548.7399999999998</v>
      </c>
      <c r="Y98" s="332">
        <f t="shared" si="25"/>
        <v>2548.7399999999998</v>
      </c>
      <c r="Z98" s="332">
        <f t="shared" si="25"/>
        <v>2548.7399999999998</v>
      </c>
      <c r="AA98" s="332">
        <f t="shared" si="25"/>
        <v>2548.7399999999998</v>
      </c>
      <c r="AB98" s="332">
        <f t="shared" si="25"/>
        <v>2548.7399999999998</v>
      </c>
      <c r="AC98" s="332">
        <f t="shared" si="25"/>
        <v>2548.7399999999998</v>
      </c>
      <c r="AD98" s="332">
        <f t="shared" si="25"/>
        <v>2548.7399999999998</v>
      </c>
      <c r="AE98" s="332">
        <f t="shared" si="25"/>
        <v>2548.7399999999998</v>
      </c>
      <c r="AF98" s="332">
        <f t="shared" si="25"/>
        <v>2548.7399999999998</v>
      </c>
      <c r="AG98" s="332">
        <f t="shared" si="25"/>
        <v>2548.7399999999998</v>
      </c>
      <c r="AH98" s="332">
        <f t="shared" si="25"/>
        <v>2548.7399999999998</v>
      </c>
      <c r="AI98" s="332">
        <f t="shared" si="25"/>
        <v>2548.7399999999998</v>
      </c>
      <c r="AJ98" s="332">
        <f t="shared" si="26"/>
        <v>2548.7399999999998</v>
      </c>
      <c r="AK98" s="332">
        <f t="shared" si="27"/>
        <v>2548.7399999999998</v>
      </c>
      <c r="AL98" s="332">
        <f t="shared" si="28"/>
        <v>2548.7399999999998</v>
      </c>
      <c r="AM98" s="332">
        <f t="shared" si="28"/>
        <v>2548.7399999999998</v>
      </c>
    </row>
    <row r="99" spans="2:39" s="287" customFormat="1">
      <c r="B99" s="343">
        <v>97</v>
      </c>
      <c r="C99" s="343">
        <v>500</v>
      </c>
      <c r="D99" s="345" t="s">
        <v>683</v>
      </c>
      <c r="E99" s="331" t="s">
        <v>684</v>
      </c>
      <c r="F99" s="330" t="s">
        <v>679</v>
      </c>
      <c r="G99" s="330"/>
      <c r="H99" s="332">
        <v>1187079.6799999999</v>
      </c>
      <c r="I99" s="329" t="s">
        <v>494</v>
      </c>
      <c r="J99" s="332">
        <v>2.2799999999999998</v>
      </c>
      <c r="K99" s="332">
        <v>1</v>
      </c>
      <c r="L99" s="332">
        <v>2255.4499999999998</v>
      </c>
      <c r="M99" s="332">
        <v>2255.4499999999998</v>
      </c>
      <c r="N99" s="332">
        <v>2255.46</v>
      </c>
      <c r="O99" s="332">
        <v>2255.4499999999998</v>
      </c>
      <c r="P99" s="332">
        <v>2255.4499999999998</v>
      </c>
      <c r="Q99" s="332">
        <v>2255.4499999999998</v>
      </c>
      <c r="R99" s="332">
        <v>2255.4499999999998</v>
      </c>
      <c r="S99" s="332">
        <v>2255.4499999999998</v>
      </c>
      <c r="T99" s="332">
        <v>2255.46</v>
      </c>
      <c r="U99" s="332">
        <v>2255.4499999999998</v>
      </c>
      <c r="V99" s="332">
        <v>2255.4499999999998</v>
      </c>
      <c r="W99" s="332">
        <v>2255.4499999999998</v>
      </c>
      <c r="X99" s="332">
        <v>27065.42</v>
      </c>
      <c r="Y99" s="332">
        <f t="shared" si="25"/>
        <v>27065.42</v>
      </c>
      <c r="Z99" s="332">
        <f t="shared" si="25"/>
        <v>27065.42</v>
      </c>
      <c r="AA99" s="332">
        <f t="shared" si="25"/>
        <v>27065.42</v>
      </c>
      <c r="AB99" s="332">
        <f t="shared" si="25"/>
        <v>27065.42</v>
      </c>
      <c r="AC99" s="332">
        <f t="shared" si="25"/>
        <v>27065.42</v>
      </c>
      <c r="AD99" s="332">
        <f t="shared" si="25"/>
        <v>27065.42</v>
      </c>
      <c r="AE99" s="332">
        <f t="shared" si="25"/>
        <v>27065.42</v>
      </c>
      <c r="AF99" s="332">
        <f t="shared" si="25"/>
        <v>27065.42</v>
      </c>
      <c r="AG99" s="332">
        <f t="shared" si="25"/>
        <v>27065.42</v>
      </c>
      <c r="AH99" s="332">
        <f t="shared" si="25"/>
        <v>27065.42</v>
      </c>
      <c r="AI99" s="332">
        <f t="shared" si="25"/>
        <v>27065.42</v>
      </c>
      <c r="AJ99" s="332">
        <f t="shared" si="26"/>
        <v>27065.42</v>
      </c>
      <c r="AK99" s="332">
        <f t="shared" si="27"/>
        <v>27065.42</v>
      </c>
      <c r="AL99" s="332">
        <f t="shared" si="28"/>
        <v>27065.42</v>
      </c>
      <c r="AM99" s="332">
        <f t="shared" si="28"/>
        <v>27065.42</v>
      </c>
    </row>
    <row r="100" spans="2:39" s="287" customFormat="1">
      <c r="B100" s="343">
        <v>98</v>
      </c>
      <c r="C100" s="343">
        <v>499</v>
      </c>
      <c r="D100" s="345" t="s">
        <v>685</v>
      </c>
      <c r="E100" s="331" t="s">
        <v>686</v>
      </c>
      <c r="F100" s="330" t="s">
        <v>679</v>
      </c>
      <c r="G100" s="330"/>
      <c r="H100" s="332">
        <v>767386.42</v>
      </c>
      <c r="I100" s="329" t="s">
        <v>494</v>
      </c>
      <c r="J100" s="332">
        <v>2.2799999999999998</v>
      </c>
      <c r="K100" s="332">
        <v>1</v>
      </c>
      <c r="L100" s="332">
        <v>1458.03</v>
      </c>
      <c r="M100" s="332">
        <v>1458.04</v>
      </c>
      <c r="N100" s="332">
        <v>1458.03</v>
      </c>
      <c r="O100" s="332">
        <v>1458.04</v>
      </c>
      <c r="P100" s="332">
        <v>1458.03</v>
      </c>
      <c r="Q100" s="332">
        <v>1458.04</v>
      </c>
      <c r="R100" s="332">
        <v>1458.03</v>
      </c>
      <c r="S100" s="332">
        <v>1458.03</v>
      </c>
      <c r="T100" s="332">
        <v>1458.04</v>
      </c>
      <c r="U100" s="332">
        <v>1458.03</v>
      </c>
      <c r="V100" s="332">
        <v>1458.04</v>
      </c>
      <c r="W100" s="332">
        <v>1458.03</v>
      </c>
      <c r="X100" s="332">
        <v>17496.41</v>
      </c>
      <c r="Y100" s="332">
        <f t="shared" si="25"/>
        <v>17496.41</v>
      </c>
      <c r="Z100" s="332">
        <f t="shared" si="25"/>
        <v>17496.41</v>
      </c>
      <c r="AA100" s="332">
        <f t="shared" ref="Z100:AI115" si="29">Z100</f>
        <v>17496.41</v>
      </c>
      <c r="AB100" s="332">
        <f t="shared" si="29"/>
        <v>17496.41</v>
      </c>
      <c r="AC100" s="332">
        <f t="shared" si="29"/>
        <v>17496.41</v>
      </c>
      <c r="AD100" s="332">
        <f t="shared" si="29"/>
        <v>17496.41</v>
      </c>
      <c r="AE100" s="332">
        <f t="shared" si="29"/>
        <v>17496.41</v>
      </c>
      <c r="AF100" s="332">
        <f t="shared" si="29"/>
        <v>17496.41</v>
      </c>
      <c r="AG100" s="332">
        <f t="shared" si="29"/>
        <v>17496.41</v>
      </c>
      <c r="AH100" s="332">
        <f t="shared" si="29"/>
        <v>17496.41</v>
      </c>
      <c r="AI100" s="332">
        <f t="shared" si="29"/>
        <v>17496.41</v>
      </c>
      <c r="AJ100" s="332">
        <f t="shared" si="26"/>
        <v>17496.41</v>
      </c>
      <c r="AK100" s="332">
        <f t="shared" si="27"/>
        <v>17496.41</v>
      </c>
      <c r="AL100" s="332">
        <f t="shared" si="28"/>
        <v>17496.41</v>
      </c>
      <c r="AM100" s="332">
        <f t="shared" si="28"/>
        <v>17496.41</v>
      </c>
    </row>
    <row r="101" spans="2:39" s="287" customFormat="1">
      <c r="B101" s="343">
        <v>99</v>
      </c>
      <c r="C101" s="343">
        <v>498</v>
      </c>
      <c r="D101" s="345" t="s">
        <v>687</v>
      </c>
      <c r="E101" s="331" t="s">
        <v>688</v>
      </c>
      <c r="F101" s="330" t="s">
        <v>679</v>
      </c>
      <c r="G101" s="330"/>
      <c r="H101" s="332">
        <v>365013.59</v>
      </c>
      <c r="I101" s="329" t="s">
        <v>494</v>
      </c>
      <c r="J101" s="332">
        <v>2.2799999999999998</v>
      </c>
      <c r="K101" s="332">
        <v>1</v>
      </c>
      <c r="L101" s="332">
        <v>693.53</v>
      </c>
      <c r="M101" s="332">
        <v>693.52</v>
      </c>
      <c r="N101" s="332">
        <v>693.53</v>
      </c>
      <c r="O101" s="332">
        <v>693.52</v>
      </c>
      <c r="P101" s="332">
        <v>693.53</v>
      </c>
      <c r="Q101" s="332">
        <v>693.53</v>
      </c>
      <c r="R101" s="332">
        <v>693.52</v>
      </c>
      <c r="S101" s="332">
        <v>693.53</v>
      </c>
      <c r="T101" s="332">
        <v>693.52</v>
      </c>
      <c r="U101" s="332">
        <v>693.53</v>
      </c>
      <c r="V101" s="332">
        <v>693.52</v>
      </c>
      <c r="W101" s="332">
        <v>693.53</v>
      </c>
      <c r="X101" s="332">
        <v>8322.31</v>
      </c>
      <c r="Y101" s="332">
        <f t="shared" si="25"/>
        <v>8322.31</v>
      </c>
      <c r="Z101" s="332">
        <f t="shared" si="29"/>
        <v>8322.31</v>
      </c>
      <c r="AA101" s="332">
        <f t="shared" si="29"/>
        <v>8322.31</v>
      </c>
      <c r="AB101" s="332">
        <f t="shared" si="29"/>
        <v>8322.31</v>
      </c>
      <c r="AC101" s="332">
        <f t="shared" si="29"/>
        <v>8322.31</v>
      </c>
      <c r="AD101" s="332">
        <f t="shared" si="29"/>
        <v>8322.31</v>
      </c>
      <c r="AE101" s="332">
        <f t="shared" si="29"/>
        <v>8322.31</v>
      </c>
      <c r="AF101" s="332">
        <f t="shared" si="29"/>
        <v>8322.31</v>
      </c>
      <c r="AG101" s="332">
        <f t="shared" si="29"/>
        <v>8322.31</v>
      </c>
      <c r="AH101" s="332">
        <f t="shared" si="29"/>
        <v>8322.31</v>
      </c>
      <c r="AI101" s="332">
        <f t="shared" si="29"/>
        <v>8322.31</v>
      </c>
      <c r="AJ101" s="332">
        <f t="shared" si="26"/>
        <v>8322.31</v>
      </c>
      <c r="AK101" s="332">
        <f t="shared" si="27"/>
        <v>8322.31</v>
      </c>
      <c r="AL101" s="332">
        <f t="shared" si="28"/>
        <v>8322.31</v>
      </c>
      <c r="AM101" s="332">
        <f t="shared" si="28"/>
        <v>8322.31</v>
      </c>
    </row>
    <row r="102" spans="2:39" s="287" customFormat="1">
      <c r="B102" s="343">
        <v>100</v>
      </c>
      <c r="C102" s="343">
        <v>496</v>
      </c>
      <c r="D102" s="345" t="s">
        <v>689</v>
      </c>
      <c r="E102" s="331" t="s">
        <v>690</v>
      </c>
      <c r="F102" s="330" t="s">
        <v>679</v>
      </c>
      <c r="G102" s="330"/>
      <c r="H102" s="332">
        <v>152752.79999999999</v>
      </c>
      <c r="I102" s="329" t="s">
        <v>494</v>
      </c>
      <c r="J102" s="332">
        <v>2.2799999999999998</v>
      </c>
      <c r="K102" s="332">
        <v>1</v>
      </c>
      <c r="L102" s="332">
        <v>290.23</v>
      </c>
      <c r="M102" s="332">
        <v>290.23</v>
      </c>
      <c r="N102" s="332">
        <v>290.23</v>
      </c>
      <c r="O102" s="332">
        <v>290.23</v>
      </c>
      <c r="P102" s="332">
        <v>290.23</v>
      </c>
      <c r="Q102" s="332">
        <v>290.23</v>
      </c>
      <c r="R102" s="332">
        <v>290.23</v>
      </c>
      <c r="S102" s="332">
        <v>290.23</v>
      </c>
      <c r="T102" s="332">
        <v>290.23</v>
      </c>
      <c r="U102" s="332">
        <v>290.23</v>
      </c>
      <c r="V102" s="332">
        <v>290.23</v>
      </c>
      <c r="W102" s="332">
        <v>290.23</v>
      </c>
      <c r="X102" s="332">
        <v>3482.76</v>
      </c>
      <c r="Y102" s="332">
        <f t="shared" si="25"/>
        <v>3482.76</v>
      </c>
      <c r="Z102" s="332">
        <f t="shared" si="29"/>
        <v>3482.76</v>
      </c>
      <c r="AA102" s="332">
        <f t="shared" si="29"/>
        <v>3482.76</v>
      </c>
      <c r="AB102" s="332">
        <f t="shared" si="29"/>
        <v>3482.76</v>
      </c>
      <c r="AC102" s="332">
        <f t="shared" si="29"/>
        <v>3482.76</v>
      </c>
      <c r="AD102" s="332">
        <f t="shared" si="29"/>
        <v>3482.76</v>
      </c>
      <c r="AE102" s="332">
        <f t="shared" si="29"/>
        <v>3482.76</v>
      </c>
      <c r="AF102" s="332">
        <f t="shared" si="29"/>
        <v>3482.76</v>
      </c>
      <c r="AG102" s="332">
        <f t="shared" si="29"/>
        <v>3482.76</v>
      </c>
      <c r="AH102" s="332">
        <f t="shared" si="29"/>
        <v>3482.76</v>
      </c>
      <c r="AI102" s="332">
        <f t="shared" si="29"/>
        <v>3482.76</v>
      </c>
      <c r="AJ102" s="332">
        <f t="shared" si="26"/>
        <v>3482.76</v>
      </c>
      <c r="AK102" s="332">
        <f t="shared" si="27"/>
        <v>3482.76</v>
      </c>
      <c r="AL102" s="332">
        <f t="shared" si="28"/>
        <v>3482.76</v>
      </c>
      <c r="AM102" s="332">
        <f t="shared" si="28"/>
        <v>3482.76</v>
      </c>
    </row>
    <row r="103" spans="2:39" s="287" customFormat="1">
      <c r="B103" s="343">
        <v>101</v>
      </c>
      <c r="C103" s="343">
        <v>497</v>
      </c>
      <c r="D103" s="345" t="s">
        <v>691</v>
      </c>
      <c r="E103" s="331" t="s">
        <v>692</v>
      </c>
      <c r="F103" s="330" t="s">
        <v>679</v>
      </c>
      <c r="G103" s="330"/>
      <c r="H103" s="332">
        <v>79254.740000000005</v>
      </c>
      <c r="I103" s="329" t="s">
        <v>494</v>
      </c>
      <c r="J103" s="332">
        <v>2.2799999999999998</v>
      </c>
      <c r="K103" s="332">
        <v>1</v>
      </c>
      <c r="L103" s="332">
        <v>150.58000000000001</v>
      </c>
      <c r="M103" s="332">
        <v>150.59</v>
      </c>
      <c r="N103" s="332">
        <v>150.58000000000001</v>
      </c>
      <c r="O103" s="332">
        <v>150.59</v>
      </c>
      <c r="P103" s="332">
        <v>150.58000000000001</v>
      </c>
      <c r="Q103" s="332">
        <v>150.59</v>
      </c>
      <c r="R103" s="332">
        <v>150.58000000000001</v>
      </c>
      <c r="S103" s="332">
        <v>150.58000000000001</v>
      </c>
      <c r="T103" s="332">
        <v>150.59</v>
      </c>
      <c r="U103" s="332">
        <v>150.58000000000001</v>
      </c>
      <c r="V103" s="332">
        <v>150.59</v>
      </c>
      <c r="W103" s="332">
        <v>150.58000000000001</v>
      </c>
      <c r="X103" s="332">
        <v>1807.01</v>
      </c>
      <c r="Y103" s="332">
        <f t="shared" si="25"/>
        <v>1807.01</v>
      </c>
      <c r="Z103" s="332">
        <f t="shared" si="29"/>
        <v>1807.01</v>
      </c>
      <c r="AA103" s="332">
        <f t="shared" si="29"/>
        <v>1807.01</v>
      </c>
      <c r="AB103" s="332">
        <f t="shared" si="29"/>
        <v>1807.01</v>
      </c>
      <c r="AC103" s="332">
        <f t="shared" si="29"/>
        <v>1807.01</v>
      </c>
      <c r="AD103" s="332">
        <f t="shared" si="29"/>
        <v>1807.01</v>
      </c>
      <c r="AE103" s="332">
        <f t="shared" si="29"/>
        <v>1807.01</v>
      </c>
      <c r="AF103" s="332">
        <f t="shared" si="29"/>
        <v>1807.01</v>
      </c>
      <c r="AG103" s="332">
        <f t="shared" si="29"/>
        <v>1807.01</v>
      </c>
      <c r="AH103" s="332">
        <f t="shared" si="29"/>
        <v>1807.01</v>
      </c>
      <c r="AI103" s="332">
        <f t="shared" si="29"/>
        <v>1807.01</v>
      </c>
      <c r="AJ103" s="332">
        <f t="shared" si="26"/>
        <v>1807.01</v>
      </c>
      <c r="AK103" s="332">
        <f t="shared" si="27"/>
        <v>1807.01</v>
      </c>
      <c r="AL103" s="332">
        <f t="shared" si="28"/>
        <v>1807.01</v>
      </c>
      <c r="AM103" s="332">
        <f t="shared" si="28"/>
        <v>1807.01</v>
      </c>
    </row>
    <row r="104" spans="2:39" s="287" customFormat="1">
      <c r="B104" s="343">
        <v>102</v>
      </c>
      <c r="C104" s="343">
        <v>502</v>
      </c>
      <c r="D104" s="345" t="s">
        <v>693</v>
      </c>
      <c r="E104" s="331" t="s">
        <v>694</v>
      </c>
      <c r="F104" s="330" t="s">
        <v>679</v>
      </c>
      <c r="G104" s="330"/>
      <c r="H104" s="332">
        <v>843916.68</v>
      </c>
      <c r="I104" s="329" t="s">
        <v>494</v>
      </c>
      <c r="J104" s="332">
        <v>2.2799999999999998</v>
      </c>
      <c r="K104" s="332">
        <v>1</v>
      </c>
      <c r="L104" s="332">
        <v>1603.44</v>
      </c>
      <c r="M104" s="332">
        <v>1603.44</v>
      </c>
      <c r="N104" s="332">
        <v>1603.45</v>
      </c>
      <c r="O104" s="332">
        <v>1603.44</v>
      </c>
      <c r="P104" s="332">
        <v>1603.44</v>
      </c>
      <c r="Q104" s="332">
        <v>1603.44</v>
      </c>
      <c r="R104" s="332">
        <v>1603.44</v>
      </c>
      <c r="S104" s="332">
        <v>1603.44</v>
      </c>
      <c r="T104" s="332">
        <v>1603.45</v>
      </c>
      <c r="U104" s="332">
        <v>1603.44</v>
      </c>
      <c r="V104" s="332">
        <v>1603.44</v>
      </c>
      <c r="W104" s="332">
        <v>1603.44</v>
      </c>
      <c r="X104" s="332">
        <v>19241.3</v>
      </c>
      <c r="Y104" s="332">
        <f t="shared" si="25"/>
        <v>19241.3</v>
      </c>
      <c r="Z104" s="332">
        <f t="shared" si="29"/>
        <v>19241.3</v>
      </c>
      <c r="AA104" s="332">
        <f t="shared" si="29"/>
        <v>19241.3</v>
      </c>
      <c r="AB104" s="332">
        <f t="shared" si="29"/>
        <v>19241.3</v>
      </c>
      <c r="AC104" s="332">
        <f t="shared" si="29"/>
        <v>19241.3</v>
      </c>
      <c r="AD104" s="332">
        <f t="shared" si="29"/>
        <v>19241.3</v>
      </c>
      <c r="AE104" s="332">
        <f t="shared" si="29"/>
        <v>19241.3</v>
      </c>
      <c r="AF104" s="332">
        <f t="shared" si="29"/>
        <v>19241.3</v>
      </c>
      <c r="AG104" s="332">
        <f t="shared" si="29"/>
        <v>19241.3</v>
      </c>
      <c r="AH104" s="332">
        <f t="shared" si="29"/>
        <v>19241.3</v>
      </c>
      <c r="AI104" s="332">
        <f t="shared" si="29"/>
        <v>19241.3</v>
      </c>
      <c r="AJ104" s="332">
        <f t="shared" si="26"/>
        <v>19241.3</v>
      </c>
      <c r="AK104" s="332">
        <f t="shared" si="27"/>
        <v>19241.3</v>
      </c>
      <c r="AL104" s="332">
        <f t="shared" si="28"/>
        <v>19241.3</v>
      </c>
      <c r="AM104" s="332">
        <f t="shared" si="28"/>
        <v>19241.3</v>
      </c>
    </row>
    <row r="105" spans="2:39" s="287" customFormat="1">
      <c r="B105" s="343">
        <v>103</v>
      </c>
      <c r="C105" s="343">
        <v>495</v>
      </c>
      <c r="D105" s="345" t="s">
        <v>695</v>
      </c>
      <c r="E105" s="331" t="s">
        <v>696</v>
      </c>
      <c r="F105" s="330" t="s">
        <v>679</v>
      </c>
      <c r="G105" s="330"/>
      <c r="H105" s="332">
        <v>360461.8</v>
      </c>
      <c r="I105" s="329" t="s">
        <v>494</v>
      </c>
      <c r="J105" s="332">
        <v>2.2799999999999998</v>
      </c>
      <c r="K105" s="332">
        <v>1</v>
      </c>
      <c r="L105" s="332">
        <v>684.88</v>
      </c>
      <c r="M105" s="332">
        <v>684.88</v>
      </c>
      <c r="N105" s="332">
        <v>684.87</v>
      </c>
      <c r="O105" s="332">
        <v>684.88</v>
      </c>
      <c r="P105" s="332">
        <v>684.88</v>
      </c>
      <c r="Q105" s="332">
        <v>684.88</v>
      </c>
      <c r="R105" s="332">
        <v>684.87</v>
      </c>
      <c r="S105" s="332">
        <v>684.88</v>
      </c>
      <c r="T105" s="332">
        <v>684.88</v>
      </c>
      <c r="U105" s="332">
        <v>684.88</v>
      </c>
      <c r="V105" s="332">
        <v>684.87</v>
      </c>
      <c r="W105" s="332">
        <v>684.88</v>
      </c>
      <c r="X105" s="332">
        <v>8218.5300000000007</v>
      </c>
      <c r="Y105" s="332">
        <f t="shared" si="25"/>
        <v>8218.5300000000007</v>
      </c>
      <c r="Z105" s="332">
        <f t="shared" si="29"/>
        <v>8218.5300000000007</v>
      </c>
      <c r="AA105" s="332">
        <f t="shared" si="29"/>
        <v>8218.5300000000007</v>
      </c>
      <c r="AB105" s="332">
        <f t="shared" si="29"/>
        <v>8218.5300000000007</v>
      </c>
      <c r="AC105" s="332">
        <f t="shared" si="29"/>
        <v>8218.5300000000007</v>
      </c>
      <c r="AD105" s="332">
        <f t="shared" si="29"/>
        <v>8218.5300000000007</v>
      </c>
      <c r="AE105" s="332">
        <f t="shared" si="29"/>
        <v>8218.5300000000007</v>
      </c>
      <c r="AF105" s="332">
        <f t="shared" si="29"/>
        <v>8218.5300000000007</v>
      </c>
      <c r="AG105" s="332">
        <f t="shared" si="29"/>
        <v>8218.5300000000007</v>
      </c>
      <c r="AH105" s="332">
        <f t="shared" si="29"/>
        <v>8218.5300000000007</v>
      </c>
      <c r="AI105" s="332">
        <f t="shared" si="29"/>
        <v>8218.5300000000007</v>
      </c>
      <c r="AJ105" s="332">
        <f t="shared" si="26"/>
        <v>8218.5300000000007</v>
      </c>
      <c r="AK105" s="332">
        <f t="shared" si="27"/>
        <v>8218.5300000000007</v>
      </c>
      <c r="AL105" s="332">
        <f t="shared" si="28"/>
        <v>8218.5300000000007</v>
      </c>
      <c r="AM105" s="332">
        <f t="shared" si="28"/>
        <v>8218.5300000000007</v>
      </c>
    </row>
    <row r="106" spans="2:39" s="287" customFormat="1">
      <c r="B106" s="343">
        <v>104</v>
      </c>
      <c r="C106" s="343">
        <v>501</v>
      </c>
      <c r="D106" s="345" t="s">
        <v>697</v>
      </c>
      <c r="E106" s="331" t="s">
        <v>698</v>
      </c>
      <c r="F106" s="330" t="s">
        <v>679</v>
      </c>
      <c r="G106" s="330"/>
      <c r="H106" s="332">
        <v>2064091.66</v>
      </c>
      <c r="I106" s="329" t="s">
        <v>494</v>
      </c>
      <c r="J106" s="332">
        <v>2.2799999999999998</v>
      </c>
      <c r="K106" s="332">
        <v>1</v>
      </c>
      <c r="L106" s="332">
        <v>3921.77</v>
      </c>
      <c r="M106" s="332">
        <v>3921.78</v>
      </c>
      <c r="N106" s="332">
        <v>3921.77</v>
      </c>
      <c r="O106" s="332">
        <v>3921.78</v>
      </c>
      <c r="P106" s="332">
        <v>3921.77</v>
      </c>
      <c r="Q106" s="332">
        <v>3921.78</v>
      </c>
      <c r="R106" s="332">
        <v>3921.77</v>
      </c>
      <c r="S106" s="332">
        <v>3921.77</v>
      </c>
      <c r="T106" s="332">
        <v>3921.78</v>
      </c>
      <c r="U106" s="332">
        <v>3921.77</v>
      </c>
      <c r="V106" s="332">
        <v>3921.78</v>
      </c>
      <c r="W106" s="332">
        <v>3921.77</v>
      </c>
      <c r="X106" s="332">
        <v>47061.29</v>
      </c>
      <c r="Y106" s="332">
        <f t="shared" si="25"/>
        <v>47061.29</v>
      </c>
      <c r="Z106" s="332">
        <f t="shared" si="29"/>
        <v>47061.29</v>
      </c>
      <c r="AA106" s="332">
        <f t="shared" si="29"/>
        <v>47061.29</v>
      </c>
      <c r="AB106" s="332">
        <f t="shared" si="29"/>
        <v>47061.29</v>
      </c>
      <c r="AC106" s="332">
        <f t="shared" si="29"/>
        <v>47061.29</v>
      </c>
      <c r="AD106" s="332">
        <f t="shared" si="29"/>
        <v>47061.29</v>
      </c>
      <c r="AE106" s="332">
        <f t="shared" si="29"/>
        <v>47061.29</v>
      </c>
      <c r="AF106" s="332">
        <f t="shared" si="29"/>
        <v>47061.29</v>
      </c>
      <c r="AG106" s="332">
        <f t="shared" si="29"/>
        <v>47061.29</v>
      </c>
      <c r="AH106" s="332">
        <f t="shared" si="29"/>
        <v>47061.29</v>
      </c>
      <c r="AI106" s="332">
        <f t="shared" si="29"/>
        <v>47061.29</v>
      </c>
      <c r="AJ106" s="332">
        <f t="shared" si="26"/>
        <v>47061.29</v>
      </c>
      <c r="AK106" s="332">
        <f t="shared" si="27"/>
        <v>47061.29</v>
      </c>
      <c r="AL106" s="332">
        <f t="shared" si="28"/>
        <v>47061.29</v>
      </c>
      <c r="AM106" s="332">
        <f t="shared" si="28"/>
        <v>47061.29</v>
      </c>
    </row>
    <row r="107" spans="2:39" s="287" customFormat="1">
      <c r="B107" s="343">
        <v>105</v>
      </c>
      <c r="C107" s="343">
        <v>504</v>
      </c>
      <c r="D107" s="345" t="s">
        <v>699</v>
      </c>
      <c r="E107" s="331" t="s">
        <v>700</v>
      </c>
      <c r="F107" s="330" t="s">
        <v>679</v>
      </c>
      <c r="G107" s="330"/>
      <c r="H107" s="332">
        <v>86484.06</v>
      </c>
      <c r="I107" s="329" t="s">
        <v>494</v>
      </c>
      <c r="J107" s="332">
        <v>2.2799999999999998</v>
      </c>
      <c r="K107" s="332">
        <v>1</v>
      </c>
      <c r="L107" s="332">
        <v>164.32</v>
      </c>
      <c r="M107" s="332">
        <v>164.32</v>
      </c>
      <c r="N107" s="332">
        <v>164.32</v>
      </c>
      <c r="O107" s="332">
        <v>164.32</v>
      </c>
      <c r="P107" s="332">
        <v>164.32</v>
      </c>
      <c r="Q107" s="332">
        <v>164.32</v>
      </c>
      <c r="R107" s="332">
        <v>164.32</v>
      </c>
      <c r="S107" s="332">
        <v>164.32</v>
      </c>
      <c r="T107" s="332">
        <v>164.32</v>
      </c>
      <c r="U107" s="332">
        <v>164.32</v>
      </c>
      <c r="V107" s="332">
        <v>164.32</v>
      </c>
      <c r="W107" s="332">
        <v>164.32</v>
      </c>
      <c r="X107" s="332">
        <v>1971.84</v>
      </c>
      <c r="Y107" s="332">
        <f t="shared" si="25"/>
        <v>1971.84</v>
      </c>
      <c r="Z107" s="332">
        <f t="shared" si="29"/>
        <v>1971.84</v>
      </c>
      <c r="AA107" s="332">
        <f t="shared" si="29"/>
        <v>1971.84</v>
      </c>
      <c r="AB107" s="332">
        <f t="shared" si="29"/>
        <v>1971.84</v>
      </c>
      <c r="AC107" s="332">
        <f t="shared" si="29"/>
        <v>1971.84</v>
      </c>
      <c r="AD107" s="332">
        <f t="shared" si="29"/>
        <v>1971.84</v>
      </c>
      <c r="AE107" s="332">
        <f t="shared" si="29"/>
        <v>1971.84</v>
      </c>
      <c r="AF107" s="332">
        <f t="shared" si="29"/>
        <v>1971.84</v>
      </c>
      <c r="AG107" s="332">
        <f t="shared" si="29"/>
        <v>1971.84</v>
      </c>
      <c r="AH107" s="332">
        <f t="shared" si="29"/>
        <v>1971.84</v>
      </c>
      <c r="AI107" s="332">
        <f t="shared" si="29"/>
        <v>1971.84</v>
      </c>
      <c r="AJ107" s="332">
        <f t="shared" si="26"/>
        <v>1971.84</v>
      </c>
      <c r="AK107" s="332">
        <f t="shared" si="27"/>
        <v>1971.84</v>
      </c>
      <c r="AL107" s="332">
        <f t="shared" si="28"/>
        <v>1971.84</v>
      </c>
      <c r="AM107" s="332">
        <f t="shared" si="28"/>
        <v>1971.84</v>
      </c>
    </row>
    <row r="108" spans="2:39" s="287" customFormat="1">
      <c r="B108" s="343">
        <v>106</v>
      </c>
      <c r="C108" s="343">
        <v>510</v>
      </c>
      <c r="D108" s="345" t="s">
        <v>701</v>
      </c>
      <c r="E108" s="331" t="s">
        <v>702</v>
      </c>
      <c r="F108" s="330" t="s">
        <v>703</v>
      </c>
      <c r="G108" s="330" t="s">
        <v>366</v>
      </c>
      <c r="H108" s="332">
        <v>3494802.8</v>
      </c>
      <c r="I108" s="329" t="s">
        <v>494</v>
      </c>
      <c r="J108" s="332">
        <v>7</v>
      </c>
      <c r="K108" s="332">
        <v>1</v>
      </c>
      <c r="L108" s="332">
        <v>20386.349999999999</v>
      </c>
      <c r="M108" s="332">
        <v>20386.349999999999</v>
      </c>
      <c r="N108" s="332">
        <v>20386.349999999999</v>
      </c>
      <c r="O108" s="332">
        <v>20386.349999999999</v>
      </c>
      <c r="P108" s="332">
        <v>20386.349999999999</v>
      </c>
      <c r="Q108" s="332">
        <v>20386.349999999999</v>
      </c>
      <c r="R108" s="332">
        <v>20386.349999999999</v>
      </c>
      <c r="S108" s="332">
        <v>20386.349999999999</v>
      </c>
      <c r="T108" s="332">
        <v>20386.349999999999</v>
      </c>
      <c r="U108" s="332">
        <v>20386.349999999999</v>
      </c>
      <c r="V108" s="332">
        <v>20386.349999999999</v>
      </c>
      <c r="W108" s="332">
        <v>20386.349999999999</v>
      </c>
      <c r="X108" s="332">
        <v>244636.2</v>
      </c>
      <c r="Y108" s="332">
        <f t="shared" si="25"/>
        <v>244636.2</v>
      </c>
      <c r="Z108" s="332">
        <f t="shared" si="29"/>
        <v>244636.2</v>
      </c>
      <c r="AA108" s="332">
        <f t="shared" si="29"/>
        <v>244636.2</v>
      </c>
      <c r="AB108" s="332">
        <f t="shared" si="29"/>
        <v>244636.2</v>
      </c>
      <c r="AC108" s="332">
        <f t="shared" si="29"/>
        <v>244636.2</v>
      </c>
      <c r="AD108" s="332">
        <f t="shared" si="29"/>
        <v>244636.2</v>
      </c>
      <c r="AE108" s="332">
        <f t="shared" si="29"/>
        <v>244636.2</v>
      </c>
      <c r="AF108" s="332"/>
      <c r="AG108" s="332"/>
      <c r="AH108" s="332"/>
      <c r="AI108" s="332"/>
      <c r="AJ108" s="332"/>
      <c r="AK108" s="332"/>
      <c r="AL108" s="332"/>
      <c r="AM108" s="332"/>
    </row>
    <row r="109" spans="2:39" s="287" customFormat="1">
      <c r="B109" s="343">
        <v>107</v>
      </c>
      <c r="C109" s="343">
        <v>521</v>
      </c>
      <c r="D109" s="345" t="s">
        <v>704</v>
      </c>
      <c r="E109" s="331" t="s">
        <v>705</v>
      </c>
      <c r="F109" s="330" t="s">
        <v>706</v>
      </c>
      <c r="G109" s="330" t="s">
        <v>367</v>
      </c>
      <c r="H109" s="332">
        <v>11155.39</v>
      </c>
      <c r="I109" s="329" t="s">
        <v>494</v>
      </c>
      <c r="J109" s="332">
        <v>7</v>
      </c>
      <c r="K109" s="332">
        <v>1</v>
      </c>
      <c r="L109" s="332">
        <v>65.069999999999993</v>
      </c>
      <c r="M109" s="332">
        <v>65.08</v>
      </c>
      <c r="N109" s="332">
        <v>65.069999999999993</v>
      </c>
      <c r="O109" s="332">
        <v>65.069999999999993</v>
      </c>
      <c r="P109" s="332">
        <v>65.08</v>
      </c>
      <c r="Q109" s="332">
        <v>65.069999999999993</v>
      </c>
      <c r="R109" s="332">
        <v>65.069999999999993</v>
      </c>
      <c r="S109" s="332">
        <v>65.08</v>
      </c>
      <c r="T109" s="332">
        <v>65.069999999999993</v>
      </c>
      <c r="U109" s="332">
        <v>65.069999999999993</v>
      </c>
      <c r="V109" s="332">
        <v>65.08</v>
      </c>
      <c r="W109" s="332">
        <v>65.069999999999993</v>
      </c>
      <c r="X109" s="332">
        <v>780.88</v>
      </c>
      <c r="Y109" s="332">
        <f t="shared" si="25"/>
        <v>780.88</v>
      </c>
      <c r="Z109" s="332">
        <f t="shared" si="29"/>
        <v>780.88</v>
      </c>
      <c r="AA109" s="332">
        <f t="shared" si="29"/>
        <v>780.88</v>
      </c>
      <c r="AB109" s="332">
        <f t="shared" si="29"/>
        <v>780.88</v>
      </c>
      <c r="AC109" s="332">
        <f t="shared" si="29"/>
        <v>780.88</v>
      </c>
      <c r="AD109" s="332">
        <f t="shared" si="29"/>
        <v>780.88</v>
      </c>
      <c r="AE109" s="332">
        <f t="shared" si="29"/>
        <v>780.88</v>
      </c>
      <c r="AF109" s="332">
        <f t="shared" si="29"/>
        <v>780.88</v>
      </c>
      <c r="AG109" s="332"/>
      <c r="AH109" s="332"/>
      <c r="AI109" s="332"/>
      <c r="AJ109" s="332"/>
      <c r="AK109" s="332"/>
      <c r="AL109" s="332"/>
      <c r="AM109" s="332"/>
    </row>
    <row r="110" spans="2:39" s="287" customFormat="1">
      <c r="B110" s="343">
        <v>108</v>
      </c>
      <c r="C110" s="343">
        <v>475</v>
      </c>
      <c r="D110" s="345" t="s">
        <v>707</v>
      </c>
      <c r="E110" s="331" t="s">
        <v>708</v>
      </c>
      <c r="F110" s="330" t="s">
        <v>709</v>
      </c>
      <c r="G110" s="330" t="s">
        <v>362</v>
      </c>
      <c r="H110" s="332">
        <v>71306.09</v>
      </c>
      <c r="I110" s="329" t="s">
        <v>494</v>
      </c>
      <c r="J110" s="332">
        <v>10</v>
      </c>
      <c r="K110" s="332">
        <v>1</v>
      </c>
      <c r="L110" s="332">
        <v>594.22</v>
      </c>
      <c r="M110" s="332">
        <v>594.22</v>
      </c>
      <c r="N110" s="332">
        <v>594.21</v>
      </c>
      <c r="O110" s="332">
        <v>594.22</v>
      </c>
      <c r="P110" s="332">
        <v>594.22</v>
      </c>
      <c r="Q110" s="332">
        <v>594.22</v>
      </c>
      <c r="R110" s="332">
        <v>594.21</v>
      </c>
      <c r="S110" s="332">
        <v>594.22</v>
      </c>
      <c r="T110" s="332">
        <v>594.22</v>
      </c>
      <c r="U110" s="332">
        <v>594.22</v>
      </c>
      <c r="V110" s="332">
        <v>594.21</v>
      </c>
      <c r="W110" s="332">
        <v>594.22</v>
      </c>
      <c r="X110" s="332">
        <v>7130.61</v>
      </c>
      <c r="Y110" s="332">
        <f t="shared" si="25"/>
        <v>7130.61</v>
      </c>
      <c r="Z110" s="332">
        <f t="shared" si="29"/>
        <v>7130.61</v>
      </c>
      <c r="AA110" s="332">
        <f t="shared" si="29"/>
        <v>7130.61</v>
      </c>
      <c r="AB110" s="332"/>
      <c r="AC110" s="332"/>
      <c r="AD110" s="332"/>
      <c r="AE110" s="332"/>
      <c r="AF110" s="332"/>
      <c r="AG110" s="332"/>
      <c r="AH110" s="332"/>
      <c r="AI110" s="332"/>
      <c r="AJ110" s="332"/>
      <c r="AK110" s="332"/>
      <c r="AL110" s="332"/>
      <c r="AM110" s="332"/>
    </row>
    <row r="111" spans="2:39" s="287" customFormat="1">
      <c r="B111" s="343">
        <v>109</v>
      </c>
      <c r="C111" s="343">
        <v>535</v>
      </c>
      <c r="D111" s="345" t="s">
        <v>710</v>
      </c>
      <c r="E111" s="331" t="s">
        <v>711</v>
      </c>
      <c r="F111" s="330" t="s">
        <v>709</v>
      </c>
      <c r="G111" s="330" t="s">
        <v>363</v>
      </c>
      <c r="H111" s="332">
        <v>79990</v>
      </c>
      <c r="I111" s="329" t="s">
        <v>494</v>
      </c>
      <c r="J111" s="332">
        <v>10</v>
      </c>
      <c r="K111" s="332">
        <v>1</v>
      </c>
      <c r="L111" s="332">
        <v>666.58</v>
      </c>
      <c r="M111" s="332">
        <v>666.59</v>
      </c>
      <c r="N111" s="332">
        <v>666.58</v>
      </c>
      <c r="O111" s="332">
        <v>666.58</v>
      </c>
      <c r="P111" s="332">
        <v>666.59</v>
      </c>
      <c r="Q111" s="332">
        <v>666.58</v>
      </c>
      <c r="R111" s="332">
        <v>666.58</v>
      </c>
      <c r="S111" s="332">
        <v>666.59</v>
      </c>
      <c r="T111" s="332">
        <v>666.58</v>
      </c>
      <c r="U111" s="332">
        <v>666.58</v>
      </c>
      <c r="V111" s="332">
        <v>666.59</v>
      </c>
      <c r="W111" s="332">
        <v>666.58</v>
      </c>
      <c r="X111" s="332">
        <v>7999</v>
      </c>
      <c r="Y111" s="332">
        <f t="shared" si="25"/>
        <v>7999</v>
      </c>
      <c r="Z111" s="332">
        <f t="shared" si="29"/>
        <v>7999</v>
      </c>
      <c r="AA111" s="332">
        <f t="shared" si="29"/>
        <v>7999</v>
      </c>
      <c r="AB111" s="332">
        <f t="shared" si="29"/>
        <v>7999</v>
      </c>
      <c r="AC111" s="332"/>
      <c r="AD111" s="332"/>
      <c r="AE111" s="332"/>
      <c r="AF111" s="332"/>
      <c r="AG111" s="332"/>
      <c r="AH111" s="332"/>
      <c r="AI111" s="332"/>
      <c r="AJ111" s="332"/>
      <c r="AK111" s="332"/>
      <c r="AL111" s="332"/>
      <c r="AM111" s="332"/>
    </row>
    <row r="112" spans="2:39" s="287" customFormat="1">
      <c r="B112" s="343">
        <v>110</v>
      </c>
      <c r="C112" s="343">
        <v>534</v>
      </c>
      <c r="D112" s="345" t="s">
        <v>712</v>
      </c>
      <c r="E112" s="331" t="s">
        <v>713</v>
      </c>
      <c r="F112" s="330" t="s">
        <v>709</v>
      </c>
      <c r="G112" s="330" t="s">
        <v>363</v>
      </c>
      <c r="H112" s="332">
        <v>190510</v>
      </c>
      <c r="I112" s="329" t="s">
        <v>494</v>
      </c>
      <c r="J112" s="332">
        <v>10</v>
      </c>
      <c r="K112" s="332">
        <v>1</v>
      </c>
      <c r="L112" s="332">
        <v>1587.58</v>
      </c>
      <c r="M112" s="332">
        <v>1587.59</v>
      </c>
      <c r="N112" s="332">
        <v>1587.58</v>
      </c>
      <c r="O112" s="332">
        <v>1587.58</v>
      </c>
      <c r="P112" s="332">
        <v>1587.59</v>
      </c>
      <c r="Q112" s="332">
        <v>1587.58</v>
      </c>
      <c r="R112" s="332">
        <v>1587.58</v>
      </c>
      <c r="S112" s="332">
        <v>1587.59</v>
      </c>
      <c r="T112" s="332">
        <v>1587.58</v>
      </c>
      <c r="U112" s="332">
        <v>1587.58</v>
      </c>
      <c r="V112" s="332">
        <v>1587.59</v>
      </c>
      <c r="W112" s="332">
        <v>1587.58</v>
      </c>
      <c r="X112" s="332">
        <v>19051</v>
      </c>
      <c r="Y112" s="332">
        <f t="shared" si="25"/>
        <v>19051</v>
      </c>
      <c r="Z112" s="332">
        <f t="shared" si="29"/>
        <v>19051</v>
      </c>
      <c r="AA112" s="332">
        <f t="shared" si="29"/>
        <v>19051</v>
      </c>
      <c r="AB112" s="332">
        <f t="shared" si="29"/>
        <v>19051</v>
      </c>
      <c r="AC112" s="332"/>
      <c r="AD112" s="332"/>
      <c r="AE112" s="332"/>
      <c r="AF112" s="332"/>
      <c r="AG112" s="332"/>
      <c r="AH112" s="332"/>
      <c r="AI112" s="332"/>
      <c r="AJ112" s="332"/>
      <c r="AK112" s="332"/>
      <c r="AL112" s="332"/>
      <c r="AM112" s="332"/>
    </row>
    <row r="113" spans="2:39" s="287" customFormat="1">
      <c r="B113" s="343">
        <v>111</v>
      </c>
      <c r="C113" s="343">
        <v>506</v>
      </c>
      <c r="D113" s="345" t="s">
        <v>714</v>
      </c>
      <c r="E113" s="331" t="s">
        <v>715</v>
      </c>
      <c r="F113" s="330" t="s">
        <v>709</v>
      </c>
      <c r="G113" s="330"/>
      <c r="H113" s="332">
        <v>16669954.4</v>
      </c>
      <c r="I113" s="329" t="s">
        <v>494</v>
      </c>
      <c r="J113" s="332">
        <v>5.45</v>
      </c>
      <c r="K113" s="332">
        <v>1</v>
      </c>
      <c r="L113" s="332">
        <v>75709.38</v>
      </c>
      <c r="M113" s="332">
        <v>75709.37</v>
      </c>
      <c r="N113" s="332">
        <v>75709.38</v>
      </c>
      <c r="O113" s="332">
        <v>75709.37</v>
      </c>
      <c r="P113" s="332">
        <v>75709.38</v>
      </c>
      <c r="Q113" s="332">
        <v>75709.38</v>
      </c>
      <c r="R113" s="332">
        <v>75709.37</v>
      </c>
      <c r="S113" s="332">
        <v>75709.38</v>
      </c>
      <c r="T113" s="332">
        <v>75709.37</v>
      </c>
      <c r="U113" s="332">
        <v>75709.38</v>
      </c>
      <c r="V113" s="332">
        <v>75709.37</v>
      </c>
      <c r="W113" s="332">
        <v>75709.38</v>
      </c>
      <c r="X113" s="332">
        <v>908512.51</v>
      </c>
      <c r="Y113" s="332">
        <f t="shared" si="25"/>
        <v>908512.51</v>
      </c>
      <c r="Z113" s="332">
        <f t="shared" si="29"/>
        <v>908512.51</v>
      </c>
      <c r="AA113" s="332">
        <f t="shared" si="29"/>
        <v>908512.51</v>
      </c>
      <c r="AB113" s="332">
        <f t="shared" si="29"/>
        <v>908512.51</v>
      </c>
      <c r="AC113" s="332">
        <f t="shared" si="29"/>
        <v>908512.51</v>
      </c>
      <c r="AD113" s="332">
        <f t="shared" si="29"/>
        <v>908512.51</v>
      </c>
      <c r="AE113" s="332">
        <f t="shared" si="29"/>
        <v>908512.51</v>
      </c>
      <c r="AF113" s="332">
        <f t="shared" si="29"/>
        <v>908512.51</v>
      </c>
      <c r="AG113" s="332">
        <f t="shared" si="29"/>
        <v>908512.51</v>
      </c>
      <c r="AH113" s="332">
        <f t="shared" si="29"/>
        <v>908512.51</v>
      </c>
      <c r="AI113" s="332">
        <f t="shared" si="29"/>
        <v>908512.51</v>
      </c>
      <c r="AJ113" s="332">
        <f t="shared" ref="AJ113:AJ115" si="30">AI113</f>
        <v>908512.51</v>
      </c>
      <c r="AK113" s="332">
        <f t="shared" ref="AK113:AK115" si="31">AJ113</f>
        <v>908512.51</v>
      </c>
      <c r="AL113" s="332">
        <f t="shared" ref="AL113:AM115" si="32">AK113</f>
        <v>908512.51</v>
      </c>
      <c r="AM113" s="332">
        <f t="shared" si="32"/>
        <v>908512.51</v>
      </c>
    </row>
    <row r="114" spans="2:39" s="287" customFormat="1">
      <c r="B114" s="343">
        <v>112</v>
      </c>
      <c r="C114" s="343">
        <v>512</v>
      </c>
      <c r="D114" s="345" t="s">
        <v>716</v>
      </c>
      <c r="E114" s="331" t="s">
        <v>717</v>
      </c>
      <c r="F114" s="330" t="s">
        <v>709</v>
      </c>
      <c r="G114" s="330"/>
      <c r="H114" s="332">
        <v>618558.47</v>
      </c>
      <c r="I114" s="329" t="s">
        <v>494</v>
      </c>
      <c r="J114" s="332">
        <v>4.5</v>
      </c>
      <c r="K114" s="332">
        <v>1</v>
      </c>
      <c r="L114" s="332">
        <v>2319.59</v>
      </c>
      <c r="M114" s="332">
        <v>2319.6</v>
      </c>
      <c r="N114" s="332">
        <v>2319.59</v>
      </c>
      <c r="O114" s="332">
        <v>2319.6</v>
      </c>
      <c r="P114" s="332">
        <v>2319.59</v>
      </c>
      <c r="Q114" s="332">
        <v>2319.6</v>
      </c>
      <c r="R114" s="332">
        <v>2319.59</v>
      </c>
      <c r="S114" s="332">
        <v>2319.59</v>
      </c>
      <c r="T114" s="332">
        <v>2319.6</v>
      </c>
      <c r="U114" s="332">
        <v>2319.59</v>
      </c>
      <c r="V114" s="332">
        <v>2319.6</v>
      </c>
      <c r="W114" s="332">
        <v>2319.59</v>
      </c>
      <c r="X114" s="332">
        <v>27835.13</v>
      </c>
      <c r="Y114" s="332">
        <f t="shared" si="25"/>
        <v>27835.13</v>
      </c>
      <c r="Z114" s="332">
        <f t="shared" si="29"/>
        <v>27835.13</v>
      </c>
      <c r="AA114" s="332">
        <f t="shared" si="29"/>
        <v>27835.13</v>
      </c>
      <c r="AB114" s="332">
        <f t="shared" si="29"/>
        <v>27835.13</v>
      </c>
      <c r="AC114" s="332">
        <f t="shared" si="29"/>
        <v>27835.13</v>
      </c>
      <c r="AD114" s="332">
        <f t="shared" si="29"/>
        <v>27835.13</v>
      </c>
      <c r="AE114" s="332">
        <f t="shared" si="29"/>
        <v>27835.13</v>
      </c>
      <c r="AF114" s="332">
        <f t="shared" si="29"/>
        <v>27835.13</v>
      </c>
      <c r="AG114" s="332">
        <f t="shared" si="29"/>
        <v>27835.13</v>
      </c>
      <c r="AH114" s="332">
        <f t="shared" si="29"/>
        <v>27835.13</v>
      </c>
      <c r="AI114" s="332">
        <f t="shared" si="29"/>
        <v>27835.13</v>
      </c>
      <c r="AJ114" s="332">
        <f t="shared" si="30"/>
        <v>27835.13</v>
      </c>
      <c r="AK114" s="332">
        <f t="shared" si="31"/>
        <v>27835.13</v>
      </c>
      <c r="AL114" s="332">
        <f t="shared" si="32"/>
        <v>27835.13</v>
      </c>
      <c r="AM114" s="332">
        <f t="shared" si="32"/>
        <v>27835.13</v>
      </c>
    </row>
    <row r="115" spans="2:39" s="287" customFormat="1">
      <c r="B115" s="343">
        <v>113</v>
      </c>
      <c r="C115" s="343">
        <v>505</v>
      </c>
      <c r="D115" s="345" t="s">
        <v>718</v>
      </c>
      <c r="E115" s="331" t="s">
        <v>719</v>
      </c>
      <c r="F115" s="330" t="s">
        <v>709</v>
      </c>
      <c r="G115" s="330"/>
      <c r="H115" s="332">
        <v>33356992.219999999</v>
      </c>
      <c r="I115" s="329" t="s">
        <v>494</v>
      </c>
      <c r="J115" s="332">
        <v>5.45</v>
      </c>
      <c r="K115" s="332">
        <v>1</v>
      </c>
      <c r="L115" s="332">
        <v>151496.34</v>
      </c>
      <c r="M115" s="332">
        <v>151496.34</v>
      </c>
      <c r="N115" s="332">
        <v>151496.34</v>
      </c>
      <c r="O115" s="332">
        <v>151496.34</v>
      </c>
      <c r="P115" s="332">
        <v>151496.34</v>
      </c>
      <c r="Q115" s="332">
        <v>151496.34</v>
      </c>
      <c r="R115" s="332">
        <v>151496.34</v>
      </c>
      <c r="S115" s="332">
        <v>151496.34</v>
      </c>
      <c r="T115" s="332">
        <v>151496.34</v>
      </c>
      <c r="U115" s="332">
        <v>151496.34</v>
      </c>
      <c r="V115" s="332">
        <v>151496.34</v>
      </c>
      <c r="W115" s="332">
        <v>151496.34</v>
      </c>
      <c r="X115" s="332">
        <v>1817956.08</v>
      </c>
      <c r="Y115" s="332">
        <f t="shared" si="25"/>
        <v>1817956.08</v>
      </c>
      <c r="Z115" s="332">
        <f t="shared" si="29"/>
        <v>1817956.08</v>
      </c>
      <c r="AA115" s="332">
        <f t="shared" si="29"/>
        <v>1817956.08</v>
      </c>
      <c r="AB115" s="332">
        <f t="shared" si="29"/>
        <v>1817956.08</v>
      </c>
      <c r="AC115" s="332">
        <f t="shared" si="29"/>
        <v>1817956.08</v>
      </c>
      <c r="AD115" s="332">
        <f t="shared" si="29"/>
        <v>1817956.08</v>
      </c>
      <c r="AE115" s="332">
        <f t="shared" si="29"/>
        <v>1817956.08</v>
      </c>
      <c r="AF115" s="332">
        <f t="shared" si="29"/>
        <v>1817956.08</v>
      </c>
      <c r="AG115" s="332">
        <f t="shared" si="29"/>
        <v>1817956.08</v>
      </c>
      <c r="AH115" s="332">
        <f t="shared" si="29"/>
        <v>1817956.08</v>
      </c>
      <c r="AI115" s="332">
        <f t="shared" si="29"/>
        <v>1817956.08</v>
      </c>
      <c r="AJ115" s="332">
        <f t="shared" si="30"/>
        <v>1817956.08</v>
      </c>
      <c r="AK115" s="332">
        <f t="shared" si="31"/>
        <v>1817956.08</v>
      </c>
      <c r="AL115" s="332">
        <f t="shared" si="32"/>
        <v>1817956.08</v>
      </c>
      <c r="AM115" s="332">
        <f t="shared" si="32"/>
        <v>1817956.08</v>
      </c>
    </row>
    <row r="116" spans="2:39" s="287" customFormat="1">
      <c r="B116" s="343">
        <v>114</v>
      </c>
      <c r="C116" s="343">
        <v>479</v>
      </c>
      <c r="D116" s="345" t="s">
        <v>720</v>
      </c>
      <c r="E116" s="331" t="s">
        <v>721</v>
      </c>
      <c r="F116" s="330" t="s">
        <v>722</v>
      </c>
      <c r="G116" s="330" t="s">
        <v>323</v>
      </c>
      <c r="H116" s="332">
        <v>19875</v>
      </c>
      <c r="I116" s="329" t="s">
        <v>494</v>
      </c>
      <c r="J116" s="332">
        <v>14</v>
      </c>
      <c r="K116" s="332">
        <v>1</v>
      </c>
      <c r="L116" s="332">
        <v>231.88</v>
      </c>
      <c r="M116" s="332">
        <v>231.87</v>
      </c>
      <c r="N116" s="332">
        <v>231.88</v>
      </c>
      <c r="O116" s="332">
        <v>231.87</v>
      </c>
      <c r="P116" s="332">
        <v>231.88</v>
      </c>
      <c r="Q116" s="332">
        <v>231.87</v>
      </c>
      <c r="R116" s="332">
        <v>231.88</v>
      </c>
      <c r="S116" s="332">
        <v>231.87</v>
      </c>
      <c r="T116" s="332">
        <v>231.88</v>
      </c>
      <c r="U116" s="332">
        <v>231.87</v>
      </c>
      <c r="V116" s="332">
        <v>231.88</v>
      </c>
      <c r="W116" s="332">
        <v>231.87</v>
      </c>
      <c r="X116" s="332">
        <v>2782.5</v>
      </c>
      <c r="Y116" s="332"/>
      <c r="Z116" s="332"/>
      <c r="AA116" s="332"/>
      <c r="AB116" s="332"/>
      <c r="AC116" s="332"/>
      <c r="AD116" s="332"/>
      <c r="AE116" s="332"/>
      <c r="AF116" s="332"/>
      <c r="AG116" s="332"/>
      <c r="AH116" s="332"/>
      <c r="AI116" s="332"/>
      <c r="AJ116" s="332"/>
      <c r="AK116" s="332"/>
      <c r="AL116" s="332"/>
      <c r="AM116" s="332"/>
    </row>
    <row r="117" spans="2:39" s="287" customFormat="1">
      <c r="B117" s="343">
        <v>115</v>
      </c>
      <c r="C117" s="343">
        <v>478</v>
      </c>
      <c r="D117" s="345" t="s">
        <v>723</v>
      </c>
      <c r="E117" s="331" t="s">
        <v>724</v>
      </c>
      <c r="F117" s="330" t="s">
        <v>722</v>
      </c>
      <c r="G117" s="330" t="s">
        <v>361</v>
      </c>
      <c r="H117" s="332">
        <v>86836.5</v>
      </c>
      <c r="I117" s="329" t="s">
        <v>494</v>
      </c>
      <c r="J117" s="332">
        <v>14</v>
      </c>
      <c r="K117" s="332">
        <v>1</v>
      </c>
      <c r="L117" s="332">
        <v>1013.09</v>
      </c>
      <c r="M117" s="332">
        <v>1013.1</v>
      </c>
      <c r="N117" s="332">
        <v>1013.09</v>
      </c>
      <c r="O117" s="332">
        <v>1013.09</v>
      </c>
      <c r="P117" s="332">
        <v>1013.09</v>
      </c>
      <c r="Q117" s="332">
        <v>1013.1</v>
      </c>
      <c r="R117" s="332">
        <v>1013.09</v>
      </c>
      <c r="S117" s="332">
        <v>1013.09</v>
      </c>
      <c r="T117" s="332">
        <v>1013.09</v>
      </c>
      <c r="U117" s="332">
        <v>1013.1</v>
      </c>
      <c r="V117" s="332">
        <v>1013.09</v>
      </c>
      <c r="W117" s="332">
        <v>1013.09</v>
      </c>
      <c r="X117" s="332">
        <v>12157.11</v>
      </c>
      <c r="Y117" s="332">
        <f t="shared" si="25"/>
        <v>12157.11</v>
      </c>
      <c r="Z117" s="332">
        <f t="shared" ref="Z117:AI131" si="33">Y117</f>
        <v>12157.11</v>
      </c>
      <c r="AA117" s="332"/>
      <c r="AB117" s="332"/>
      <c r="AC117" s="332"/>
      <c r="AD117" s="332"/>
      <c r="AE117" s="332"/>
      <c r="AF117" s="332"/>
      <c r="AG117" s="332"/>
      <c r="AH117" s="332"/>
      <c r="AI117" s="332"/>
      <c r="AJ117" s="332"/>
      <c r="AK117" s="332"/>
      <c r="AL117" s="332"/>
      <c r="AM117" s="332"/>
    </row>
    <row r="118" spans="2:39" s="287" customFormat="1">
      <c r="B118" s="343">
        <v>116</v>
      </c>
      <c r="C118" s="343">
        <v>480</v>
      </c>
      <c r="D118" s="345" t="s">
        <v>725</v>
      </c>
      <c r="E118" s="331" t="s">
        <v>726</v>
      </c>
      <c r="F118" s="330" t="s">
        <v>722</v>
      </c>
      <c r="G118" s="330" t="s">
        <v>362</v>
      </c>
      <c r="H118" s="332">
        <v>13845.6</v>
      </c>
      <c r="I118" s="329" t="s">
        <v>494</v>
      </c>
      <c r="J118" s="332">
        <v>14</v>
      </c>
      <c r="K118" s="332">
        <v>1</v>
      </c>
      <c r="L118" s="332">
        <v>161.53</v>
      </c>
      <c r="M118" s="332">
        <v>161.53</v>
      </c>
      <c r="N118" s="332">
        <v>161.54</v>
      </c>
      <c r="O118" s="332">
        <v>161.53</v>
      </c>
      <c r="P118" s="332">
        <v>161.53</v>
      </c>
      <c r="Q118" s="332">
        <v>161.53</v>
      </c>
      <c r="R118" s="332">
        <v>161.53</v>
      </c>
      <c r="S118" s="332">
        <v>161.53</v>
      </c>
      <c r="T118" s="332">
        <v>161.54</v>
      </c>
      <c r="U118" s="332">
        <v>161.53</v>
      </c>
      <c r="V118" s="332">
        <v>161.53</v>
      </c>
      <c r="W118" s="332">
        <v>161.53</v>
      </c>
      <c r="X118" s="332">
        <v>1938.38</v>
      </c>
      <c r="Y118" s="332">
        <f t="shared" si="25"/>
        <v>1938.38</v>
      </c>
      <c r="Z118" s="332">
        <f t="shared" si="33"/>
        <v>1938.38</v>
      </c>
      <c r="AA118" s="332">
        <f t="shared" si="33"/>
        <v>1938.38</v>
      </c>
      <c r="AB118" s="332"/>
      <c r="AC118" s="332"/>
      <c r="AD118" s="332"/>
      <c r="AE118" s="332"/>
      <c r="AF118" s="332"/>
      <c r="AG118" s="332"/>
      <c r="AH118" s="332"/>
      <c r="AI118" s="332"/>
      <c r="AJ118" s="332"/>
      <c r="AK118" s="332"/>
      <c r="AL118" s="332"/>
      <c r="AM118" s="332"/>
    </row>
    <row r="119" spans="2:39" s="287" customFormat="1">
      <c r="B119" s="343">
        <v>117</v>
      </c>
      <c r="C119" s="343">
        <v>539</v>
      </c>
      <c r="D119" s="345" t="s">
        <v>727</v>
      </c>
      <c r="E119" s="331" t="s">
        <v>728</v>
      </c>
      <c r="F119" s="330" t="s">
        <v>722</v>
      </c>
      <c r="G119" s="330" t="s">
        <v>366</v>
      </c>
      <c r="H119" s="332">
        <v>95900</v>
      </c>
      <c r="I119" s="329" t="s">
        <v>494</v>
      </c>
      <c r="J119" s="332">
        <v>14</v>
      </c>
      <c r="K119" s="332">
        <v>1</v>
      </c>
      <c r="L119" s="332">
        <v>1118.83</v>
      </c>
      <c r="M119" s="332">
        <v>1118.8399999999999</v>
      </c>
      <c r="N119" s="332">
        <v>1118.83</v>
      </c>
      <c r="O119" s="332">
        <v>1118.83</v>
      </c>
      <c r="P119" s="332">
        <v>1118.8399999999999</v>
      </c>
      <c r="Q119" s="332">
        <v>1118.83</v>
      </c>
      <c r="R119" s="332">
        <v>1118.83</v>
      </c>
      <c r="S119" s="332">
        <v>1118.8399999999999</v>
      </c>
      <c r="T119" s="332">
        <v>1118.83</v>
      </c>
      <c r="U119" s="332">
        <v>1118.83</v>
      </c>
      <c r="V119" s="332">
        <v>1118.8399999999999</v>
      </c>
      <c r="W119" s="332">
        <v>1118.83</v>
      </c>
      <c r="X119" s="332">
        <v>13426</v>
      </c>
      <c r="Y119" s="332">
        <f t="shared" si="25"/>
        <v>13426</v>
      </c>
      <c r="Z119" s="332">
        <f t="shared" si="33"/>
        <v>13426</v>
      </c>
      <c r="AA119" s="332">
        <f t="shared" si="33"/>
        <v>13426</v>
      </c>
      <c r="AB119" s="332">
        <f t="shared" si="33"/>
        <v>13426</v>
      </c>
      <c r="AC119" s="332">
        <f t="shared" si="33"/>
        <v>13426</v>
      </c>
      <c r="AD119" s="332">
        <f t="shared" si="33"/>
        <v>13426</v>
      </c>
      <c r="AE119" s="332">
        <f t="shared" si="33"/>
        <v>13426</v>
      </c>
      <c r="AF119" s="332"/>
      <c r="AG119" s="332"/>
      <c r="AH119" s="332"/>
      <c r="AI119" s="332"/>
      <c r="AJ119" s="332"/>
      <c r="AK119" s="332"/>
      <c r="AL119" s="332"/>
      <c r="AM119" s="332"/>
    </row>
    <row r="120" spans="2:39" s="287" customFormat="1">
      <c r="B120" s="343">
        <v>118</v>
      </c>
      <c r="C120" s="343">
        <v>540</v>
      </c>
      <c r="D120" s="345" t="s">
        <v>727</v>
      </c>
      <c r="E120" s="331" t="s">
        <v>729</v>
      </c>
      <c r="F120" s="330" t="s">
        <v>722</v>
      </c>
      <c r="G120" s="330" t="s">
        <v>323</v>
      </c>
      <c r="H120" s="332">
        <v>108950</v>
      </c>
      <c r="I120" s="329" t="s">
        <v>494</v>
      </c>
      <c r="J120" s="332">
        <v>14</v>
      </c>
      <c r="K120" s="332">
        <v>1</v>
      </c>
      <c r="L120" s="332">
        <v>1271.08</v>
      </c>
      <c r="M120" s="332">
        <v>1271.0899999999999</v>
      </c>
      <c r="N120" s="332">
        <v>1271.08</v>
      </c>
      <c r="O120" s="332">
        <v>1271.08</v>
      </c>
      <c r="P120" s="332">
        <v>1271.0899999999999</v>
      </c>
      <c r="Q120" s="332">
        <v>1271.08</v>
      </c>
      <c r="R120" s="332">
        <v>1271.08</v>
      </c>
      <c r="S120" s="332">
        <v>1271.0899999999999</v>
      </c>
      <c r="T120" s="332">
        <v>1271.08</v>
      </c>
      <c r="U120" s="332">
        <v>1271.08</v>
      </c>
      <c r="V120" s="332">
        <v>1271.0899999999999</v>
      </c>
      <c r="W120" s="332">
        <v>1271.08</v>
      </c>
      <c r="X120" s="332">
        <v>15253</v>
      </c>
      <c r="Y120" s="332"/>
      <c r="Z120" s="332"/>
      <c r="AA120" s="332"/>
      <c r="AB120" s="332"/>
      <c r="AC120" s="332"/>
      <c r="AD120" s="332"/>
      <c r="AE120" s="332"/>
      <c r="AF120" s="332"/>
      <c r="AG120" s="332"/>
      <c r="AH120" s="332"/>
      <c r="AI120" s="332"/>
      <c r="AJ120" s="332"/>
      <c r="AK120" s="332"/>
      <c r="AL120" s="332"/>
      <c r="AM120" s="332"/>
    </row>
    <row r="121" spans="2:39" s="287" customFormat="1">
      <c r="B121" s="343">
        <v>119</v>
      </c>
      <c r="C121" s="343">
        <v>538</v>
      </c>
      <c r="D121" s="345" t="s">
        <v>730</v>
      </c>
      <c r="E121" s="331" t="s">
        <v>731</v>
      </c>
      <c r="F121" s="330" t="s">
        <v>722</v>
      </c>
      <c r="G121" s="330" t="s">
        <v>324</v>
      </c>
      <c r="H121" s="332">
        <v>75150</v>
      </c>
      <c r="I121" s="329" t="s">
        <v>494</v>
      </c>
      <c r="J121" s="332">
        <v>14</v>
      </c>
      <c r="K121" s="332">
        <v>1</v>
      </c>
      <c r="L121" s="332">
        <v>876.75</v>
      </c>
      <c r="M121" s="332">
        <v>876.75</v>
      </c>
      <c r="N121" s="332">
        <v>876.75</v>
      </c>
      <c r="O121" s="332">
        <v>876.75</v>
      </c>
      <c r="P121" s="332">
        <v>876.75</v>
      </c>
      <c r="Q121" s="332">
        <v>876.75</v>
      </c>
      <c r="R121" s="332">
        <v>876.75</v>
      </c>
      <c r="S121" s="332">
        <v>876.75</v>
      </c>
      <c r="T121" s="332">
        <v>876.75</v>
      </c>
      <c r="U121" s="332">
        <v>876.75</v>
      </c>
      <c r="V121" s="332">
        <v>876.75</v>
      </c>
      <c r="W121" s="332">
        <v>876.75</v>
      </c>
      <c r="X121" s="332">
        <v>10521</v>
      </c>
      <c r="Y121" s="332">
        <f t="shared" si="25"/>
        <v>10521</v>
      </c>
      <c r="Z121" s="332"/>
      <c r="AA121" s="332"/>
      <c r="AB121" s="332"/>
      <c r="AC121" s="332"/>
      <c r="AD121" s="332"/>
      <c r="AE121" s="332"/>
      <c r="AF121" s="332"/>
      <c r="AG121" s="332"/>
      <c r="AH121" s="332"/>
      <c r="AI121" s="332"/>
      <c r="AJ121" s="332"/>
      <c r="AK121" s="332"/>
      <c r="AL121" s="332"/>
      <c r="AM121" s="332"/>
    </row>
    <row r="122" spans="2:39" s="287" customFormat="1">
      <c r="B122" s="343">
        <v>120</v>
      </c>
      <c r="C122" s="343">
        <v>477</v>
      </c>
      <c r="D122" s="345" t="s">
        <v>732</v>
      </c>
      <c r="E122" s="331" t="s">
        <v>733</v>
      </c>
      <c r="F122" s="330" t="s">
        <v>722</v>
      </c>
      <c r="G122" s="330" t="s">
        <v>362</v>
      </c>
      <c r="H122" s="332">
        <v>14725.5</v>
      </c>
      <c r="I122" s="329" t="s">
        <v>494</v>
      </c>
      <c r="J122" s="332">
        <v>14</v>
      </c>
      <c r="K122" s="332">
        <v>1</v>
      </c>
      <c r="L122" s="332">
        <v>171.8</v>
      </c>
      <c r="M122" s="332">
        <v>171.8</v>
      </c>
      <c r="N122" s="332">
        <v>171.79</v>
      </c>
      <c r="O122" s="332">
        <v>171.8</v>
      </c>
      <c r="P122" s="332">
        <v>171.8</v>
      </c>
      <c r="Q122" s="332">
        <v>171.8</v>
      </c>
      <c r="R122" s="332">
        <v>171.79</v>
      </c>
      <c r="S122" s="332">
        <v>171.8</v>
      </c>
      <c r="T122" s="332">
        <v>171.8</v>
      </c>
      <c r="U122" s="332">
        <v>171.8</v>
      </c>
      <c r="V122" s="332">
        <v>171.79</v>
      </c>
      <c r="W122" s="332">
        <v>171.8</v>
      </c>
      <c r="X122" s="332">
        <v>2061.5700000000002</v>
      </c>
      <c r="Y122" s="332">
        <f t="shared" si="25"/>
        <v>2061.5700000000002</v>
      </c>
      <c r="Z122" s="332">
        <f t="shared" si="33"/>
        <v>2061.5700000000002</v>
      </c>
      <c r="AA122" s="332">
        <f t="shared" si="33"/>
        <v>2061.5700000000002</v>
      </c>
      <c r="AB122" s="332"/>
      <c r="AC122" s="332"/>
      <c r="AD122" s="332"/>
      <c r="AE122" s="332"/>
      <c r="AF122" s="332"/>
      <c r="AG122" s="332"/>
      <c r="AH122" s="332"/>
      <c r="AI122" s="332"/>
      <c r="AJ122" s="332"/>
      <c r="AK122" s="332"/>
      <c r="AL122" s="332"/>
      <c r="AM122" s="332"/>
    </row>
    <row r="123" spans="2:39" s="287" customFormat="1">
      <c r="B123" s="343">
        <v>121</v>
      </c>
      <c r="C123" s="343">
        <v>513</v>
      </c>
      <c r="D123" s="345" t="s">
        <v>734</v>
      </c>
      <c r="E123" s="331" t="s">
        <v>735</v>
      </c>
      <c r="F123" s="330" t="s">
        <v>736</v>
      </c>
      <c r="G123" s="330" t="s">
        <v>362</v>
      </c>
      <c r="H123" s="332">
        <v>549829.75</v>
      </c>
      <c r="I123" s="329" t="s">
        <v>494</v>
      </c>
      <c r="J123" s="332">
        <v>10</v>
      </c>
      <c r="K123" s="332">
        <v>1</v>
      </c>
      <c r="L123" s="332">
        <v>4581.92</v>
      </c>
      <c r="M123" s="332">
        <v>4581.91</v>
      </c>
      <c r="N123" s="332">
        <v>4581.92</v>
      </c>
      <c r="O123" s="332">
        <v>4581.91</v>
      </c>
      <c r="P123" s="332">
        <v>4581.92</v>
      </c>
      <c r="Q123" s="332">
        <v>4581.91</v>
      </c>
      <c r="R123" s="332">
        <v>4581.92</v>
      </c>
      <c r="S123" s="332">
        <v>4581.91</v>
      </c>
      <c r="T123" s="332">
        <v>4581.92</v>
      </c>
      <c r="U123" s="332">
        <v>4581.91</v>
      </c>
      <c r="V123" s="332">
        <v>4581.92</v>
      </c>
      <c r="W123" s="332">
        <v>4581.91</v>
      </c>
      <c r="X123" s="332">
        <v>54982.98</v>
      </c>
      <c r="Y123" s="332">
        <f t="shared" si="25"/>
        <v>54982.98</v>
      </c>
      <c r="Z123" s="332">
        <f t="shared" si="33"/>
        <v>54982.98</v>
      </c>
      <c r="AA123" s="332">
        <f t="shared" si="33"/>
        <v>54982.98</v>
      </c>
      <c r="AB123" s="332"/>
      <c r="AC123" s="332"/>
      <c r="AD123" s="332"/>
      <c r="AE123" s="332"/>
      <c r="AF123" s="332"/>
      <c r="AG123" s="332"/>
      <c r="AH123" s="332"/>
      <c r="AI123" s="332"/>
      <c r="AJ123" s="332"/>
      <c r="AK123" s="332"/>
      <c r="AL123" s="332"/>
      <c r="AM123" s="332"/>
    </row>
    <row r="124" spans="2:39" s="287" customFormat="1">
      <c r="B124" s="343">
        <v>122</v>
      </c>
      <c r="C124" s="343">
        <v>511</v>
      </c>
      <c r="D124" s="345" t="s">
        <v>533</v>
      </c>
      <c r="E124" s="331" t="s">
        <v>737</v>
      </c>
      <c r="F124" s="330" t="s">
        <v>736</v>
      </c>
      <c r="G124" s="330" t="s">
        <v>362</v>
      </c>
      <c r="H124" s="332">
        <v>790892.66</v>
      </c>
      <c r="I124" s="329" t="s">
        <v>494</v>
      </c>
      <c r="J124" s="332">
        <v>10</v>
      </c>
      <c r="K124" s="332">
        <v>1</v>
      </c>
      <c r="L124" s="332">
        <v>6590.77</v>
      </c>
      <c r="M124" s="332">
        <v>6590.78</v>
      </c>
      <c r="N124" s="332">
        <v>6590.77</v>
      </c>
      <c r="O124" s="332">
        <v>6590.77</v>
      </c>
      <c r="P124" s="332">
        <v>6590.77</v>
      </c>
      <c r="Q124" s="332">
        <v>6590.78</v>
      </c>
      <c r="R124" s="332">
        <v>6590.77</v>
      </c>
      <c r="S124" s="332">
        <v>6590.77</v>
      </c>
      <c r="T124" s="332">
        <v>6590.77</v>
      </c>
      <c r="U124" s="332">
        <v>6590.78</v>
      </c>
      <c r="V124" s="332">
        <v>6590.77</v>
      </c>
      <c r="W124" s="332">
        <v>6590.77</v>
      </c>
      <c r="X124" s="332">
        <v>79089.27</v>
      </c>
      <c r="Y124" s="332">
        <f t="shared" si="25"/>
        <v>79089.27</v>
      </c>
      <c r="Z124" s="332">
        <f t="shared" si="33"/>
        <v>79089.27</v>
      </c>
      <c r="AA124" s="332">
        <f t="shared" si="33"/>
        <v>79089.27</v>
      </c>
      <c r="AB124" s="332"/>
      <c r="AC124" s="332"/>
      <c r="AD124" s="332"/>
      <c r="AE124" s="332"/>
      <c r="AF124" s="332"/>
      <c r="AG124" s="332"/>
      <c r="AH124" s="332"/>
      <c r="AI124" s="332"/>
      <c r="AJ124" s="332"/>
      <c r="AK124" s="332"/>
      <c r="AL124" s="332"/>
      <c r="AM124" s="332"/>
    </row>
    <row r="125" spans="2:39" s="287" customFormat="1">
      <c r="B125" s="343">
        <v>123</v>
      </c>
      <c r="C125" s="343">
        <v>481</v>
      </c>
      <c r="D125" s="345" t="s">
        <v>738</v>
      </c>
      <c r="E125" s="331" t="s">
        <v>739</v>
      </c>
      <c r="F125" s="330" t="s">
        <v>736</v>
      </c>
      <c r="G125" s="330" t="s">
        <v>362</v>
      </c>
      <c r="H125" s="332">
        <v>925000</v>
      </c>
      <c r="I125" s="329" t="s">
        <v>494</v>
      </c>
      <c r="J125" s="332">
        <v>10</v>
      </c>
      <c r="K125" s="332">
        <v>1</v>
      </c>
      <c r="L125" s="332">
        <v>7708.33</v>
      </c>
      <c r="M125" s="332">
        <v>7708.34</v>
      </c>
      <c r="N125" s="332">
        <v>7708.33</v>
      </c>
      <c r="O125" s="332">
        <v>7708.33</v>
      </c>
      <c r="P125" s="332">
        <v>7708.34</v>
      </c>
      <c r="Q125" s="332">
        <v>7708.33</v>
      </c>
      <c r="R125" s="332">
        <v>7708.33</v>
      </c>
      <c r="S125" s="332">
        <v>7708.34</v>
      </c>
      <c r="T125" s="332">
        <v>7708.33</v>
      </c>
      <c r="U125" s="332">
        <v>7708.33</v>
      </c>
      <c r="V125" s="332">
        <v>7708.34</v>
      </c>
      <c r="W125" s="332">
        <v>7708.33</v>
      </c>
      <c r="X125" s="332">
        <v>92500</v>
      </c>
      <c r="Y125" s="332">
        <f t="shared" si="25"/>
        <v>92500</v>
      </c>
      <c r="Z125" s="332">
        <f t="shared" si="33"/>
        <v>92500</v>
      </c>
      <c r="AA125" s="332">
        <f t="shared" si="33"/>
        <v>92500</v>
      </c>
      <c r="AB125" s="332"/>
      <c r="AC125" s="332"/>
      <c r="AD125" s="332"/>
      <c r="AE125" s="332"/>
      <c r="AF125" s="332"/>
      <c r="AG125" s="332"/>
      <c r="AH125" s="332"/>
      <c r="AI125" s="332"/>
      <c r="AJ125" s="332"/>
      <c r="AK125" s="332"/>
      <c r="AL125" s="332"/>
      <c r="AM125" s="332"/>
    </row>
    <row r="126" spans="2:39" s="287" customFormat="1">
      <c r="B126" s="343">
        <v>124</v>
      </c>
      <c r="C126" s="343">
        <v>508</v>
      </c>
      <c r="D126" s="345" t="s">
        <v>740</v>
      </c>
      <c r="E126" s="331" t="s">
        <v>741</v>
      </c>
      <c r="F126" s="330" t="s">
        <v>736</v>
      </c>
      <c r="G126" s="330" t="s">
        <v>362</v>
      </c>
      <c r="H126" s="332">
        <v>4297299.45</v>
      </c>
      <c r="I126" s="329" t="s">
        <v>494</v>
      </c>
      <c r="J126" s="332">
        <v>10</v>
      </c>
      <c r="K126" s="332">
        <v>1</v>
      </c>
      <c r="L126" s="332">
        <v>35810.83</v>
      </c>
      <c r="M126" s="332">
        <v>35810.83</v>
      </c>
      <c r="N126" s="332">
        <v>35810.83</v>
      </c>
      <c r="O126" s="332">
        <v>35810.83</v>
      </c>
      <c r="P126" s="332">
        <v>35810.83</v>
      </c>
      <c r="Q126" s="332">
        <v>35810.83</v>
      </c>
      <c r="R126" s="332">
        <v>35810.82</v>
      </c>
      <c r="S126" s="332">
        <v>35810.83</v>
      </c>
      <c r="T126" s="332">
        <v>35810.83</v>
      </c>
      <c r="U126" s="332">
        <v>35810.83</v>
      </c>
      <c r="V126" s="332">
        <v>35810.83</v>
      </c>
      <c r="W126" s="332">
        <v>35810.83</v>
      </c>
      <c r="X126" s="332">
        <v>429729.95</v>
      </c>
      <c r="Y126" s="332">
        <f t="shared" si="25"/>
        <v>429729.95</v>
      </c>
      <c r="Z126" s="332">
        <f t="shared" si="33"/>
        <v>429729.95</v>
      </c>
      <c r="AA126" s="332">
        <f t="shared" si="33"/>
        <v>429729.95</v>
      </c>
      <c r="AB126" s="332"/>
      <c r="AC126" s="332"/>
      <c r="AD126" s="332"/>
      <c r="AE126" s="332"/>
      <c r="AF126" s="332"/>
      <c r="AG126" s="332"/>
      <c r="AH126" s="332"/>
      <c r="AI126" s="332"/>
      <c r="AJ126" s="332"/>
      <c r="AK126" s="332"/>
      <c r="AL126" s="332"/>
      <c r="AM126" s="332"/>
    </row>
    <row r="127" spans="2:39" s="287" customFormat="1">
      <c r="B127" s="343">
        <v>125</v>
      </c>
      <c r="C127" s="343">
        <v>509</v>
      </c>
      <c r="D127" s="345" t="s">
        <v>742</v>
      </c>
      <c r="E127" s="331" t="s">
        <v>743</v>
      </c>
      <c r="F127" s="330" t="s">
        <v>736</v>
      </c>
      <c r="G127" s="330" t="s">
        <v>362</v>
      </c>
      <c r="H127" s="332">
        <v>1063690.48</v>
      </c>
      <c r="I127" s="329" t="s">
        <v>494</v>
      </c>
      <c r="J127" s="332">
        <v>10</v>
      </c>
      <c r="K127" s="332">
        <v>1</v>
      </c>
      <c r="L127" s="332">
        <v>8864.09</v>
      </c>
      <c r="M127" s="332">
        <v>8864.09</v>
      </c>
      <c r="N127" s="332">
        <v>8864.08</v>
      </c>
      <c r="O127" s="332">
        <v>8864.09</v>
      </c>
      <c r="P127" s="332">
        <v>8864.09</v>
      </c>
      <c r="Q127" s="332">
        <v>8864.09</v>
      </c>
      <c r="R127" s="332">
        <v>8864.08</v>
      </c>
      <c r="S127" s="332">
        <v>8864.09</v>
      </c>
      <c r="T127" s="332">
        <v>8864.09</v>
      </c>
      <c r="U127" s="332">
        <v>8864.09</v>
      </c>
      <c r="V127" s="332">
        <v>8864.08</v>
      </c>
      <c r="W127" s="332">
        <v>8864.09</v>
      </c>
      <c r="X127" s="332">
        <v>106369.05</v>
      </c>
      <c r="Y127" s="332">
        <f t="shared" si="25"/>
        <v>106369.05</v>
      </c>
      <c r="Z127" s="332">
        <f t="shared" si="33"/>
        <v>106369.05</v>
      </c>
      <c r="AA127" s="332">
        <f t="shared" si="33"/>
        <v>106369.05</v>
      </c>
      <c r="AB127" s="332"/>
      <c r="AC127" s="332"/>
      <c r="AD127" s="332"/>
      <c r="AE127" s="332"/>
      <c r="AF127" s="332"/>
      <c r="AG127" s="332"/>
      <c r="AH127" s="332"/>
      <c r="AI127" s="332"/>
      <c r="AJ127" s="332"/>
      <c r="AK127" s="332"/>
      <c r="AL127" s="332"/>
      <c r="AM127" s="332"/>
    </row>
    <row r="128" spans="2:39" s="287" customFormat="1">
      <c r="B128" s="343">
        <v>126</v>
      </c>
      <c r="C128" s="343">
        <v>746</v>
      </c>
      <c r="D128" s="345" t="s">
        <v>744</v>
      </c>
      <c r="E128" s="331" t="s">
        <v>462</v>
      </c>
      <c r="F128" s="330" t="s">
        <v>745</v>
      </c>
      <c r="G128" s="330" t="s">
        <v>367</v>
      </c>
      <c r="H128" s="332">
        <v>737294</v>
      </c>
      <c r="I128" s="329" t="s">
        <v>494</v>
      </c>
      <c r="J128" s="332">
        <v>10</v>
      </c>
      <c r="K128" s="332">
        <v>1</v>
      </c>
      <c r="L128" s="332">
        <v>6144.12</v>
      </c>
      <c r="M128" s="332">
        <v>6144.11</v>
      </c>
      <c r="N128" s="332">
        <v>6144.12</v>
      </c>
      <c r="O128" s="332">
        <v>6144.12</v>
      </c>
      <c r="P128" s="332">
        <v>6144.11</v>
      </c>
      <c r="Q128" s="332">
        <v>6144.12</v>
      </c>
      <c r="R128" s="332">
        <v>6144.12</v>
      </c>
      <c r="S128" s="332">
        <v>6144.11</v>
      </c>
      <c r="T128" s="332">
        <v>6144.12</v>
      </c>
      <c r="U128" s="332">
        <v>6144.12</v>
      </c>
      <c r="V128" s="332">
        <v>6144.11</v>
      </c>
      <c r="W128" s="332">
        <v>6144.12</v>
      </c>
      <c r="X128" s="332">
        <v>73729.399999999994</v>
      </c>
      <c r="Y128" s="332">
        <f t="shared" si="25"/>
        <v>73729.399999999994</v>
      </c>
      <c r="Z128" s="332">
        <f t="shared" si="33"/>
        <v>73729.399999999994</v>
      </c>
      <c r="AA128" s="332">
        <f t="shared" si="33"/>
        <v>73729.399999999994</v>
      </c>
      <c r="AB128" s="332">
        <f t="shared" si="33"/>
        <v>73729.399999999994</v>
      </c>
      <c r="AC128" s="332">
        <f t="shared" si="33"/>
        <v>73729.399999999994</v>
      </c>
      <c r="AD128" s="332">
        <f t="shared" si="33"/>
        <v>73729.399999999994</v>
      </c>
      <c r="AE128" s="332">
        <f t="shared" si="33"/>
        <v>73729.399999999994</v>
      </c>
      <c r="AF128" s="332">
        <f t="shared" si="33"/>
        <v>73729.399999999994</v>
      </c>
      <c r="AG128" s="332"/>
      <c r="AH128" s="332"/>
      <c r="AI128" s="332"/>
      <c r="AJ128" s="332"/>
      <c r="AK128" s="332"/>
      <c r="AL128" s="332"/>
      <c r="AM128" s="332"/>
    </row>
    <row r="129" spans="2:39" s="287" customFormat="1">
      <c r="B129" s="343">
        <v>127</v>
      </c>
      <c r="C129" s="343">
        <v>699</v>
      </c>
      <c r="D129" s="345" t="s">
        <v>746</v>
      </c>
      <c r="E129" s="331" t="s">
        <v>747</v>
      </c>
      <c r="F129" s="330" t="s">
        <v>748</v>
      </c>
      <c r="G129" s="330"/>
      <c r="H129" s="332">
        <v>61035.79</v>
      </c>
      <c r="I129" s="329" t="s">
        <v>494</v>
      </c>
      <c r="J129" s="332">
        <v>4.5</v>
      </c>
      <c r="K129" s="332">
        <v>1</v>
      </c>
      <c r="L129" s="332">
        <v>228.88</v>
      </c>
      <c r="M129" s="332">
        <v>228.89</v>
      </c>
      <c r="N129" s="332">
        <v>228.88</v>
      </c>
      <c r="O129" s="332">
        <v>228.89</v>
      </c>
      <c r="P129" s="332">
        <v>228.88</v>
      </c>
      <c r="Q129" s="332">
        <v>228.89</v>
      </c>
      <c r="R129" s="332">
        <v>228.88</v>
      </c>
      <c r="S129" s="332">
        <v>228.88</v>
      </c>
      <c r="T129" s="332">
        <v>228.89</v>
      </c>
      <c r="U129" s="332">
        <v>228.88</v>
      </c>
      <c r="V129" s="332">
        <v>228.89</v>
      </c>
      <c r="W129" s="332">
        <v>228.88</v>
      </c>
      <c r="X129" s="332">
        <v>2746.61</v>
      </c>
      <c r="Y129" s="332">
        <f t="shared" si="25"/>
        <v>2746.61</v>
      </c>
      <c r="Z129" s="332">
        <f t="shared" si="33"/>
        <v>2746.61</v>
      </c>
      <c r="AA129" s="332">
        <f t="shared" si="33"/>
        <v>2746.61</v>
      </c>
      <c r="AB129" s="332">
        <f t="shared" si="33"/>
        <v>2746.61</v>
      </c>
      <c r="AC129" s="332">
        <f t="shared" si="33"/>
        <v>2746.61</v>
      </c>
      <c r="AD129" s="332">
        <f t="shared" si="33"/>
        <v>2746.61</v>
      </c>
      <c r="AE129" s="332">
        <f t="shared" si="33"/>
        <v>2746.61</v>
      </c>
      <c r="AF129" s="332">
        <f t="shared" si="33"/>
        <v>2746.61</v>
      </c>
      <c r="AG129" s="332">
        <f t="shared" si="33"/>
        <v>2746.61</v>
      </c>
      <c r="AH129" s="332">
        <f t="shared" si="33"/>
        <v>2746.61</v>
      </c>
      <c r="AI129" s="332">
        <f t="shared" si="33"/>
        <v>2746.61</v>
      </c>
      <c r="AJ129" s="332">
        <f t="shared" ref="AJ129" si="34">AI129</f>
        <v>2746.61</v>
      </c>
      <c r="AK129" s="332">
        <f t="shared" ref="AK129" si="35">AJ129</f>
        <v>2746.61</v>
      </c>
      <c r="AL129" s="332">
        <f t="shared" ref="AL129:AM129" si="36">AK129</f>
        <v>2746.61</v>
      </c>
      <c r="AM129" s="332">
        <f t="shared" si="36"/>
        <v>2746.61</v>
      </c>
    </row>
    <row r="130" spans="2:39" s="287" customFormat="1">
      <c r="B130" s="343">
        <v>128</v>
      </c>
      <c r="C130" s="343">
        <v>404</v>
      </c>
      <c r="D130" s="345" t="s">
        <v>749</v>
      </c>
      <c r="E130" s="331" t="s">
        <v>750</v>
      </c>
      <c r="F130" s="330" t="s">
        <v>748</v>
      </c>
      <c r="G130" s="330" t="s">
        <v>367</v>
      </c>
      <c r="H130" s="332">
        <v>16600</v>
      </c>
      <c r="I130" s="329" t="s">
        <v>494</v>
      </c>
      <c r="J130" s="332">
        <v>4.5</v>
      </c>
      <c r="K130" s="332">
        <v>1</v>
      </c>
      <c r="L130" s="332">
        <v>62.25</v>
      </c>
      <c r="M130" s="332">
        <v>62.25</v>
      </c>
      <c r="N130" s="332">
        <v>62.25</v>
      </c>
      <c r="O130" s="332">
        <v>62.25</v>
      </c>
      <c r="P130" s="332">
        <v>62.25</v>
      </c>
      <c r="Q130" s="332">
        <v>62.25</v>
      </c>
      <c r="R130" s="332">
        <v>62.25</v>
      </c>
      <c r="S130" s="332">
        <v>62.25</v>
      </c>
      <c r="T130" s="332">
        <v>62.25</v>
      </c>
      <c r="U130" s="332">
        <v>62.25</v>
      </c>
      <c r="V130" s="332">
        <v>62.25</v>
      </c>
      <c r="W130" s="332">
        <v>62.25</v>
      </c>
      <c r="X130" s="332">
        <v>747</v>
      </c>
      <c r="Y130" s="332">
        <f t="shared" si="25"/>
        <v>747</v>
      </c>
      <c r="Z130" s="332">
        <f t="shared" si="33"/>
        <v>747</v>
      </c>
      <c r="AA130" s="332">
        <f t="shared" si="33"/>
        <v>747</v>
      </c>
      <c r="AB130" s="332">
        <f t="shared" si="33"/>
        <v>747</v>
      </c>
      <c r="AC130" s="332">
        <f t="shared" si="33"/>
        <v>747</v>
      </c>
      <c r="AD130" s="332">
        <f t="shared" si="33"/>
        <v>747</v>
      </c>
      <c r="AE130" s="332">
        <f t="shared" si="33"/>
        <v>747</v>
      </c>
      <c r="AF130" s="332">
        <f t="shared" si="33"/>
        <v>747</v>
      </c>
      <c r="AG130" s="332"/>
      <c r="AH130" s="332"/>
      <c r="AI130" s="332"/>
      <c r="AJ130" s="332"/>
      <c r="AK130" s="332"/>
      <c r="AL130" s="332"/>
      <c r="AM130" s="332"/>
    </row>
    <row r="131" spans="2:39" s="287" customFormat="1">
      <c r="B131" s="343">
        <v>129</v>
      </c>
      <c r="C131" s="343">
        <v>784</v>
      </c>
      <c r="D131" s="345" t="s">
        <v>751</v>
      </c>
      <c r="E131" s="331" t="s">
        <v>752</v>
      </c>
      <c r="F131" s="330" t="s">
        <v>748</v>
      </c>
      <c r="G131" s="330"/>
      <c r="H131" s="332">
        <v>67168.960000000006</v>
      </c>
      <c r="I131" s="329" t="s">
        <v>494</v>
      </c>
      <c r="J131" s="332">
        <v>4.5</v>
      </c>
      <c r="K131" s="332">
        <v>1</v>
      </c>
      <c r="L131" s="332"/>
      <c r="M131" s="332">
        <v>251.88</v>
      </c>
      <c r="N131" s="332">
        <v>251.89</v>
      </c>
      <c r="O131" s="332">
        <v>251.88</v>
      </c>
      <c r="P131" s="332">
        <v>251.88</v>
      </c>
      <c r="Q131" s="332">
        <v>251.89</v>
      </c>
      <c r="R131" s="332">
        <v>251.88</v>
      </c>
      <c r="S131" s="332">
        <v>251.88</v>
      </c>
      <c r="T131" s="332">
        <v>251.89</v>
      </c>
      <c r="U131" s="332">
        <v>251.88</v>
      </c>
      <c r="V131" s="332">
        <v>251.88</v>
      </c>
      <c r="W131" s="332">
        <v>251.89</v>
      </c>
      <c r="X131" s="332">
        <v>2770.72</v>
      </c>
      <c r="Y131" s="332">
        <f t="shared" si="25"/>
        <v>2770.72</v>
      </c>
      <c r="Z131" s="332">
        <f t="shared" si="33"/>
        <v>2770.72</v>
      </c>
      <c r="AA131" s="332">
        <f t="shared" si="33"/>
        <v>2770.72</v>
      </c>
      <c r="AB131" s="332">
        <f t="shared" si="33"/>
        <v>2770.72</v>
      </c>
      <c r="AC131" s="332">
        <f t="shared" si="33"/>
        <v>2770.72</v>
      </c>
      <c r="AD131" s="332">
        <f t="shared" si="33"/>
        <v>2770.72</v>
      </c>
      <c r="AE131" s="332">
        <f t="shared" si="33"/>
        <v>2770.72</v>
      </c>
      <c r="AF131" s="332">
        <f t="shared" si="33"/>
        <v>2770.72</v>
      </c>
      <c r="AG131" s="332">
        <f t="shared" si="33"/>
        <v>2770.72</v>
      </c>
      <c r="AH131" s="332">
        <f t="shared" si="33"/>
        <v>2770.72</v>
      </c>
      <c r="AI131" s="332">
        <f t="shared" si="33"/>
        <v>2770.72</v>
      </c>
      <c r="AJ131" s="332">
        <f t="shared" ref="AJ131:AJ132" si="37">AI131</f>
        <v>2770.72</v>
      </c>
      <c r="AK131" s="332">
        <f t="shared" ref="AK131:AK132" si="38">AJ131</f>
        <v>2770.72</v>
      </c>
      <c r="AL131" s="332">
        <f t="shared" ref="AL131:AM132" si="39">AK131</f>
        <v>2770.72</v>
      </c>
      <c r="AM131" s="332">
        <f t="shared" si="39"/>
        <v>2770.72</v>
      </c>
    </row>
    <row r="132" spans="2:39" s="287" customFormat="1">
      <c r="B132" s="343">
        <v>130</v>
      </c>
      <c r="C132" s="343">
        <v>700</v>
      </c>
      <c r="D132" s="345" t="s">
        <v>753</v>
      </c>
      <c r="E132" s="331" t="s">
        <v>754</v>
      </c>
      <c r="F132" s="330" t="s">
        <v>748</v>
      </c>
      <c r="G132" s="330"/>
      <c r="H132" s="332">
        <v>93588.21</v>
      </c>
      <c r="I132" s="329" t="s">
        <v>494</v>
      </c>
      <c r="J132" s="332">
        <v>4.5</v>
      </c>
      <c r="K132" s="332">
        <v>1</v>
      </c>
      <c r="L132" s="332">
        <v>350.96</v>
      </c>
      <c r="M132" s="332">
        <v>350.95</v>
      </c>
      <c r="N132" s="332">
        <v>350.96</v>
      </c>
      <c r="O132" s="332">
        <v>350.95</v>
      </c>
      <c r="P132" s="332">
        <v>350.96</v>
      </c>
      <c r="Q132" s="332">
        <v>350.96</v>
      </c>
      <c r="R132" s="332">
        <v>350.95</v>
      </c>
      <c r="S132" s="332">
        <v>350.96</v>
      </c>
      <c r="T132" s="332">
        <v>350.95</v>
      </c>
      <c r="U132" s="332">
        <v>350.96</v>
      </c>
      <c r="V132" s="332">
        <v>350.95</v>
      </c>
      <c r="W132" s="332">
        <v>350.96</v>
      </c>
      <c r="X132" s="332">
        <v>4211.47</v>
      </c>
      <c r="Y132" s="332">
        <f t="shared" si="25"/>
        <v>4211.47</v>
      </c>
      <c r="Z132" s="332">
        <f t="shared" ref="Z132:AI144" si="40">Y132</f>
        <v>4211.47</v>
      </c>
      <c r="AA132" s="332">
        <f t="shared" si="40"/>
        <v>4211.47</v>
      </c>
      <c r="AB132" s="332">
        <f t="shared" si="40"/>
        <v>4211.47</v>
      </c>
      <c r="AC132" s="332">
        <f t="shared" si="40"/>
        <v>4211.47</v>
      </c>
      <c r="AD132" s="332">
        <f t="shared" si="40"/>
        <v>4211.47</v>
      </c>
      <c r="AE132" s="332">
        <f t="shared" si="40"/>
        <v>4211.47</v>
      </c>
      <c r="AF132" s="332">
        <f t="shared" si="40"/>
        <v>4211.47</v>
      </c>
      <c r="AG132" s="332">
        <f t="shared" si="40"/>
        <v>4211.47</v>
      </c>
      <c r="AH132" s="332">
        <f t="shared" si="40"/>
        <v>4211.47</v>
      </c>
      <c r="AI132" s="332">
        <f t="shared" si="40"/>
        <v>4211.47</v>
      </c>
      <c r="AJ132" s="332">
        <f t="shared" si="37"/>
        <v>4211.47</v>
      </c>
      <c r="AK132" s="332">
        <f t="shared" si="38"/>
        <v>4211.47</v>
      </c>
      <c r="AL132" s="332">
        <f t="shared" si="39"/>
        <v>4211.47</v>
      </c>
      <c r="AM132" s="332">
        <f t="shared" si="39"/>
        <v>4211.47</v>
      </c>
    </row>
    <row r="133" spans="2:39" s="287" customFormat="1">
      <c r="B133" s="343">
        <v>131</v>
      </c>
      <c r="C133" s="343">
        <v>747</v>
      </c>
      <c r="D133" s="345" t="s">
        <v>755</v>
      </c>
      <c r="E133" s="331" t="s">
        <v>756</v>
      </c>
      <c r="F133" s="330" t="s">
        <v>757</v>
      </c>
      <c r="G133" s="330" t="s">
        <v>361</v>
      </c>
      <c r="H133" s="332">
        <v>3960</v>
      </c>
      <c r="I133" s="329" t="s">
        <v>494</v>
      </c>
      <c r="J133" s="332">
        <v>30</v>
      </c>
      <c r="K133" s="332">
        <v>1</v>
      </c>
      <c r="L133" s="332">
        <v>99</v>
      </c>
      <c r="M133" s="332">
        <v>99</v>
      </c>
      <c r="N133" s="332">
        <v>99</v>
      </c>
      <c r="O133" s="332">
        <v>99</v>
      </c>
      <c r="P133" s="332">
        <v>99</v>
      </c>
      <c r="Q133" s="332">
        <v>99</v>
      </c>
      <c r="R133" s="332">
        <v>99</v>
      </c>
      <c r="S133" s="332">
        <v>99</v>
      </c>
      <c r="T133" s="332">
        <v>99</v>
      </c>
      <c r="U133" s="332">
        <v>99</v>
      </c>
      <c r="V133" s="332">
        <v>99</v>
      </c>
      <c r="W133" s="332">
        <v>99</v>
      </c>
      <c r="X133" s="332">
        <v>1188</v>
      </c>
      <c r="Y133" s="332">
        <f t="shared" si="25"/>
        <v>1188</v>
      </c>
      <c r="Z133" s="332">
        <f t="shared" si="40"/>
        <v>1188</v>
      </c>
      <c r="AA133" s="332"/>
      <c r="AB133" s="332"/>
      <c r="AC133" s="332"/>
      <c r="AD133" s="332"/>
      <c r="AE133" s="332"/>
      <c r="AF133" s="332"/>
      <c r="AG133" s="332"/>
      <c r="AH133" s="332"/>
      <c r="AI133" s="332"/>
      <c r="AJ133" s="332"/>
      <c r="AK133" s="332"/>
      <c r="AL133" s="332"/>
      <c r="AM133" s="332"/>
    </row>
    <row r="134" spans="2:39" s="287" customFormat="1">
      <c r="B134" s="343">
        <v>132</v>
      </c>
      <c r="C134" s="343">
        <v>743</v>
      </c>
      <c r="D134" s="345" t="s">
        <v>758</v>
      </c>
      <c r="E134" s="331" t="s">
        <v>759</v>
      </c>
      <c r="F134" s="330" t="s">
        <v>757</v>
      </c>
      <c r="G134" s="330" t="s">
        <v>324</v>
      </c>
      <c r="H134" s="332">
        <v>3880</v>
      </c>
      <c r="I134" s="329" t="s">
        <v>494</v>
      </c>
      <c r="J134" s="332">
        <v>30</v>
      </c>
      <c r="K134" s="332">
        <v>1</v>
      </c>
      <c r="L134" s="332">
        <v>97</v>
      </c>
      <c r="M134" s="332">
        <v>97</v>
      </c>
      <c r="N134" s="332">
        <v>97</v>
      </c>
      <c r="O134" s="332">
        <v>97</v>
      </c>
      <c r="P134" s="332">
        <v>97</v>
      </c>
      <c r="Q134" s="332">
        <v>97</v>
      </c>
      <c r="R134" s="332">
        <v>97</v>
      </c>
      <c r="S134" s="332">
        <v>97</v>
      </c>
      <c r="T134" s="332">
        <v>97</v>
      </c>
      <c r="U134" s="332">
        <v>97</v>
      </c>
      <c r="V134" s="332">
        <v>97</v>
      </c>
      <c r="W134" s="332">
        <v>97</v>
      </c>
      <c r="X134" s="332">
        <v>1164</v>
      </c>
      <c r="Y134" s="332">
        <f t="shared" si="25"/>
        <v>1164</v>
      </c>
      <c r="Z134" s="332"/>
      <c r="AA134" s="332"/>
      <c r="AB134" s="332"/>
      <c r="AC134" s="332"/>
      <c r="AD134" s="332"/>
      <c r="AE134" s="332"/>
      <c r="AF134" s="332"/>
      <c r="AG134" s="332"/>
      <c r="AH134" s="332"/>
      <c r="AI134" s="332"/>
      <c r="AJ134" s="332"/>
      <c r="AK134" s="332"/>
      <c r="AL134" s="332"/>
      <c r="AM134" s="332"/>
    </row>
    <row r="135" spans="2:39" s="287" customFormat="1">
      <c r="B135" s="343">
        <v>133</v>
      </c>
      <c r="C135" s="343">
        <v>753</v>
      </c>
      <c r="D135" s="345" t="s">
        <v>760</v>
      </c>
      <c r="E135" s="331" t="s">
        <v>761</v>
      </c>
      <c r="F135" s="330" t="s">
        <v>757</v>
      </c>
      <c r="G135" s="330" t="s">
        <v>361</v>
      </c>
      <c r="H135" s="332">
        <v>3960</v>
      </c>
      <c r="I135" s="329" t="s">
        <v>494</v>
      </c>
      <c r="J135" s="332">
        <v>30</v>
      </c>
      <c r="K135" s="332">
        <v>1</v>
      </c>
      <c r="L135" s="332">
        <v>99</v>
      </c>
      <c r="M135" s="332">
        <v>99</v>
      </c>
      <c r="N135" s="332">
        <v>99</v>
      </c>
      <c r="O135" s="332">
        <v>99</v>
      </c>
      <c r="P135" s="332">
        <v>99</v>
      </c>
      <c r="Q135" s="332">
        <v>99</v>
      </c>
      <c r="R135" s="332">
        <v>99</v>
      </c>
      <c r="S135" s="332">
        <v>99</v>
      </c>
      <c r="T135" s="332">
        <v>99</v>
      </c>
      <c r="U135" s="332">
        <v>99</v>
      </c>
      <c r="V135" s="332">
        <v>99</v>
      </c>
      <c r="W135" s="332">
        <v>99</v>
      </c>
      <c r="X135" s="332">
        <v>1188</v>
      </c>
      <c r="Y135" s="332">
        <f t="shared" si="25"/>
        <v>1188</v>
      </c>
      <c r="Z135" s="332">
        <f t="shared" si="40"/>
        <v>1188</v>
      </c>
      <c r="AA135" s="332"/>
      <c r="AB135" s="332"/>
      <c r="AC135" s="332"/>
      <c r="AD135" s="332"/>
      <c r="AE135" s="332"/>
      <c r="AF135" s="332"/>
      <c r="AG135" s="332"/>
      <c r="AH135" s="332"/>
      <c r="AI135" s="332"/>
      <c r="AJ135" s="332"/>
      <c r="AK135" s="332"/>
      <c r="AL135" s="332"/>
      <c r="AM135" s="332"/>
    </row>
    <row r="136" spans="2:39" s="287" customFormat="1">
      <c r="B136" s="343">
        <v>134</v>
      </c>
      <c r="C136" s="343">
        <v>761</v>
      </c>
      <c r="D136" s="345" t="s">
        <v>762</v>
      </c>
      <c r="E136" s="331" t="s">
        <v>763</v>
      </c>
      <c r="F136" s="330" t="s">
        <v>757</v>
      </c>
      <c r="G136" s="330" t="s">
        <v>361</v>
      </c>
      <c r="H136" s="332">
        <v>3680</v>
      </c>
      <c r="I136" s="329" t="s">
        <v>494</v>
      </c>
      <c r="J136" s="332">
        <v>30</v>
      </c>
      <c r="K136" s="332">
        <v>1</v>
      </c>
      <c r="L136" s="332">
        <v>92</v>
      </c>
      <c r="M136" s="332">
        <v>92</v>
      </c>
      <c r="N136" s="332">
        <v>92</v>
      </c>
      <c r="O136" s="332">
        <v>92</v>
      </c>
      <c r="P136" s="332">
        <v>92</v>
      </c>
      <c r="Q136" s="332">
        <v>92</v>
      </c>
      <c r="R136" s="332">
        <v>92</v>
      </c>
      <c r="S136" s="332">
        <v>92</v>
      </c>
      <c r="T136" s="332">
        <v>92</v>
      </c>
      <c r="U136" s="332">
        <v>92</v>
      </c>
      <c r="V136" s="332">
        <v>92</v>
      </c>
      <c r="W136" s="332">
        <v>92</v>
      </c>
      <c r="X136" s="332">
        <v>1104</v>
      </c>
      <c r="Y136" s="332">
        <f t="shared" si="25"/>
        <v>1104</v>
      </c>
      <c r="Z136" s="332">
        <f t="shared" si="40"/>
        <v>1104</v>
      </c>
      <c r="AA136" s="332"/>
      <c r="AB136" s="332"/>
      <c r="AC136" s="332"/>
      <c r="AD136" s="332"/>
      <c r="AE136" s="332"/>
      <c r="AF136" s="332"/>
      <c r="AG136" s="332"/>
      <c r="AH136" s="332"/>
      <c r="AI136" s="332"/>
      <c r="AJ136" s="332"/>
      <c r="AK136" s="332"/>
      <c r="AL136" s="332"/>
      <c r="AM136" s="332"/>
    </row>
    <row r="137" spans="2:39" s="287" customFormat="1">
      <c r="B137" s="343">
        <v>135</v>
      </c>
      <c r="C137" s="343">
        <v>752</v>
      </c>
      <c r="D137" s="345" t="s">
        <v>764</v>
      </c>
      <c r="E137" s="331" t="s">
        <v>765</v>
      </c>
      <c r="F137" s="330" t="s">
        <v>757</v>
      </c>
      <c r="G137" s="330" t="s">
        <v>361</v>
      </c>
      <c r="H137" s="332">
        <v>2930</v>
      </c>
      <c r="I137" s="329" t="s">
        <v>494</v>
      </c>
      <c r="J137" s="332">
        <v>30</v>
      </c>
      <c r="K137" s="332">
        <v>1</v>
      </c>
      <c r="L137" s="332">
        <v>73.25</v>
      </c>
      <c r="M137" s="332">
        <v>73.25</v>
      </c>
      <c r="N137" s="332">
        <v>73.25</v>
      </c>
      <c r="O137" s="332">
        <v>73.25</v>
      </c>
      <c r="P137" s="332">
        <v>73.25</v>
      </c>
      <c r="Q137" s="332">
        <v>73.25</v>
      </c>
      <c r="R137" s="332">
        <v>73.25</v>
      </c>
      <c r="S137" s="332">
        <v>73.25</v>
      </c>
      <c r="T137" s="332">
        <v>73.25</v>
      </c>
      <c r="U137" s="332">
        <v>73.25</v>
      </c>
      <c r="V137" s="332">
        <v>73.25</v>
      </c>
      <c r="W137" s="332">
        <v>73.25</v>
      </c>
      <c r="X137" s="332">
        <v>879</v>
      </c>
      <c r="Y137" s="332">
        <f t="shared" si="25"/>
        <v>879</v>
      </c>
      <c r="Z137" s="332">
        <f t="shared" si="40"/>
        <v>879</v>
      </c>
      <c r="AA137" s="332"/>
      <c r="AB137" s="332"/>
      <c r="AC137" s="332"/>
      <c r="AD137" s="332"/>
      <c r="AE137" s="332"/>
      <c r="AF137" s="332"/>
      <c r="AG137" s="332"/>
      <c r="AH137" s="332"/>
      <c r="AI137" s="332"/>
      <c r="AJ137" s="332"/>
      <c r="AK137" s="332"/>
      <c r="AL137" s="332"/>
      <c r="AM137" s="332"/>
    </row>
    <row r="138" spans="2:39" s="287" customFormat="1">
      <c r="B138" s="343">
        <v>136</v>
      </c>
      <c r="C138" s="343">
        <v>739</v>
      </c>
      <c r="D138" s="345" t="s">
        <v>766</v>
      </c>
      <c r="E138" s="331" t="s">
        <v>767</v>
      </c>
      <c r="F138" s="330" t="s">
        <v>757</v>
      </c>
      <c r="G138" s="330" t="s">
        <v>324</v>
      </c>
      <c r="H138" s="332">
        <v>2380</v>
      </c>
      <c r="I138" s="329" t="s">
        <v>494</v>
      </c>
      <c r="J138" s="332">
        <v>30</v>
      </c>
      <c r="K138" s="332">
        <v>1</v>
      </c>
      <c r="L138" s="332">
        <v>59.5</v>
      </c>
      <c r="M138" s="332">
        <v>59.5</v>
      </c>
      <c r="N138" s="332">
        <v>59.5</v>
      </c>
      <c r="O138" s="332">
        <v>59.5</v>
      </c>
      <c r="P138" s="332">
        <v>59.5</v>
      </c>
      <c r="Q138" s="332">
        <v>59.5</v>
      </c>
      <c r="R138" s="332">
        <v>59.5</v>
      </c>
      <c r="S138" s="332">
        <v>59.5</v>
      </c>
      <c r="T138" s="332">
        <v>59.5</v>
      </c>
      <c r="U138" s="332">
        <v>59.5</v>
      </c>
      <c r="V138" s="332">
        <v>59.5</v>
      </c>
      <c r="W138" s="332">
        <v>59.5</v>
      </c>
      <c r="X138" s="332">
        <v>714</v>
      </c>
      <c r="Y138" s="332">
        <f t="shared" si="25"/>
        <v>714</v>
      </c>
      <c r="Z138" s="332"/>
      <c r="AA138" s="332"/>
      <c r="AB138" s="332"/>
      <c r="AC138" s="332"/>
      <c r="AD138" s="332"/>
      <c r="AE138" s="332"/>
      <c r="AF138" s="332"/>
      <c r="AG138" s="332"/>
      <c r="AH138" s="332"/>
      <c r="AI138" s="332"/>
      <c r="AJ138" s="332"/>
      <c r="AK138" s="332"/>
      <c r="AL138" s="332"/>
      <c r="AM138" s="332"/>
    </row>
    <row r="139" spans="2:39" s="287" customFormat="1">
      <c r="B139" s="343">
        <v>137</v>
      </c>
      <c r="C139" s="343">
        <v>642</v>
      </c>
      <c r="D139" s="345" t="s">
        <v>768</v>
      </c>
      <c r="E139" s="331" t="s">
        <v>769</v>
      </c>
      <c r="F139" s="330" t="s">
        <v>757</v>
      </c>
      <c r="G139" s="330" t="s">
        <v>323</v>
      </c>
      <c r="H139" s="332">
        <v>2299.34</v>
      </c>
      <c r="I139" s="329" t="s">
        <v>494</v>
      </c>
      <c r="J139" s="332">
        <v>30</v>
      </c>
      <c r="K139" s="332">
        <v>1</v>
      </c>
      <c r="L139" s="332">
        <v>57.48</v>
      </c>
      <c r="M139" s="332">
        <v>57.49</v>
      </c>
      <c r="N139" s="332">
        <v>57.48</v>
      </c>
      <c r="O139" s="332">
        <v>57.48</v>
      </c>
      <c r="P139" s="332">
        <v>57.49</v>
      </c>
      <c r="Q139" s="332">
        <v>57.48</v>
      </c>
      <c r="R139" s="332">
        <v>57.48</v>
      </c>
      <c r="S139" s="332">
        <v>57.49</v>
      </c>
      <c r="T139" s="332">
        <v>57.48</v>
      </c>
      <c r="U139" s="332">
        <v>57.49</v>
      </c>
      <c r="V139" s="332"/>
      <c r="W139" s="332"/>
      <c r="X139" s="332">
        <v>574.84</v>
      </c>
      <c r="Y139" s="332"/>
      <c r="Z139" s="332"/>
      <c r="AA139" s="332"/>
      <c r="AB139" s="332"/>
      <c r="AC139" s="332"/>
      <c r="AD139" s="332"/>
      <c r="AE139" s="332"/>
      <c r="AF139" s="332"/>
      <c r="AG139" s="332"/>
      <c r="AH139" s="332"/>
      <c r="AI139" s="332"/>
      <c r="AJ139" s="332"/>
      <c r="AK139" s="332"/>
      <c r="AL139" s="332"/>
      <c r="AM139" s="332"/>
    </row>
    <row r="140" spans="2:39" s="287" customFormat="1">
      <c r="B140" s="343">
        <v>138</v>
      </c>
      <c r="C140" s="343">
        <v>644</v>
      </c>
      <c r="D140" s="345" t="s">
        <v>770</v>
      </c>
      <c r="E140" s="331" t="s">
        <v>771</v>
      </c>
      <c r="F140" s="330" t="s">
        <v>757</v>
      </c>
      <c r="G140" s="330" t="s">
        <v>323</v>
      </c>
      <c r="H140" s="332">
        <v>2299.34</v>
      </c>
      <c r="I140" s="329" t="s">
        <v>494</v>
      </c>
      <c r="J140" s="332">
        <v>30</v>
      </c>
      <c r="K140" s="332">
        <v>1</v>
      </c>
      <c r="L140" s="332">
        <v>57.48</v>
      </c>
      <c r="M140" s="332">
        <v>57.49</v>
      </c>
      <c r="N140" s="332">
        <v>57.48</v>
      </c>
      <c r="O140" s="332">
        <v>57.48</v>
      </c>
      <c r="P140" s="332">
        <v>57.49</v>
      </c>
      <c r="Q140" s="332">
        <v>57.48</v>
      </c>
      <c r="R140" s="332">
        <v>57.48</v>
      </c>
      <c r="S140" s="332">
        <v>57.49</v>
      </c>
      <c r="T140" s="332">
        <v>57.48</v>
      </c>
      <c r="U140" s="332">
        <v>57.49</v>
      </c>
      <c r="V140" s="332"/>
      <c r="W140" s="332"/>
      <c r="X140" s="332">
        <v>574.84</v>
      </c>
      <c r="Y140" s="332"/>
      <c r="Z140" s="332"/>
      <c r="AA140" s="332"/>
      <c r="AB140" s="332"/>
      <c r="AC140" s="332"/>
      <c r="AD140" s="332"/>
      <c r="AE140" s="332"/>
      <c r="AF140" s="332"/>
      <c r="AG140" s="332"/>
      <c r="AH140" s="332"/>
      <c r="AI140" s="332"/>
      <c r="AJ140" s="332"/>
      <c r="AK140" s="332"/>
      <c r="AL140" s="332"/>
      <c r="AM140" s="332"/>
    </row>
    <row r="141" spans="2:39" s="287" customFormat="1">
      <c r="B141" s="343">
        <v>139</v>
      </c>
      <c r="C141" s="343">
        <v>646</v>
      </c>
      <c r="D141" s="345" t="s">
        <v>772</v>
      </c>
      <c r="E141" s="331" t="s">
        <v>773</v>
      </c>
      <c r="F141" s="330" t="s">
        <v>757</v>
      </c>
      <c r="G141" s="330" t="s">
        <v>323</v>
      </c>
      <c r="H141" s="332">
        <v>2299.34</v>
      </c>
      <c r="I141" s="329" t="s">
        <v>494</v>
      </c>
      <c r="J141" s="332">
        <v>30</v>
      </c>
      <c r="K141" s="332">
        <v>1</v>
      </c>
      <c r="L141" s="332">
        <v>57.48</v>
      </c>
      <c r="M141" s="332">
        <v>57.49</v>
      </c>
      <c r="N141" s="332">
        <v>57.48</v>
      </c>
      <c r="O141" s="332">
        <v>57.48</v>
      </c>
      <c r="P141" s="332">
        <v>57.49</v>
      </c>
      <c r="Q141" s="332">
        <v>57.48</v>
      </c>
      <c r="R141" s="332">
        <v>57.48</v>
      </c>
      <c r="S141" s="332">
        <v>57.49</v>
      </c>
      <c r="T141" s="332">
        <v>57.48</v>
      </c>
      <c r="U141" s="332">
        <v>57.49</v>
      </c>
      <c r="V141" s="332"/>
      <c r="W141" s="332"/>
      <c r="X141" s="332">
        <v>574.84</v>
      </c>
      <c r="Y141" s="332"/>
      <c r="Z141" s="332"/>
      <c r="AA141" s="332"/>
      <c r="AB141" s="332"/>
      <c r="AC141" s="332"/>
      <c r="AD141" s="332"/>
      <c r="AE141" s="332"/>
      <c r="AF141" s="332"/>
      <c r="AG141" s="332"/>
      <c r="AH141" s="332"/>
      <c r="AI141" s="332"/>
      <c r="AJ141" s="332"/>
      <c r="AK141" s="332"/>
      <c r="AL141" s="332"/>
      <c r="AM141" s="332"/>
    </row>
    <row r="142" spans="2:39" s="287" customFormat="1">
      <c r="B142" s="343">
        <v>140</v>
      </c>
      <c r="C142" s="343">
        <v>621</v>
      </c>
      <c r="D142" s="345" t="s">
        <v>774</v>
      </c>
      <c r="E142" s="331" t="s">
        <v>775</v>
      </c>
      <c r="F142" s="330" t="s">
        <v>757</v>
      </c>
      <c r="G142" s="330" t="s">
        <v>323</v>
      </c>
      <c r="H142" s="332">
        <v>3048.05</v>
      </c>
      <c r="I142" s="329" t="s">
        <v>494</v>
      </c>
      <c r="J142" s="332">
        <v>30</v>
      </c>
      <c r="K142" s="332">
        <v>1</v>
      </c>
      <c r="L142" s="332">
        <v>76.2</v>
      </c>
      <c r="M142" s="332">
        <v>76.2</v>
      </c>
      <c r="N142" s="332">
        <v>76.209999999999994</v>
      </c>
      <c r="O142" s="332">
        <v>76.2</v>
      </c>
      <c r="P142" s="332">
        <v>76.180000000000007</v>
      </c>
      <c r="Q142" s="332"/>
      <c r="R142" s="332"/>
      <c r="S142" s="332"/>
      <c r="T142" s="332"/>
      <c r="U142" s="332"/>
      <c r="V142" s="332"/>
      <c r="W142" s="332"/>
      <c r="X142" s="332">
        <v>380.99</v>
      </c>
      <c r="Y142" s="332"/>
      <c r="Z142" s="332"/>
      <c r="AA142" s="332"/>
      <c r="AB142" s="332"/>
      <c r="AC142" s="332"/>
      <c r="AD142" s="332"/>
      <c r="AE142" s="332"/>
      <c r="AF142" s="332"/>
      <c r="AG142" s="332"/>
      <c r="AH142" s="332"/>
      <c r="AI142" s="332"/>
      <c r="AJ142" s="332"/>
      <c r="AK142" s="332"/>
      <c r="AL142" s="332"/>
      <c r="AM142" s="332"/>
    </row>
    <row r="143" spans="2:39" s="287" customFormat="1">
      <c r="B143" s="343">
        <v>141</v>
      </c>
      <c r="C143" s="343">
        <v>723</v>
      </c>
      <c r="D143" s="345" t="s">
        <v>776</v>
      </c>
      <c r="E143" s="331" t="s">
        <v>777</v>
      </c>
      <c r="F143" s="330" t="s">
        <v>757</v>
      </c>
      <c r="G143" s="330" t="s">
        <v>364</v>
      </c>
      <c r="H143" s="332">
        <v>128000</v>
      </c>
      <c r="I143" s="329" t="s">
        <v>494</v>
      </c>
      <c r="J143" s="332">
        <v>14</v>
      </c>
      <c r="K143" s="332">
        <v>1</v>
      </c>
      <c r="L143" s="332">
        <v>1493.33</v>
      </c>
      <c r="M143" s="332">
        <v>1493.34</v>
      </c>
      <c r="N143" s="332">
        <v>1493.33</v>
      </c>
      <c r="O143" s="332">
        <v>1493.33</v>
      </c>
      <c r="P143" s="332">
        <v>1493.34</v>
      </c>
      <c r="Q143" s="332">
        <v>1493.33</v>
      </c>
      <c r="R143" s="332">
        <v>1493.33</v>
      </c>
      <c r="S143" s="332">
        <v>1493.34</v>
      </c>
      <c r="T143" s="332">
        <v>1493.33</v>
      </c>
      <c r="U143" s="332">
        <v>1493.33</v>
      </c>
      <c r="V143" s="332">
        <v>1493.34</v>
      </c>
      <c r="W143" s="332">
        <v>1493.33</v>
      </c>
      <c r="X143" s="332">
        <v>17920</v>
      </c>
      <c r="Y143" s="332">
        <f t="shared" si="25"/>
        <v>17920</v>
      </c>
      <c r="Z143" s="332">
        <f t="shared" si="40"/>
        <v>17920</v>
      </c>
      <c r="AA143" s="332">
        <f t="shared" si="40"/>
        <v>17920</v>
      </c>
      <c r="AB143" s="332">
        <f t="shared" si="40"/>
        <v>17920</v>
      </c>
      <c r="AC143" s="332">
        <f t="shared" si="40"/>
        <v>17920</v>
      </c>
      <c r="AD143" s="332"/>
      <c r="AE143" s="332"/>
      <c r="AF143" s="332"/>
      <c r="AG143" s="332"/>
      <c r="AH143" s="332"/>
      <c r="AI143" s="332"/>
      <c r="AJ143" s="332"/>
      <c r="AK143" s="332"/>
      <c r="AL143" s="332"/>
      <c r="AM143" s="332"/>
    </row>
    <row r="144" spans="2:39" s="287" customFormat="1">
      <c r="B144" s="343">
        <v>142</v>
      </c>
      <c r="C144" s="343">
        <v>403</v>
      </c>
      <c r="D144" s="345" t="s">
        <v>778</v>
      </c>
      <c r="E144" s="331" t="s">
        <v>779</v>
      </c>
      <c r="F144" s="330" t="s">
        <v>780</v>
      </c>
      <c r="G144" s="330" t="s">
        <v>362</v>
      </c>
      <c r="H144" s="332">
        <v>12136</v>
      </c>
      <c r="I144" s="329" t="s">
        <v>494</v>
      </c>
      <c r="J144" s="332">
        <v>10</v>
      </c>
      <c r="K144" s="332">
        <v>1</v>
      </c>
      <c r="L144" s="332">
        <v>101.13</v>
      </c>
      <c r="M144" s="332">
        <v>101.14</v>
      </c>
      <c r="N144" s="332">
        <v>101.13</v>
      </c>
      <c r="O144" s="332">
        <v>101.13</v>
      </c>
      <c r="P144" s="332">
        <v>101.14</v>
      </c>
      <c r="Q144" s="332">
        <v>101.13</v>
      </c>
      <c r="R144" s="332">
        <v>101.13</v>
      </c>
      <c r="S144" s="332">
        <v>101.14</v>
      </c>
      <c r="T144" s="332">
        <v>101.13</v>
      </c>
      <c r="U144" s="332">
        <v>101.13</v>
      </c>
      <c r="V144" s="332">
        <v>101.14</v>
      </c>
      <c r="W144" s="332">
        <v>101.13</v>
      </c>
      <c r="X144" s="332">
        <v>1213.5999999999999</v>
      </c>
      <c r="Y144" s="332">
        <f t="shared" si="25"/>
        <v>1213.5999999999999</v>
      </c>
      <c r="Z144" s="332">
        <f t="shared" si="40"/>
        <v>1213.5999999999999</v>
      </c>
      <c r="AA144" s="332">
        <f t="shared" si="40"/>
        <v>1213.5999999999999</v>
      </c>
      <c r="AB144" s="332"/>
      <c r="AC144" s="332"/>
      <c r="AD144" s="332"/>
      <c r="AE144" s="332"/>
      <c r="AF144" s="332"/>
      <c r="AG144" s="332"/>
      <c r="AH144" s="332"/>
      <c r="AI144" s="332"/>
      <c r="AJ144" s="332"/>
      <c r="AK144" s="332"/>
      <c r="AL144" s="332"/>
      <c r="AM144" s="332"/>
    </row>
    <row r="145" spans="2:39" s="287" customFormat="1">
      <c r="B145" s="343">
        <v>143</v>
      </c>
      <c r="C145" s="343">
        <v>607</v>
      </c>
      <c r="D145" s="345" t="s">
        <v>781</v>
      </c>
      <c r="E145" s="331" t="s">
        <v>782</v>
      </c>
      <c r="F145" s="330" t="s">
        <v>780</v>
      </c>
      <c r="G145" s="330" t="s">
        <v>365</v>
      </c>
      <c r="H145" s="332">
        <v>25000</v>
      </c>
      <c r="I145" s="329" t="s">
        <v>494</v>
      </c>
      <c r="J145" s="332">
        <v>10</v>
      </c>
      <c r="K145" s="332">
        <v>1</v>
      </c>
      <c r="L145" s="332">
        <v>208.33</v>
      </c>
      <c r="M145" s="332">
        <v>208.34</v>
      </c>
      <c r="N145" s="332">
        <v>208.33</v>
      </c>
      <c r="O145" s="332">
        <v>208.33</v>
      </c>
      <c r="P145" s="332">
        <v>208.34</v>
      </c>
      <c r="Q145" s="332">
        <v>208.33</v>
      </c>
      <c r="R145" s="332">
        <v>208.33</v>
      </c>
      <c r="S145" s="332">
        <v>208.34</v>
      </c>
      <c r="T145" s="332">
        <v>208.33</v>
      </c>
      <c r="U145" s="332">
        <v>208.33</v>
      </c>
      <c r="V145" s="332">
        <v>208.34</v>
      </c>
      <c r="W145" s="332">
        <v>208.33</v>
      </c>
      <c r="X145" s="332">
        <v>2500</v>
      </c>
      <c r="Y145" s="332">
        <f t="shared" ref="Y145:AI208" si="41">X145</f>
        <v>2500</v>
      </c>
      <c r="Z145" s="332">
        <f t="shared" si="41"/>
        <v>2500</v>
      </c>
      <c r="AA145" s="332">
        <f t="shared" si="41"/>
        <v>2500</v>
      </c>
      <c r="AB145" s="332">
        <f t="shared" si="41"/>
        <v>2500</v>
      </c>
      <c r="AC145" s="332">
        <f t="shared" si="41"/>
        <v>2500</v>
      </c>
      <c r="AD145" s="332">
        <f t="shared" si="41"/>
        <v>2500</v>
      </c>
      <c r="AE145" s="332"/>
      <c r="AF145" s="332"/>
      <c r="AG145" s="332"/>
      <c r="AH145" s="332"/>
      <c r="AI145" s="332"/>
      <c r="AJ145" s="332"/>
      <c r="AK145" s="332"/>
      <c r="AL145" s="332"/>
      <c r="AM145" s="332"/>
    </row>
    <row r="146" spans="2:39" s="287" customFormat="1">
      <c r="B146" s="343">
        <v>144</v>
      </c>
      <c r="C146" s="343">
        <v>648</v>
      </c>
      <c r="D146" s="345" t="s">
        <v>783</v>
      </c>
      <c r="E146" s="331" t="s">
        <v>784</v>
      </c>
      <c r="F146" s="330" t="s">
        <v>780</v>
      </c>
      <c r="G146" s="330" t="s">
        <v>366</v>
      </c>
      <c r="H146" s="332">
        <v>5500</v>
      </c>
      <c r="I146" s="329" t="s">
        <v>494</v>
      </c>
      <c r="J146" s="332">
        <v>10</v>
      </c>
      <c r="K146" s="332">
        <v>1</v>
      </c>
      <c r="L146" s="332">
        <v>45.83</v>
      </c>
      <c r="M146" s="332">
        <v>45.84</v>
      </c>
      <c r="N146" s="332">
        <v>45.83</v>
      </c>
      <c r="O146" s="332">
        <v>45.83</v>
      </c>
      <c r="P146" s="332">
        <v>45.84</v>
      </c>
      <c r="Q146" s="332">
        <v>45.83</v>
      </c>
      <c r="R146" s="332">
        <v>45.83</v>
      </c>
      <c r="S146" s="332">
        <v>45.84</v>
      </c>
      <c r="T146" s="332">
        <v>45.83</v>
      </c>
      <c r="U146" s="332">
        <v>45.83</v>
      </c>
      <c r="V146" s="332">
        <v>45.84</v>
      </c>
      <c r="W146" s="332">
        <v>45.83</v>
      </c>
      <c r="X146" s="332">
        <v>550</v>
      </c>
      <c r="Y146" s="332">
        <f t="shared" si="41"/>
        <v>550</v>
      </c>
      <c r="Z146" s="332">
        <f t="shared" si="41"/>
        <v>550</v>
      </c>
      <c r="AA146" s="332">
        <f t="shared" si="41"/>
        <v>550</v>
      </c>
      <c r="AB146" s="332">
        <f t="shared" si="41"/>
        <v>550</v>
      </c>
      <c r="AC146" s="332">
        <f t="shared" si="41"/>
        <v>550</v>
      </c>
      <c r="AD146" s="332">
        <f t="shared" si="41"/>
        <v>550</v>
      </c>
      <c r="AE146" s="332">
        <f t="shared" si="41"/>
        <v>550</v>
      </c>
      <c r="AF146" s="332"/>
      <c r="AG146" s="332"/>
      <c r="AH146" s="332"/>
      <c r="AI146" s="332"/>
      <c r="AJ146" s="332"/>
      <c r="AK146" s="332"/>
      <c r="AL146" s="332"/>
      <c r="AM146" s="332"/>
    </row>
    <row r="147" spans="2:39" s="287" customFormat="1">
      <c r="B147" s="343">
        <v>145</v>
      </c>
      <c r="C147" s="343">
        <v>754</v>
      </c>
      <c r="D147" s="345" t="s">
        <v>785</v>
      </c>
      <c r="E147" s="331" t="s">
        <v>786</v>
      </c>
      <c r="F147" s="330" t="s">
        <v>780</v>
      </c>
      <c r="G147" s="330" t="s">
        <v>368</v>
      </c>
      <c r="H147" s="332">
        <v>34196</v>
      </c>
      <c r="I147" s="329" t="s">
        <v>494</v>
      </c>
      <c r="J147" s="332">
        <v>10</v>
      </c>
      <c r="K147" s="332">
        <v>1</v>
      </c>
      <c r="L147" s="332">
        <v>284.97000000000003</v>
      </c>
      <c r="M147" s="332">
        <v>284.95999999999998</v>
      </c>
      <c r="N147" s="332">
        <v>284.97000000000003</v>
      </c>
      <c r="O147" s="332">
        <v>284.97000000000003</v>
      </c>
      <c r="P147" s="332">
        <v>284.95999999999998</v>
      </c>
      <c r="Q147" s="332">
        <v>284.97000000000003</v>
      </c>
      <c r="R147" s="332">
        <v>284.97000000000003</v>
      </c>
      <c r="S147" s="332">
        <v>284.95999999999998</v>
      </c>
      <c r="T147" s="332">
        <v>284.97000000000003</v>
      </c>
      <c r="U147" s="332">
        <v>284.97000000000003</v>
      </c>
      <c r="V147" s="332">
        <v>284.95999999999998</v>
      </c>
      <c r="W147" s="332">
        <v>284.97000000000003</v>
      </c>
      <c r="X147" s="332">
        <v>3419.6</v>
      </c>
      <c r="Y147" s="332">
        <f t="shared" si="41"/>
        <v>3419.6</v>
      </c>
      <c r="Z147" s="332">
        <f t="shared" si="41"/>
        <v>3419.6</v>
      </c>
      <c r="AA147" s="332">
        <f t="shared" si="41"/>
        <v>3419.6</v>
      </c>
      <c r="AB147" s="332">
        <f t="shared" si="41"/>
        <v>3419.6</v>
      </c>
      <c r="AC147" s="332">
        <f t="shared" si="41"/>
        <v>3419.6</v>
      </c>
      <c r="AD147" s="332">
        <f t="shared" si="41"/>
        <v>3419.6</v>
      </c>
      <c r="AE147" s="332">
        <f t="shared" si="41"/>
        <v>3419.6</v>
      </c>
      <c r="AF147" s="332">
        <f t="shared" si="41"/>
        <v>3419.6</v>
      </c>
      <c r="AG147" s="332">
        <f t="shared" si="41"/>
        <v>3419.6</v>
      </c>
      <c r="AH147" s="332"/>
      <c r="AI147" s="332"/>
      <c r="AJ147" s="332"/>
      <c r="AK147" s="332"/>
      <c r="AL147" s="332"/>
      <c r="AM147" s="332"/>
    </row>
    <row r="148" spans="2:39" s="287" customFormat="1">
      <c r="B148" s="343">
        <v>146</v>
      </c>
      <c r="C148" s="343">
        <v>514</v>
      </c>
      <c r="D148" s="345" t="s">
        <v>787</v>
      </c>
      <c r="E148" s="331" t="s">
        <v>788</v>
      </c>
      <c r="F148" s="330" t="s">
        <v>780</v>
      </c>
      <c r="G148" s="330" t="s">
        <v>362</v>
      </c>
      <c r="H148" s="332">
        <v>45657</v>
      </c>
      <c r="I148" s="329" t="s">
        <v>494</v>
      </c>
      <c r="J148" s="332">
        <v>10</v>
      </c>
      <c r="K148" s="332">
        <v>1</v>
      </c>
      <c r="L148" s="332">
        <v>380.48</v>
      </c>
      <c r="M148" s="332">
        <v>380.47</v>
      </c>
      <c r="N148" s="332">
        <v>380.48</v>
      </c>
      <c r="O148" s="332">
        <v>380.47</v>
      </c>
      <c r="P148" s="332">
        <v>380.48</v>
      </c>
      <c r="Q148" s="332">
        <v>380.47</v>
      </c>
      <c r="R148" s="332">
        <v>380.48</v>
      </c>
      <c r="S148" s="332">
        <v>380.47</v>
      </c>
      <c r="T148" s="332">
        <v>380.48</v>
      </c>
      <c r="U148" s="332">
        <v>380.47</v>
      </c>
      <c r="V148" s="332">
        <v>380.48</v>
      </c>
      <c r="W148" s="332">
        <v>380.47</v>
      </c>
      <c r="X148" s="332">
        <v>4565.7</v>
      </c>
      <c r="Y148" s="332">
        <f t="shared" si="41"/>
        <v>4565.7</v>
      </c>
      <c r="Z148" s="332">
        <f t="shared" si="41"/>
        <v>4565.7</v>
      </c>
      <c r="AA148" s="332">
        <f t="shared" si="41"/>
        <v>4565.7</v>
      </c>
      <c r="AB148" s="332"/>
      <c r="AC148" s="332"/>
      <c r="AD148" s="332"/>
      <c r="AE148" s="332"/>
      <c r="AF148" s="332"/>
      <c r="AG148" s="332"/>
      <c r="AH148" s="332"/>
      <c r="AI148" s="332"/>
      <c r="AJ148" s="332"/>
      <c r="AK148" s="332"/>
      <c r="AL148" s="332"/>
      <c r="AM148" s="332"/>
    </row>
    <row r="149" spans="2:39" s="287" customFormat="1">
      <c r="B149" s="343">
        <v>147</v>
      </c>
      <c r="C149" s="343">
        <v>394</v>
      </c>
      <c r="D149" s="345" t="s">
        <v>789</v>
      </c>
      <c r="E149" s="331" t="s">
        <v>790</v>
      </c>
      <c r="F149" s="330" t="s">
        <v>780</v>
      </c>
      <c r="G149" s="330"/>
      <c r="H149" s="332">
        <v>35100</v>
      </c>
      <c r="I149" s="329" t="s">
        <v>494</v>
      </c>
      <c r="J149" s="332">
        <v>4.5</v>
      </c>
      <c r="K149" s="332">
        <v>1</v>
      </c>
      <c r="L149" s="332">
        <v>131.63</v>
      </c>
      <c r="M149" s="332">
        <v>131.62</v>
      </c>
      <c r="N149" s="332">
        <v>131.63</v>
      </c>
      <c r="O149" s="332">
        <v>131.62</v>
      </c>
      <c r="P149" s="332">
        <v>131.63</v>
      </c>
      <c r="Q149" s="332">
        <v>131.62</v>
      </c>
      <c r="R149" s="332">
        <v>131.63</v>
      </c>
      <c r="S149" s="332">
        <v>131.62</v>
      </c>
      <c r="T149" s="332">
        <v>131.63</v>
      </c>
      <c r="U149" s="332">
        <v>131.62</v>
      </c>
      <c r="V149" s="332">
        <v>131.63</v>
      </c>
      <c r="W149" s="332">
        <v>131.62</v>
      </c>
      <c r="X149" s="332">
        <v>1579.5</v>
      </c>
      <c r="Y149" s="332">
        <f t="shared" si="41"/>
        <v>1579.5</v>
      </c>
      <c r="Z149" s="332">
        <f t="shared" si="41"/>
        <v>1579.5</v>
      </c>
      <c r="AA149" s="332">
        <f t="shared" si="41"/>
        <v>1579.5</v>
      </c>
      <c r="AB149" s="332">
        <f t="shared" si="41"/>
        <v>1579.5</v>
      </c>
      <c r="AC149" s="332">
        <f t="shared" si="41"/>
        <v>1579.5</v>
      </c>
      <c r="AD149" s="332">
        <f t="shared" si="41"/>
        <v>1579.5</v>
      </c>
      <c r="AE149" s="332">
        <f t="shared" si="41"/>
        <v>1579.5</v>
      </c>
      <c r="AF149" s="332">
        <f t="shared" si="41"/>
        <v>1579.5</v>
      </c>
      <c r="AG149" s="332">
        <f t="shared" si="41"/>
        <v>1579.5</v>
      </c>
      <c r="AH149" s="332">
        <f t="shared" si="41"/>
        <v>1579.5</v>
      </c>
      <c r="AI149" s="332">
        <f t="shared" si="41"/>
        <v>1579.5</v>
      </c>
      <c r="AJ149" s="332">
        <f t="shared" ref="AJ149:AJ151" si="42">AI149</f>
        <v>1579.5</v>
      </c>
      <c r="AK149" s="332">
        <f t="shared" ref="AK149:AK151" si="43">AJ149</f>
        <v>1579.5</v>
      </c>
      <c r="AL149" s="332">
        <f t="shared" ref="AL149:AM151" si="44">AK149</f>
        <v>1579.5</v>
      </c>
      <c r="AM149" s="332">
        <f t="shared" si="44"/>
        <v>1579.5</v>
      </c>
    </row>
    <row r="150" spans="2:39" s="287" customFormat="1">
      <c r="B150" s="343">
        <v>148</v>
      </c>
      <c r="C150" s="343">
        <v>551</v>
      </c>
      <c r="D150" s="345" t="s">
        <v>791</v>
      </c>
      <c r="E150" s="331" t="s">
        <v>792</v>
      </c>
      <c r="F150" s="330" t="s">
        <v>780</v>
      </c>
      <c r="G150" s="330"/>
      <c r="H150" s="332">
        <v>11700</v>
      </c>
      <c r="I150" s="329" t="s">
        <v>494</v>
      </c>
      <c r="J150" s="332">
        <v>4.5</v>
      </c>
      <c r="K150" s="332">
        <v>1</v>
      </c>
      <c r="L150" s="332">
        <v>43.88</v>
      </c>
      <c r="M150" s="332">
        <v>43.87</v>
      </c>
      <c r="N150" s="332">
        <v>43.88</v>
      </c>
      <c r="O150" s="332">
        <v>43.87</v>
      </c>
      <c r="P150" s="332">
        <v>43.88</v>
      </c>
      <c r="Q150" s="332">
        <v>43.87</v>
      </c>
      <c r="R150" s="332">
        <v>43.88</v>
      </c>
      <c r="S150" s="332">
        <v>43.87</v>
      </c>
      <c r="T150" s="332">
        <v>43.88</v>
      </c>
      <c r="U150" s="332">
        <v>43.87</v>
      </c>
      <c r="V150" s="332">
        <v>43.88</v>
      </c>
      <c r="W150" s="332">
        <v>43.87</v>
      </c>
      <c r="X150" s="332">
        <v>526.5</v>
      </c>
      <c r="Y150" s="332">
        <f t="shared" si="41"/>
        <v>526.5</v>
      </c>
      <c r="Z150" s="332">
        <f t="shared" si="41"/>
        <v>526.5</v>
      </c>
      <c r="AA150" s="332">
        <f t="shared" si="41"/>
        <v>526.5</v>
      </c>
      <c r="AB150" s="332">
        <f t="shared" si="41"/>
        <v>526.5</v>
      </c>
      <c r="AC150" s="332">
        <f t="shared" si="41"/>
        <v>526.5</v>
      </c>
      <c r="AD150" s="332">
        <f t="shared" si="41"/>
        <v>526.5</v>
      </c>
      <c r="AE150" s="332">
        <f t="shared" si="41"/>
        <v>526.5</v>
      </c>
      <c r="AF150" s="332">
        <f t="shared" si="41"/>
        <v>526.5</v>
      </c>
      <c r="AG150" s="332">
        <f t="shared" si="41"/>
        <v>526.5</v>
      </c>
      <c r="AH150" s="332">
        <f t="shared" si="41"/>
        <v>526.5</v>
      </c>
      <c r="AI150" s="332">
        <f t="shared" si="41"/>
        <v>526.5</v>
      </c>
      <c r="AJ150" s="332">
        <f t="shared" si="42"/>
        <v>526.5</v>
      </c>
      <c r="AK150" s="332">
        <f t="shared" si="43"/>
        <v>526.5</v>
      </c>
      <c r="AL150" s="332">
        <f t="shared" si="44"/>
        <v>526.5</v>
      </c>
      <c r="AM150" s="332">
        <f t="shared" si="44"/>
        <v>526.5</v>
      </c>
    </row>
    <row r="151" spans="2:39" s="287" customFormat="1">
      <c r="B151" s="343">
        <v>149</v>
      </c>
      <c r="C151" s="343">
        <v>561</v>
      </c>
      <c r="D151" s="345" t="s">
        <v>793</v>
      </c>
      <c r="E151" s="331" t="s">
        <v>794</v>
      </c>
      <c r="F151" s="330" t="s">
        <v>780</v>
      </c>
      <c r="G151" s="330"/>
      <c r="H151" s="332">
        <v>11580</v>
      </c>
      <c r="I151" s="329" t="s">
        <v>494</v>
      </c>
      <c r="J151" s="332">
        <v>4.5</v>
      </c>
      <c r="K151" s="332">
        <v>1</v>
      </c>
      <c r="L151" s="332">
        <v>43.43</v>
      </c>
      <c r="M151" s="332">
        <v>43.42</v>
      </c>
      <c r="N151" s="332">
        <v>43.43</v>
      </c>
      <c r="O151" s="332">
        <v>43.42</v>
      </c>
      <c r="P151" s="332">
        <v>43.43</v>
      </c>
      <c r="Q151" s="332">
        <v>43.42</v>
      </c>
      <c r="R151" s="332">
        <v>43.43</v>
      </c>
      <c r="S151" s="332">
        <v>43.42</v>
      </c>
      <c r="T151" s="332">
        <v>43.43</v>
      </c>
      <c r="U151" s="332">
        <v>43.42</v>
      </c>
      <c r="V151" s="332">
        <v>43.43</v>
      </c>
      <c r="W151" s="332">
        <v>43.42</v>
      </c>
      <c r="X151" s="332">
        <v>521.1</v>
      </c>
      <c r="Y151" s="332">
        <f t="shared" si="41"/>
        <v>521.1</v>
      </c>
      <c r="Z151" s="332">
        <f t="shared" si="41"/>
        <v>521.1</v>
      </c>
      <c r="AA151" s="332">
        <f t="shared" si="41"/>
        <v>521.1</v>
      </c>
      <c r="AB151" s="332">
        <f t="shared" si="41"/>
        <v>521.1</v>
      </c>
      <c r="AC151" s="332">
        <f t="shared" si="41"/>
        <v>521.1</v>
      </c>
      <c r="AD151" s="332">
        <f t="shared" si="41"/>
        <v>521.1</v>
      </c>
      <c r="AE151" s="332">
        <f t="shared" si="41"/>
        <v>521.1</v>
      </c>
      <c r="AF151" s="332">
        <f t="shared" si="41"/>
        <v>521.1</v>
      </c>
      <c r="AG151" s="332">
        <f t="shared" si="41"/>
        <v>521.1</v>
      </c>
      <c r="AH151" s="332">
        <f t="shared" si="41"/>
        <v>521.1</v>
      </c>
      <c r="AI151" s="332">
        <f t="shared" si="41"/>
        <v>521.1</v>
      </c>
      <c r="AJ151" s="332">
        <f t="shared" si="42"/>
        <v>521.1</v>
      </c>
      <c r="AK151" s="332">
        <f t="shared" si="43"/>
        <v>521.1</v>
      </c>
      <c r="AL151" s="332">
        <f t="shared" si="44"/>
        <v>521.1</v>
      </c>
      <c r="AM151" s="332">
        <f t="shared" si="44"/>
        <v>521.1</v>
      </c>
    </row>
    <row r="152" spans="2:39" s="287" customFormat="1">
      <c r="B152" s="343">
        <v>150</v>
      </c>
      <c r="C152" s="343">
        <v>605</v>
      </c>
      <c r="D152" s="345" t="s">
        <v>795</v>
      </c>
      <c r="E152" s="331" t="s">
        <v>796</v>
      </c>
      <c r="F152" s="330" t="s">
        <v>780</v>
      </c>
      <c r="G152" s="330" t="s">
        <v>365</v>
      </c>
      <c r="H152" s="332">
        <v>25000</v>
      </c>
      <c r="I152" s="329" t="s">
        <v>494</v>
      </c>
      <c r="J152" s="332">
        <v>10</v>
      </c>
      <c r="K152" s="332">
        <v>1</v>
      </c>
      <c r="L152" s="332">
        <v>208.33</v>
      </c>
      <c r="M152" s="332">
        <v>208.34</v>
      </c>
      <c r="N152" s="332">
        <v>208.33</v>
      </c>
      <c r="O152" s="332">
        <v>208.33</v>
      </c>
      <c r="P152" s="332">
        <v>208.34</v>
      </c>
      <c r="Q152" s="332">
        <v>208.33</v>
      </c>
      <c r="R152" s="332">
        <v>208.33</v>
      </c>
      <c r="S152" s="332">
        <v>208.34</v>
      </c>
      <c r="T152" s="332">
        <v>208.33</v>
      </c>
      <c r="U152" s="332">
        <v>208.33</v>
      </c>
      <c r="V152" s="332">
        <v>208.34</v>
      </c>
      <c r="W152" s="332">
        <v>208.33</v>
      </c>
      <c r="X152" s="332">
        <v>2500</v>
      </c>
      <c r="Y152" s="332">
        <f t="shared" si="41"/>
        <v>2500</v>
      </c>
      <c r="Z152" s="332">
        <f t="shared" si="41"/>
        <v>2500</v>
      </c>
      <c r="AA152" s="332">
        <f t="shared" si="41"/>
        <v>2500</v>
      </c>
      <c r="AB152" s="332">
        <f t="shared" si="41"/>
        <v>2500</v>
      </c>
      <c r="AC152" s="332">
        <f t="shared" si="41"/>
        <v>2500</v>
      </c>
      <c r="AD152" s="332">
        <f t="shared" si="41"/>
        <v>2500</v>
      </c>
      <c r="AE152" s="332"/>
      <c r="AF152" s="332"/>
      <c r="AG152" s="332"/>
      <c r="AH152" s="332"/>
      <c r="AI152" s="332"/>
      <c r="AJ152" s="332"/>
      <c r="AK152" s="332"/>
      <c r="AL152" s="332"/>
      <c r="AM152" s="332"/>
    </row>
    <row r="153" spans="2:39" s="287" customFormat="1">
      <c r="B153" s="343">
        <v>151</v>
      </c>
      <c r="C153" s="343">
        <v>760</v>
      </c>
      <c r="D153" s="345" t="s">
        <v>797</v>
      </c>
      <c r="E153" s="331" t="s">
        <v>798</v>
      </c>
      <c r="F153" s="330" t="s">
        <v>799</v>
      </c>
      <c r="G153" s="330" t="s">
        <v>365</v>
      </c>
      <c r="H153" s="332">
        <v>70043.5</v>
      </c>
      <c r="I153" s="329" t="s">
        <v>494</v>
      </c>
      <c r="J153" s="332">
        <v>14</v>
      </c>
      <c r="K153" s="332">
        <v>1</v>
      </c>
      <c r="L153" s="332">
        <v>817.17</v>
      </c>
      <c r="M153" s="332">
        <v>817.18</v>
      </c>
      <c r="N153" s="332">
        <v>817.17</v>
      </c>
      <c r="O153" s="332">
        <v>817.18</v>
      </c>
      <c r="P153" s="332">
        <v>817.17</v>
      </c>
      <c r="Q153" s="332">
        <v>817.18</v>
      </c>
      <c r="R153" s="332">
        <v>817.17</v>
      </c>
      <c r="S153" s="332">
        <v>817.17</v>
      </c>
      <c r="T153" s="332">
        <v>817.18</v>
      </c>
      <c r="U153" s="332">
        <v>817.17</v>
      </c>
      <c r="V153" s="332">
        <v>817.18</v>
      </c>
      <c r="W153" s="332">
        <v>817.17</v>
      </c>
      <c r="X153" s="332">
        <v>9806.09</v>
      </c>
      <c r="Y153" s="332">
        <f t="shared" si="41"/>
        <v>9806.09</v>
      </c>
      <c r="Z153" s="332">
        <f t="shared" si="41"/>
        <v>9806.09</v>
      </c>
      <c r="AA153" s="332">
        <f t="shared" si="41"/>
        <v>9806.09</v>
      </c>
      <c r="AB153" s="332">
        <f t="shared" si="41"/>
        <v>9806.09</v>
      </c>
      <c r="AC153" s="332">
        <f t="shared" si="41"/>
        <v>9806.09</v>
      </c>
      <c r="AD153" s="332">
        <f t="shared" si="41"/>
        <v>9806.09</v>
      </c>
      <c r="AE153" s="332"/>
      <c r="AF153" s="332"/>
      <c r="AG153" s="332"/>
      <c r="AH153" s="332"/>
      <c r="AI153" s="332"/>
      <c r="AJ153" s="332"/>
      <c r="AK153" s="332"/>
      <c r="AL153" s="332"/>
      <c r="AM153" s="332"/>
    </row>
    <row r="154" spans="2:39" s="287" customFormat="1">
      <c r="B154" s="343">
        <v>152</v>
      </c>
      <c r="C154" s="343">
        <v>525</v>
      </c>
      <c r="D154" s="345" t="s">
        <v>800</v>
      </c>
      <c r="E154" s="331" t="s">
        <v>801</v>
      </c>
      <c r="F154" s="330" t="s">
        <v>799</v>
      </c>
      <c r="G154" s="330" t="s">
        <v>324</v>
      </c>
      <c r="H154" s="332">
        <v>61000</v>
      </c>
      <c r="I154" s="329" t="s">
        <v>494</v>
      </c>
      <c r="J154" s="332">
        <v>14</v>
      </c>
      <c r="K154" s="332">
        <v>1</v>
      </c>
      <c r="L154" s="332">
        <v>711.67</v>
      </c>
      <c r="M154" s="332">
        <v>711.66</v>
      </c>
      <c r="N154" s="332">
        <v>711.67</v>
      </c>
      <c r="O154" s="332">
        <v>711.67</v>
      </c>
      <c r="P154" s="332">
        <v>711.66</v>
      </c>
      <c r="Q154" s="332">
        <v>711.67</v>
      </c>
      <c r="R154" s="332">
        <v>711.67</v>
      </c>
      <c r="S154" s="332">
        <v>711.66</v>
      </c>
      <c r="T154" s="332">
        <v>711.67</v>
      </c>
      <c r="U154" s="332">
        <v>711.67</v>
      </c>
      <c r="V154" s="332">
        <v>711.66</v>
      </c>
      <c r="W154" s="332">
        <v>711.67</v>
      </c>
      <c r="X154" s="332">
        <v>8540</v>
      </c>
      <c r="Y154" s="332">
        <f t="shared" si="41"/>
        <v>8540</v>
      </c>
      <c r="Z154" s="332"/>
      <c r="AA154" s="332"/>
      <c r="AB154" s="332"/>
      <c r="AC154" s="332"/>
      <c r="AD154" s="332"/>
      <c r="AE154" s="332"/>
      <c r="AF154" s="332"/>
      <c r="AG154" s="332"/>
      <c r="AH154" s="332"/>
      <c r="AI154" s="332"/>
      <c r="AJ154" s="332"/>
      <c r="AK154" s="332"/>
      <c r="AL154" s="332"/>
      <c r="AM154" s="332"/>
    </row>
    <row r="155" spans="2:39" s="287" customFormat="1">
      <c r="B155" s="343">
        <v>153</v>
      </c>
      <c r="C155" s="343">
        <v>641</v>
      </c>
      <c r="D155" s="345" t="s">
        <v>802</v>
      </c>
      <c r="E155" s="331" t="s">
        <v>803</v>
      </c>
      <c r="F155" s="330" t="s">
        <v>799</v>
      </c>
      <c r="G155" s="330" t="s">
        <v>361</v>
      </c>
      <c r="H155" s="332">
        <v>167999</v>
      </c>
      <c r="I155" s="329" t="s">
        <v>494</v>
      </c>
      <c r="J155" s="332">
        <v>20</v>
      </c>
      <c r="K155" s="332">
        <v>1</v>
      </c>
      <c r="L155" s="332">
        <v>2799.98</v>
      </c>
      <c r="M155" s="332">
        <v>2799.99</v>
      </c>
      <c r="N155" s="332">
        <v>2799.98</v>
      </c>
      <c r="O155" s="332">
        <v>2799.98</v>
      </c>
      <c r="P155" s="332">
        <v>2799.99</v>
      </c>
      <c r="Q155" s="332">
        <v>2799.98</v>
      </c>
      <c r="R155" s="332">
        <v>2799.98</v>
      </c>
      <c r="S155" s="332">
        <v>2799.99</v>
      </c>
      <c r="T155" s="332">
        <v>2799.98</v>
      </c>
      <c r="U155" s="332">
        <v>2799.98</v>
      </c>
      <c r="V155" s="332">
        <v>2799.99</v>
      </c>
      <c r="W155" s="332">
        <v>2799.98</v>
      </c>
      <c r="X155" s="332">
        <v>33599.800000000003</v>
      </c>
      <c r="Y155" s="332">
        <f t="shared" si="41"/>
        <v>33599.800000000003</v>
      </c>
      <c r="Z155" s="332">
        <f t="shared" si="41"/>
        <v>33599.800000000003</v>
      </c>
      <c r="AA155" s="332"/>
      <c r="AB155" s="332"/>
      <c r="AC155" s="332"/>
      <c r="AD155" s="332"/>
      <c r="AE155" s="332"/>
      <c r="AF155" s="332"/>
      <c r="AG155" s="332"/>
      <c r="AH155" s="332"/>
      <c r="AI155" s="332"/>
      <c r="AJ155" s="332"/>
      <c r="AK155" s="332"/>
      <c r="AL155" s="332"/>
      <c r="AM155" s="332"/>
    </row>
    <row r="156" spans="2:39" s="287" customFormat="1">
      <c r="B156" s="343">
        <v>154</v>
      </c>
      <c r="C156" s="343">
        <v>560</v>
      </c>
      <c r="D156" s="345" t="s">
        <v>804</v>
      </c>
      <c r="E156" s="331" t="s">
        <v>805</v>
      </c>
      <c r="F156" s="330" t="s">
        <v>799</v>
      </c>
      <c r="G156" s="330" t="s">
        <v>361</v>
      </c>
      <c r="H156" s="332">
        <v>360000</v>
      </c>
      <c r="I156" s="329" t="s">
        <v>494</v>
      </c>
      <c r="J156" s="332">
        <v>14</v>
      </c>
      <c r="K156" s="332">
        <v>1</v>
      </c>
      <c r="L156" s="332">
        <v>4200</v>
      </c>
      <c r="M156" s="332">
        <v>4200</v>
      </c>
      <c r="N156" s="332">
        <v>4200</v>
      </c>
      <c r="O156" s="332">
        <v>4200</v>
      </c>
      <c r="P156" s="332">
        <v>4200</v>
      </c>
      <c r="Q156" s="332">
        <v>4200</v>
      </c>
      <c r="R156" s="332">
        <v>4200</v>
      </c>
      <c r="S156" s="332">
        <v>4200</v>
      </c>
      <c r="T156" s="332">
        <v>4200</v>
      </c>
      <c r="U156" s="332">
        <v>4200</v>
      </c>
      <c r="V156" s="332">
        <v>4200</v>
      </c>
      <c r="W156" s="332">
        <v>4200</v>
      </c>
      <c r="X156" s="332">
        <v>50400</v>
      </c>
      <c r="Y156" s="332">
        <f t="shared" si="41"/>
        <v>50400</v>
      </c>
      <c r="Z156" s="332">
        <f t="shared" si="41"/>
        <v>50400</v>
      </c>
      <c r="AA156" s="332"/>
      <c r="AB156" s="332"/>
      <c r="AC156" s="332"/>
      <c r="AD156" s="332"/>
      <c r="AE156" s="332"/>
      <c r="AF156" s="332"/>
      <c r="AG156" s="332"/>
      <c r="AH156" s="332"/>
      <c r="AI156" s="332"/>
      <c r="AJ156" s="332"/>
      <c r="AK156" s="332"/>
      <c r="AL156" s="332"/>
      <c r="AM156" s="332"/>
    </row>
    <row r="157" spans="2:39" s="287" customFormat="1">
      <c r="B157" s="343">
        <v>155</v>
      </c>
      <c r="C157" s="343">
        <v>759</v>
      </c>
      <c r="D157" s="345" t="s">
        <v>806</v>
      </c>
      <c r="E157" s="331" t="s">
        <v>807</v>
      </c>
      <c r="F157" s="330" t="s">
        <v>808</v>
      </c>
      <c r="G157" s="330" t="s">
        <v>363</v>
      </c>
      <c r="H157" s="332">
        <v>276000</v>
      </c>
      <c r="I157" s="329" t="s">
        <v>494</v>
      </c>
      <c r="J157" s="332">
        <v>20</v>
      </c>
      <c r="K157" s="332">
        <v>1</v>
      </c>
      <c r="L157" s="332">
        <v>4600</v>
      </c>
      <c r="M157" s="332">
        <v>4600</v>
      </c>
      <c r="N157" s="332">
        <v>4600</v>
      </c>
      <c r="O157" s="332">
        <v>4600</v>
      </c>
      <c r="P157" s="332">
        <v>4600</v>
      </c>
      <c r="Q157" s="332">
        <v>4600</v>
      </c>
      <c r="R157" s="332">
        <v>4600</v>
      </c>
      <c r="S157" s="332">
        <v>4600</v>
      </c>
      <c r="T157" s="332">
        <v>4600</v>
      </c>
      <c r="U157" s="332">
        <v>4600</v>
      </c>
      <c r="V157" s="332">
        <v>4600</v>
      </c>
      <c r="W157" s="332">
        <v>4600</v>
      </c>
      <c r="X157" s="332">
        <v>55200</v>
      </c>
      <c r="Y157" s="332">
        <f t="shared" si="41"/>
        <v>55200</v>
      </c>
      <c r="Z157" s="332">
        <f t="shared" si="41"/>
        <v>55200</v>
      </c>
      <c r="AA157" s="332">
        <f t="shared" si="41"/>
        <v>55200</v>
      </c>
      <c r="AB157" s="332">
        <f t="shared" si="41"/>
        <v>55200</v>
      </c>
      <c r="AC157" s="332"/>
      <c r="AD157" s="332"/>
      <c r="AE157" s="332"/>
      <c r="AF157" s="332"/>
      <c r="AG157" s="332"/>
      <c r="AH157" s="332"/>
      <c r="AI157" s="332"/>
      <c r="AJ157" s="332"/>
      <c r="AK157" s="332"/>
      <c r="AL157" s="332"/>
      <c r="AM157" s="332"/>
    </row>
    <row r="158" spans="2:39" s="287" customFormat="1">
      <c r="B158" s="343">
        <v>156</v>
      </c>
      <c r="C158" s="343">
        <v>782</v>
      </c>
      <c r="D158" s="345" t="s">
        <v>809</v>
      </c>
      <c r="E158" s="331" t="s">
        <v>810</v>
      </c>
      <c r="F158" s="330" t="s">
        <v>808</v>
      </c>
      <c r="G158" s="330" t="s">
        <v>369</v>
      </c>
      <c r="H158" s="332">
        <v>27052.6</v>
      </c>
      <c r="I158" s="329" t="s">
        <v>494</v>
      </c>
      <c r="J158" s="332">
        <v>10</v>
      </c>
      <c r="K158" s="332">
        <v>1</v>
      </c>
      <c r="L158" s="332"/>
      <c r="M158" s="332">
        <v>225.44</v>
      </c>
      <c r="N158" s="332">
        <v>225.44</v>
      </c>
      <c r="O158" s="332">
        <v>225.44</v>
      </c>
      <c r="P158" s="332">
        <v>225.43</v>
      </c>
      <c r="Q158" s="332">
        <v>225.44</v>
      </c>
      <c r="R158" s="332">
        <v>225.44</v>
      </c>
      <c r="S158" s="332">
        <v>225.44</v>
      </c>
      <c r="T158" s="332">
        <v>225.44</v>
      </c>
      <c r="U158" s="332">
        <v>225.44</v>
      </c>
      <c r="V158" s="332">
        <v>225.43</v>
      </c>
      <c r="W158" s="332">
        <v>225.44</v>
      </c>
      <c r="X158" s="332">
        <v>2479.8200000000002</v>
      </c>
      <c r="Y158" s="332">
        <f t="shared" si="41"/>
        <v>2479.8200000000002</v>
      </c>
      <c r="Z158" s="332">
        <f t="shared" si="41"/>
        <v>2479.8200000000002</v>
      </c>
      <c r="AA158" s="332">
        <f t="shared" si="41"/>
        <v>2479.8200000000002</v>
      </c>
      <c r="AB158" s="332">
        <f t="shared" si="41"/>
        <v>2479.8200000000002</v>
      </c>
      <c r="AC158" s="332">
        <f t="shared" si="41"/>
        <v>2479.8200000000002</v>
      </c>
      <c r="AD158" s="332">
        <f t="shared" si="41"/>
        <v>2479.8200000000002</v>
      </c>
      <c r="AE158" s="332">
        <f t="shared" si="41"/>
        <v>2479.8200000000002</v>
      </c>
      <c r="AF158" s="332">
        <f t="shared" si="41"/>
        <v>2479.8200000000002</v>
      </c>
      <c r="AG158" s="332">
        <f t="shared" si="41"/>
        <v>2479.8200000000002</v>
      </c>
      <c r="AH158" s="332">
        <f t="shared" si="41"/>
        <v>2479.8200000000002</v>
      </c>
      <c r="AI158" s="332"/>
      <c r="AJ158" s="332"/>
      <c r="AK158" s="332"/>
      <c r="AL158" s="332"/>
      <c r="AM158" s="332"/>
    </row>
    <row r="159" spans="2:39" s="287" customFormat="1">
      <c r="B159" s="343">
        <v>157</v>
      </c>
      <c r="C159" s="343">
        <v>781</v>
      </c>
      <c r="D159" s="345" t="s">
        <v>811</v>
      </c>
      <c r="E159" s="331" t="s">
        <v>812</v>
      </c>
      <c r="F159" s="330" t="s">
        <v>808</v>
      </c>
      <c r="G159" s="330" t="s">
        <v>369</v>
      </c>
      <c r="H159" s="332">
        <v>29052.6</v>
      </c>
      <c r="I159" s="329" t="s">
        <v>494</v>
      </c>
      <c r="J159" s="332">
        <v>10</v>
      </c>
      <c r="K159" s="332">
        <v>1</v>
      </c>
      <c r="L159" s="332"/>
      <c r="M159" s="332">
        <v>242.11</v>
      </c>
      <c r="N159" s="332">
        <v>242.1</v>
      </c>
      <c r="O159" s="332">
        <v>242.11</v>
      </c>
      <c r="P159" s="332">
        <v>242.1</v>
      </c>
      <c r="Q159" s="332">
        <v>242.11</v>
      </c>
      <c r="R159" s="332">
        <v>242.1</v>
      </c>
      <c r="S159" s="332">
        <v>242.11</v>
      </c>
      <c r="T159" s="332">
        <v>242.1</v>
      </c>
      <c r="U159" s="332">
        <v>242.11</v>
      </c>
      <c r="V159" s="332">
        <v>242.1</v>
      </c>
      <c r="W159" s="332">
        <v>242.11</v>
      </c>
      <c r="X159" s="332">
        <v>2663.16</v>
      </c>
      <c r="Y159" s="332">
        <f t="shared" si="41"/>
        <v>2663.16</v>
      </c>
      <c r="Z159" s="332">
        <f t="shared" si="41"/>
        <v>2663.16</v>
      </c>
      <c r="AA159" s="332">
        <f t="shared" si="41"/>
        <v>2663.16</v>
      </c>
      <c r="AB159" s="332">
        <f t="shared" si="41"/>
        <v>2663.16</v>
      </c>
      <c r="AC159" s="332">
        <f t="shared" si="41"/>
        <v>2663.16</v>
      </c>
      <c r="AD159" s="332">
        <f t="shared" si="41"/>
        <v>2663.16</v>
      </c>
      <c r="AE159" s="332">
        <f t="shared" si="41"/>
        <v>2663.16</v>
      </c>
      <c r="AF159" s="332">
        <f t="shared" si="41"/>
        <v>2663.16</v>
      </c>
      <c r="AG159" s="332">
        <f t="shared" si="41"/>
        <v>2663.16</v>
      </c>
      <c r="AH159" s="332">
        <f t="shared" si="41"/>
        <v>2663.16</v>
      </c>
      <c r="AI159" s="332"/>
      <c r="AJ159" s="332"/>
      <c r="AK159" s="332"/>
      <c r="AL159" s="332"/>
      <c r="AM159" s="332"/>
    </row>
    <row r="160" spans="2:39" s="287" customFormat="1">
      <c r="B160" s="343">
        <v>158</v>
      </c>
      <c r="C160" s="343">
        <v>721</v>
      </c>
      <c r="D160" s="345" t="s">
        <v>813</v>
      </c>
      <c r="E160" s="331" t="s">
        <v>814</v>
      </c>
      <c r="F160" s="330" t="s">
        <v>808</v>
      </c>
      <c r="G160" s="330" t="s">
        <v>362</v>
      </c>
      <c r="H160" s="332">
        <v>48725.2</v>
      </c>
      <c r="I160" s="329" t="s">
        <v>494</v>
      </c>
      <c r="J160" s="332">
        <v>20</v>
      </c>
      <c r="K160" s="332">
        <v>1</v>
      </c>
      <c r="L160" s="332">
        <v>812.09</v>
      </c>
      <c r="M160" s="332">
        <v>812.08</v>
      </c>
      <c r="N160" s="332">
        <v>812.09</v>
      </c>
      <c r="O160" s="332">
        <v>812.09</v>
      </c>
      <c r="P160" s="332">
        <v>812.08</v>
      </c>
      <c r="Q160" s="332">
        <v>812.09</v>
      </c>
      <c r="R160" s="332">
        <v>812.09</v>
      </c>
      <c r="S160" s="332">
        <v>812.08</v>
      </c>
      <c r="T160" s="332">
        <v>812.09</v>
      </c>
      <c r="U160" s="332">
        <v>812.09</v>
      </c>
      <c r="V160" s="332">
        <v>812.08</v>
      </c>
      <c r="W160" s="332">
        <v>812.09</v>
      </c>
      <c r="X160" s="332">
        <v>9745.0400000000009</v>
      </c>
      <c r="Y160" s="332">
        <f t="shared" si="41"/>
        <v>9745.0400000000009</v>
      </c>
      <c r="Z160" s="332">
        <f t="shared" si="41"/>
        <v>9745.0400000000009</v>
      </c>
      <c r="AA160" s="332">
        <f t="shared" si="41"/>
        <v>9745.0400000000009</v>
      </c>
      <c r="AB160" s="332"/>
      <c r="AC160" s="332"/>
      <c r="AD160" s="332"/>
      <c r="AE160" s="332"/>
      <c r="AF160" s="332"/>
      <c r="AG160" s="332"/>
      <c r="AH160" s="332"/>
      <c r="AI160" s="332"/>
      <c r="AJ160" s="332"/>
      <c r="AK160" s="332"/>
      <c r="AL160" s="332"/>
      <c r="AM160" s="332"/>
    </row>
    <row r="161" spans="2:39" s="287" customFormat="1">
      <c r="B161" s="343">
        <v>159</v>
      </c>
      <c r="C161" s="343">
        <v>722</v>
      </c>
      <c r="D161" s="345" t="s">
        <v>813</v>
      </c>
      <c r="E161" s="331" t="s">
        <v>815</v>
      </c>
      <c r="F161" s="330" t="s">
        <v>808</v>
      </c>
      <c r="G161" s="330" t="s">
        <v>362</v>
      </c>
      <c r="H161" s="332">
        <v>64800</v>
      </c>
      <c r="I161" s="329" t="s">
        <v>494</v>
      </c>
      <c r="J161" s="332">
        <v>20</v>
      </c>
      <c r="K161" s="332">
        <v>1</v>
      </c>
      <c r="L161" s="332">
        <v>1080</v>
      </c>
      <c r="M161" s="332">
        <v>1080</v>
      </c>
      <c r="N161" s="332">
        <v>1080</v>
      </c>
      <c r="O161" s="332">
        <v>1080</v>
      </c>
      <c r="P161" s="332">
        <v>1080</v>
      </c>
      <c r="Q161" s="332">
        <v>1080</v>
      </c>
      <c r="R161" s="332">
        <v>1080</v>
      </c>
      <c r="S161" s="332">
        <v>1080</v>
      </c>
      <c r="T161" s="332">
        <v>1080</v>
      </c>
      <c r="U161" s="332">
        <v>1080</v>
      </c>
      <c r="V161" s="332">
        <v>1080</v>
      </c>
      <c r="W161" s="332">
        <v>1080</v>
      </c>
      <c r="X161" s="332">
        <v>12960</v>
      </c>
      <c r="Y161" s="332">
        <f t="shared" si="41"/>
        <v>12960</v>
      </c>
      <c r="Z161" s="332">
        <f t="shared" si="41"/>
        <v>12960</v>
      </c>
      <c r="AA161" s="332">
        <f t="shared" si="41"/>
        <v>12960</v>
      </c>
      <c r="AB161" s="332"/>
      <c r="AC161" s="332"/>
      <c r="AD161" s="332"/>
      <c r="AE161" s="332"/>
      <c r="AF161" s="332"/>
      <c r="AG161" s="332"/>
      <c r="AH161" s="332"/>
      <c r="AI161" s="332"/>
      <c r="AJ161" s="332"/>
      <c r="AK161" s="332"/>
      <c r="AL161" s="332"/>
      <c r="AM161" s="332"/>
    </row>
    <row r="162" spans="2:39" s="287" customFormat="1">
      <c r="B162" s="343">
        <v>160</v>
      </c>
      <c r="C162" s="343">
        <v>383</v>
      </c>
      <c r="D162" s="345" t="s">
        <v>816</v>
      </c>
      <c r="E162" s="331" t="s">
        <v>817</v>
      </c>
      <c r="F162" s="330" t="s">
        <v>808</v>
      </c>
      <c r="G162" s="330" t="s">
        <v>361</v>
      </c>
      <c r="H162" s="332">
        <v>48250</v>
      </c>
      <c r="I162" s="329" t="s">
        <v>494</v>
      </c>
      <c r="J162" s="332">
        <v>10</v>
      </c>
      <c r="K162" s="332">
        <v>1</v>
      </c>
      <c r="L162" s="332">
        <v>402.08</v>
      </c>
      <c r="M162" s="332">
        <v>402.09</v>
      </c>
      <c r="N162" s="332">
        <v>402.08</v>
      </c>
      <c r="O162" s="332">
        <v>402.08</v>
      </c>
      <c r="P162" s="332">
        <v>402.09</v>
      </c>
      <c r="Q162" s="332">
        <v>402.08</v>
      </c>
      <c r="R162" s="332">
        <v>402.08</v>
      </c>
      <c r="S162" s="332">
        <v>402.09</v>
      </c>
      <c r="T162" s="332">
        <v>402.08</v>
      </c>
      <c r="U162" s="332">
        <v>402.08</v>
      </c>
      <c r="V162" s="332">
        <v>402.09</v>
      </c>
      <c r="W162" s="332">
        <v>402.08</v>
      </c>
      <c r="X162" s="332">
        <v>4825</v>
      </c>
      <c r="Y162" s="332">
        <f t="shared" si="41"/>
        <v>4825</v>
      </c>
      <c r="Z162" s="332">
        <f t="shared" si="41"/>
        <v>4825</v>
      </c>
      <c r="AA162" s="332"/>
      <c r="AB162" s="332"/>
      <c r="AC162" s="332"/>
      <c r="AD162" s="332"/>
      <c r="AE162" s="332"/>
      <c r="AF162" s="332"/>
      <c r="AG162" s="332"/>
      <c r="AH162" s="332"/>
      <c r="AI162" s="332"/>
      <c r="AJ162" s="332"/>
      <c r="AK162" s="332"/>
      <c r="AL162" s="332"/>
      <c r="AM162" s="332"/>
    </row>
    <row r="163" spans="2:39" s="287" customFormat="1">
      <c r="B163" s="343">
        <v>161</v>
      </c>
      <c r="C163" s="343">
        <v>395</v>
      </c>
      <c r="D163" s="345" t="s">
        <v>818</v>
      </c>
      <c r="E163" s="331" t="s">
        <v>819</v>
      </c>
      <c r="F163" s="330" t="s">
        <v>808</v>
      </c>
      <c r="G163" s="330"/>
      <c r="H163" s="332">
        <v>337786.89</v>
      </c>
      <c r="I163" s="329" t="s">
        <v>494</v>
      </c>
      <c r="J163" s="332">
        <v>4.5</v>
      </c>
      <c r="K163" s="332">
        <v>1</v>
      </c>
      <c r="L163" s="332">
        <v>1266.7</v>
      </c>
      <c r="M163" s="332">
        <v>1266.7</v>
      </c>
      <c r="N163" s="332">
        <v>1266.7</v>
      </c>
      <c r="O163" s="332">
        <v>1266.7</v>
      </c>
      <c r="P163" s="332">
        <v>1266.7</v>
      </c>
      <c r="Q163" s="332">
        <v>1266.71</v>
      </c>
      <c r="R163" s="332">
        <v>1266.7</v>
      </c>
      <c r="S163" s="332">
        <v>1266.7</v>
      </c>
      <c r="T163" s="332">
        <v>1266.7</v>
      </c>
      <c r="U163" s="332">
        <v>1266.7</v>
      </c>
      <c r="V163" s="332">
        <v>1266.7</v>
      </c>
      <c r="W163" s="332">
        <v>1266.7</v>
      </c>
      <c r="X163" s="332">
        <v>15200.41</v>
      </c>
      <c r="Y163" s="332">
        <f t="shared" si="41"/>
        <v>15200.41</v>
      </c>
      <c r="Z163" s="332">
        <f t="shared" si="41"/>
        <v>15200.41</v>
      </c>
      <c r="AA163" s="332">
        <f t="shared" si="41"/>
        <v>15200.41</v>
      </c>
      <c r="AB163" s="332">
        <f t="shared" si="41"/>
        <v>15200.41</v>
      </c>
      <c r="AC163" s="332">
        <f t="shared" si="41"/>
        <v>15200.41</v>
      </c>
      <c r="AD163" s="332">
        <f t="shared" si="41"/>
        <v>15200.41</v>
      </c>
      <c r="AE163" s="332">
        <f t="shared" si="41"/>
        <v>15200.41</v>
      </c>
      <c r="AF163" s="332">
        <f t="shared" si="41"/>
        <v>15200.41</v>
      </c>
      <c r="AG163" s="332">
        <f t="shared" si="41"/>
        <v>15200.41</v>
      </c>
      <c r="AH163" s="332">
        <f t="shared" si="41"/>
        <v>15200.41</v>
      </c>
      <c r="AI163" s="332">
        <f t="shared" si="41"/>
        <v>15200.41</v>
      </c>
      <c r="AJ163" s="332">
        <f t="shared" ref="AJ163:AJ167" si="45">AI163</f>
        <v>15200.41</v>
      </c>
      <c r="AK163" s="332">
        <f t="shared" ref="AK163:AK167" si="46">AJ163</f>
        <v>15200.41</v>
      </c>
      <c r="AL163" s="332">
        <f t="shared" ref="AL163:AM167" si="47">AK163</f>
        <v>15200.41</v>
      </c>
      <c r="AM163" s="332">
        <f t="shared" si="47"/>
        <v>15200.41</v>
      </c>
    </row>
    <row r="164" spans="2:39" s="287" customFormat="1">
      <c r="B164" s="343">
        <v>162</v>
      </c>
      <c r="C164" s="343">
        <v>396</v>
      </c>
      <c r="D164" s="345" t="s">
        <v>820</v>
      </c>
      <c r="E164" s="331" t="s">
        <v>821</v>
      </c>
      <c r="F164" s="330" t="s">
        <v>808</v>
      </c>
      <c r="G164" s="330"/>
      <c r="H164" s="332">
        <v>460257.61</v>
      </c>
      <c r="I164" s="329" t="s">
        <v>494</v>
      </c>
      <c r="J164" s="332">
        <v>4.5</v>
      </c>
      <c r="K164" s="332">
        <v>1</v>
      </c>
      <c r="L164" s="332">
        <v>1725.97</v>
      </c>
      <c r="M164" s="332">
        <v>1725.96</v>
      </c>
      <c r="N164" s="332">
        <v>1725.97</v>
      </c>
      <c r="O164" s="332">
        <v>1725.96</v>
      </c>
      <c r="P164" s="332">
        <v>1725.97</v>
      </c>
      <c r="Q164" s="332">
        <v>1725.97</v>
      </c>
      <c r="R164" s="332">
        <v>1725.96</v>
      </c>
      <c r="S164" s="332">
        <v>1725.97</v>
      </c>
      <c r="T164" s="332">
        <v>1725.96</v>
      </c>
      <c r="U164" s="332">
        <v>1725.97</v>
      </c>
      <c r="V164" s="332">
        <v>1725.96</v>
      </c>
      <c r="W164" s="332">
        <v>1725.97</v>
      </c>
      <c r="X164" s="332">
        <v>20711.59</v>
      </c>
      <c r="Y164" s="332">
        <f t="shared" si="41"/>
        <v>20711.59</v>
      </c>
      <c r="Z164" s="332">
        <f t="shared" si="41"/>
        <v>20711.59</v>
      </c>
      <c r="AA164" s="332">
        <f t="shared" ref="Z164:AI179" si="48">Z164</f>
        <v>20711.59</v>
      </c>
      <c r="AB164" s="332">
        <f t="shared" si="48"/>
        <v>20711.59</v>
      </c>
      <c r="AC164" s="332">
        <f t="shared" si="48"/>
        <v>20711.59</v>
      </c>
      <c r="AD164" s="332">
        <f t="shared" si="48"/>
        <v>20711.59</v>
      </c>
      <c r="AE164" s="332">
        <f t="shared" si="48"/>
        <v>20711.59</v>
      </c>
      <c r="AF164" s="332">
        <f t="shared" si="48"/>
        <v>20711.59</v>
      </c>
      <c r="AG164" s="332">
        <f t="shared" si="48"/>
        <v>20711.59</v>
      </c>
      <c r="AH164" s="332">
        <f t="shared" si="48"/>
        <v>20711.59</v>
      </c>
      <c r="AI164" s="332">
        <f t="shared" si="48"/>
        <v>20711.59</v>
      </c>
      <c r="AJ164" s="332">
        <f t="shared" si="45"/>
        <v>20711.59</v>
      </c>
      <c r="AK164" s="332">
        <f t="shared" si="46"/>
        <v>20711.59</v>
      </c>
      <c r="AL164" s="332">
        <f t="shared" si="47"/>
        <v>20711.59</v>
      </c>
      <c r="AM164" s="332">
        <f t="shared" si="47"/>
        <v>20711.59</v>
      </c>
    </row>
    <row r="165" spans="2:39" s="287" customFormat="1">
      <c r="B165" s="343">
        <v>163</v>
      </c>
      <c r="C165" s="343">
        <v>397</v>
      </c>
      <c r="D165" s="345" t="s">
        <v>822</v>
      </c>
      <c r="E165" s="331" t="s">
        <v>823</v>
      </c>
      <c r="F165" s="330" t="s">
        <v>808</v>
      </c>
      <c r="G165" s="330"/>
      <c r="H165" s="332">
        <v>203777.76</v>
      </c>
      <c r="I165" s="329" t="s">
        <v>494</v>
      </c>
      <c r="J165" s="332">
        <v>4.5</v>
      </c>
      <c r="K165" s="332">
        <v>1</v>
      </c>
      <c r="L165" s="332">
        <v>764.17</v>
      </c>
      <c r="M165" s="332">
        <v>764.16</v>
      </c>
      <c r="N165" s="332">
        <v>764.17</v>
      </c>
      <c r="O165" s="332">
        <v>764.17</v>
      </c>
      <c r="P165" s="332">
        <v>764.16</v>
      </c>
      <c r="Q165" s="332">
        <v>764.17</v>
      </c>
      <c r="R165" s="332">
        <v>764.17</v>
      </c>
      <c r="S165" s="332">
        <v>764.16</v>
      </c>
      <c r="T165" s="332">
        <v>764.17</v>
      </c>
      <c r="U165" s="332">
        <v>764.17</v>
      </c>
      <c r="V165" s="332">
        <v>764.16</v>
      </c>
      <c r="W165" s="332">
        <v>764.17</v>
      </c>
      <c r="X165" s="332">
        <v>9170</v>
      </c>
      <c r="Y165" s="332">
        <f t="shared" si="41"/>
        <v>9170</v>
      </c>
      <c r="Z165" s="332">
        <f t="shared" si="48"/>
        <v>9170</v>
      </c>
      <c r="AA165" s="332">
        <f t="shared" si="48"/>
        <v>9170</v>
      </c>
      <c r="AB165" s="332">
        <f t="shared" si="48"/>
        <v>9170</v>
      </c>
      <c r="AC165" s="332">
        <f t="shared" si="48"/>
        <v>9170</v>
      </c>
      <c r="AD165" s="332">
        <f t="shared" si="48"/>
        <v>9170</v>
      </c>
      <c r="AE165" s="332">
        <f t="shared" si="48"/>
        <v>9170</v>
      </c>
      <c r="AF165" s="332">
        <f t="shared" si="48"/>
        <v>9170</v>
      </c>
      <c r="AG165" s="332">
        <f t="shared" si="48"/>
        <v>9170</v>
      </c>
      <c r="AH165" s="332">
        <f t="shared" si="48"/>
        <v>9170</v>
      </c>
      <c r="AI165" s="332">
        <f t="shared" si="48"/>
        <v>9170</v>
      </c>
      <c r="AJ165" s="332">
        <f t="shared" si="45"/>
        <v>9170</v>
      </c>
      <c r="AK165" s="332">
        <f t="shared" si="46"/>
        <v>9170</v>
      </c>
      <c r="AL165" s="332">
        <f t="shared" si="47"/>
        <v>9170</v>
      </c>
      <c r="AM165" s="332">
        <f t="shared" si="47"/>
        <v>9170</v>
      </c>
    </row>
    <row r="166" spans="2:39" s="287" customFormat="1">
      <c r="B166" s="343">
        <v>164</v>
      </c>
      <c r="C166" s="343">
        <v>399</v>
      </c>
      <c r="D166" s="345" t="s">
        <v>824</v>
      </c>
      <c r="E166" s="331" t="s">
        <v>825</v>
      </c>
      <c r="F166" s="330" t="s">
        <v>808</v>
      </c>
      <c r="G166" s="330"/>
      <c r="H166" s="332">
        <v>435951.38</v>
      </c>
      <c r="I166" s="329" t="s">
        <v>494</v>
      </c>
      <c r="J166" s="332">
        <v>4.5</v>
      </c>
      <c r="K166" s="332">
        <v>1</v>
      </c>
      <c r="L166" s="332">
        <v>1634.82</v>
      </c>
      <c r="M166" s="332">
        <v>1634.82</v>
      </c>
      <c r="N166" s="332">
        <v>1634.81</v>
      </c>
      <c r="O166" s="332">
        <v>1634.82</v>
      </c>
      <c r="P166" s="332">
        <v>1634.82</v>
      </c>
      <c r="Q166" s="332">
        <v>1634.82</v>
      </c>
      <c r="R166" s="332">
        <v>1634.81</v>
      </c>
      <c r="S166" s="332">
        <v>1634.82</v>
      </c>
      <c r="T166" s="332">
        <v>1634.82</v>
      </c>
      <c r="U166" s="332">
        <v>1634.82</v>
      </c>
      <c r="V166" s="332">
        <v>1634.81</v>
      </c>
      <c r="W166" s="332">
        <v>1634.82</v>
      </c>
      <c r="X166" s="332">
        <v>19617.810000000001</v>
      </c>
      <c r="Y166" s="332">
        <f t="shared" si="41"/>
        <v>19617.810000000001</v>
      </c>
      <c r="Z166" s="332">
        <f t="shared" si="48"/>
        <v>19617.810000000001</v>
      </c>
      <c r="AA166" s="332">
        <f t="shared" si="48"/>
        <v>19617.810000000001</v>
      </c>
      <c r="AB166" s="332">
        <f t="shared" si="48"/>
        <v>19617.810000000001</v>
      </c>
      <c r="AC166" s="332">
        <f t="shared" si="48"/>
        <v>19617.810000000001</v>
      </c>
      <c r="AD166" s="332">
        <f t="shared" si="48"/>
        <v>19617.810000000001</v>
      </c>
      <c r="AE166" s="332">
        <f t="shared" si="48"/>
        <v>19617.810000000001</v>
      </c>
      <c r="AF166" s="332">
        <f t="shared" si="48"/>
        <v>19617.810000000001</v>
      </c>
      <c r="AG166" s="332">
        <f t="shared" si="48"/>
        <v>19617.810000000001</v>
      </c>
      <c r="AH166" s="332">
        <f t="shared" si="48"/>
        <v>19617.810000000001</v>
      </c>
      <c r="AI166" s="332">
        <f t="shared" si="48"/>
        <v>19617.810000000001</v>
      </c>
      <c r="AJ166" s="332">
        <f t="shared" si="45"/>
        <v>19617.810000000001</v>
      </c>
      <c r="AK166" s="332">
        <f t="shared" si="46"/>
        <v>19617.810000000001</v>
      </c>
      <c r="AL166" s="332">
        <f t="shared" si="47"/>
        <v>19617.810000000001</v>
      </c>
      <c r="AM166" s="332">
        <f t="shared" si="47"/>
        <v>19617.810000000001</v>
      </c>
    </row>
    <row r="167" spans="2:39" s="287" customFormat="1">
      <c r="B167" s="343">
        <v>165</v>
      </c>
      <c r="C167" s="343">
        <v>398</v>
      </c>
      <c r="D167" s="345" t="s">
        <v>826</v>
      </c>
      <c r="E167" s="331" t="s">
        <v>827</v>
      </c>
      <c r="F167" s="330" t="s">
        <v>808</v>
      </c>
      <c r="G167" s="330"/>
      <c r="H167" s="332">
        <v>33605.879999999997</v>
      </c>
      <c r="I167" s="329" t="s">
        <v>494</v>
      </c>
      <c r="J167" s="332">
        <v>4.5</v>
      </c>
      <c r="K167" s="332">
        <v>1</v>
      </c>
      <c r="L167" s="332">
        <v>126.02</v>
      </c>
      <c r="M167" s="332">
        <v>126.02</v>
      </c>
      <c r="N167" s="332">
        <v>126.03</v>
      </c>
      <c r="O167" s="332">
        <v>126.02</v>
      </c>
      <c r="P167" s="332">
        <v>126.02</v>
      </c>
      <c r="Q167" s="332">
        <v>126.02</v>
      </c>
      <c r="R167" s="332">
        <v>126.02</v>
      </c>
      <c r="S167" s="332">
        <v>126.02</v>
      </c>
      <c r="T167" s="332">
        <v>126.03</v>
      </c>
      <c r="U167" s="332">
        <v>126.02</v>
      </c>
      <c r="V167" s="332">
        <v>126.02</v>
      </c>
      <c r="W167" s="332">
        <v>126.02</v>
      </c>
      <c r="X167" s="332">
        <v>1512.26</v>
      </c>
      <c r="Y167" s="332">
        <f t="shared" si="41"/>
        <v>1512.26</v>
      </c>
      <c r="Z167" s="332">
        <f t="shared" si="48"/>
        <v>1512.26</v>
      </c>
      <c r="AA167" s="332">
        <f t="shared" si="48"/>
        <v>1512.26</v>
      </c>
      <c r="AB167" s="332">
        <f t="shared" si="48"/>
        <v>1512.26</v>
      </c>
      <c r="AC167" s="332">
        <f t="shared" si="48"/>
        <v>1512.26</v>
      </c>
      <c r="AD167" s="332">
        <f t="shared" si="48"/>
        <v>1512.26</v>
      </c>
      <c r="AE167" s="332">
        <f t="shared" si="48"/>
        <v>1512.26</v>
      </c>
      <c r="AF167" s="332">
        <f t="shared" si="48"/>
        <v>1512.26</v>
      </c>
      <c r="AG167" s="332">
        <f t="shared" si="48"/>
        <v>1512.26</v>
      </c>
      <c r="AH167" s="332">
        <f t="shared" si="48"/>
        <v>1512.26</v>
      </c>
      <c r="AI167" s="332">
        <f t="shared" si="48"/>
        <v>1512.26</v>
      </c>
      <c r="AJ167" s="332">
        <f t="shared" si="45"/>
        <v>1512.26</v>
      </c>
      <c r="AK167" s="332">
        <f t="shared" si="46"/>
        <v>1512.26</v>
      </c>
      <c r="AL167" s="332">
        <f t="shared" si="47"/>
        <v>1512.26</v>
      </c>
      <c r="AM167" s="332">
        <f t="shared" si="47"/>
        <v>1512.26</v>
      </c>
    </row>
    <row r="168" spans="2:39" s="287" customFormat="1">
      <c r="B168" s="343">
        <v>166</v>
      </c>
      <c r="C168" s="343">
        <v>686</v>
      </c>
      <c r="D168" s="345" t="s">
        <v>828</v>
      </c>
      <c r="E168" s="331" t="s">
        <v>829</v>
      </c>
      <c r="F168" s="330" t="s">
        <v>808</v>
      </c>
      <c r="G168" s="330" t="s">
        <v>362</v>
      </c>
      <c r="H168" s="332">
        <v>43870</v>
      </c>
      <c r="I168" s="329" t="s">
        <v>494</v>
      </c>
      <c r="J168" s="332">
        <v>20</v>
      </c>
      <c r="K168" s="332">
        <v>1</v>
      </c>
      <c r="L168" s="332">
        <v>731.17</v>
      </c>
      <c r="M168" s="332">
        <v>731.16</v>
      </c>
      <c r="N168" s="332">
        <v>731.17</v>
      </c>
      <c r="O168" s="332">
        <v>731.17</v>
      </c>
      <c r="P168" s="332">
        <v>731.16</v>
      </c>
      <c r="Q168" s="332">
        <v>731.17</v>
      </c>
      <c r="R168" s="332">
        <v>731.17</v>
      </c>
      <c r="S168" s="332">
        <v>731.16</v>
      </c>
      <c r="T168" s="332">
        <v>731.17</v>
      </c>
      <c r="U168" s="332">
        <v>731.17</v>
      </c>
      <c r="V168" s="332">
        <v>731.16</v>
      </c>
      <c r="W168" s="332">
        <v>731.17</v>
      </c>
      <c r="X168" s="332">
        <v>8774</v>
      </c>
      <c r="Y168" s="332">
        <f t="shared" si="41"/>
        <v>8774</v>
      </c>
      <c r="Z168" s="332">
        <f t="shared" si="48"/>
        <v>8774</v>
      </c>
      <c r="AA168" s="332">
        <f t="shared" si="48"/>
        <v>8774</v>
      </c>
      <c r="AB168" s="332"/>
      <c r="AC168" s="332"/>
      <c r="AD168" s="332"/>
      <c r="AE168" s="332"/>
      <c r="AF168" s="332"/>
      <c r="AG168" s="332"/>
      <c r="AH168" s="332"/>
      <c r="AI168" s="332"/>
      <c r="AJ168" s="332"/>
      <c r="AK168" s="332"/>
      <c r="AL168" s="332"/>
      <c r="AM168" s="332"/>
    </row>
    <row r="169" spans="2:39" s="287" customFormat="1">
      <c r="B169" s="343">
        <v>167</v>
      </c>
      <c r="C169" s="343">
        <v>695</v>
      </c>
      <c r="D169" s="345" t="s">
        <v>828</v>
      </c>
      <c r="E169" s="331" t="s">
        <v>830</v>
      </c>
      <c r="F169" s="330" t="s">
        <v>808</v>
      </c>
      <c r="G169" s="330" t="s">
        <v>362</v>
      </c>
      <c r="H169" s="332">
        <v>39360</v>
      </c>
      <c r="I169" s="329" t="s">
        <v>494</v>
      </c>
      <c r="J169" s="332">
        <v>20</v>
      </c>
      <c r="K169" s="332">
        <v>1</v>
      </c>
      <c r="L169" s="332">
        <v>656</v>
      </c>
      <c r="M169" s="332">
        <v>656</v>
      </c>
      <c r="N169" s="332">
        <v>656</v>
      </c>
      <c r="O169" s="332">
        <v>656</v>
      </c>
      <c r="P169" s="332">
        <v>656</v>
      </c>
      <c r="Q169" s="332">
        <v>656</v>
      </c>
      <c r="R169" s="332">
        <v>656</v>
      </c>
      <c r="S169" s="332">
        <v>656</v>
      </c>
      <c r="T169" s="332">
        <v>656</v>
      </c>
      <c r="U169" s="332">
        <v>656</v>
      </c>
      <c r="V169" s="332">
        <v>656</v>
      </c>
      <c r="W169" s="332">
        <v>656</v>
      </c>
      <c r="X169" s="332">
        <v>7872</v>
      </c>
      <c r="Y169" s="332">
        <f t="shared" si="41"/>
        <v>7872</v>
      </c>
      <c r="Z169" s="332">
        <f t="shared" si="48"/>
        <v>7872</v>
      </c>
      <c r="AA169" s="332">
        <f t="shared" si="48"/>
        <v>7872</v>
      </c>
      <c r="AB169" s="332"/>
      <c r="AC169" s="332"/>
      <c r="AD169" s="332"/>
      <c r="AE169" s="332"/>
      <c r="AF169" s="332"/>
      <c r="AG169" s="332"/>
      <c r="AH169" s="332"/>
      <c r="AI169" s="332"/>
      <c r="AJ169" s="332"/>
      <c r="AK169" s="332"/>
      <c r="AL169" s="332"/>
      <c r="AM169" s="332"/>
    </row>
    <row r="170" spans="2:39" s="287" customFormat="1">
      <c r="B170" s="343">
        <v>168</v>
      </c>
      <c r="C170" s="343">
        <v>701</v>
      </c>
      <c r="D170" s="345" t="s">
        <v>828</v>
      </c>
      <c r="E170" s="331" t="s">
        <v>831</v>
      </c>
      <c r="F170" s="330" t="s">
        <v>808</v>
      </c>
      <c r="G170" s="330" t="s">
        <v>362</v>
      </c>
      <c r="H170" s="332">
        <v>9000</v>
      </c>
      <c r="I170" s="329" t="s">
        <v>494</v>
      </c>
      <c r="J170" s="332">
        <v>20</v>
      </c>
      <c r="K170" s="332">
        <v>1</v>
      </c>
      <c r="L170" s="332">
        <v>150</v>
      </c>
      <c r="M170" s="332">
        <v>150</v>
      </c>
      <c r="N170" s="332">
        <v>150</v>
      </c>
      <c r="O170" s="332">
        <v>150</v>
      </c>
      <c r="P170" s="332">
        <v>150</v>
      </c>
      <c r="Q170" s="332">
        <v>150</v>
      </c>
      <c r="R170" s="332">
        <v>150</v>
      </c>
      <c r="S170" s="332">
        <v>150</v>
      </c>
      <c r="T170" s="332">
        <v>150</v>
      </c>
      <c r="U170" s="332">
        <v>150</v>
      </c>
      <c r="V170" s="332">
        <v>150</v>
      </c>
      <c r="W170" s="332">
        <v>150</v>
      </c>
      <c r="X170" s="332">
        <v>1800</v>
      </c>
      <c r="Y170" s="332">
        <f t="shared" si="41"/>
        <v>1800</v>
      </c>
      <c r="Z170" s="332">
        <f t="shared" si="48"/>
        <v>1800</v>
      </c>
      <c r="AA170" s="332">
        <f t="shared" si="48"/>
        <v>1800</v>
      </c>
      <c r="AB170" s="332"/>
      <c r="AC170" s="332"/>
      <c r="AD170" s="332"/>
      <c r="AE170" s="332"/>
      <c r="AF170" s="332"/>
      <c r="AG170" s="332"/>
      <c r="AH170" s="332"/>
      <c r="AI170" s="332"/>
      <c r="AJ170" s="332"/>
      <c r="AK170" s="332"/>
      <c r="AL170" s="332"/>
      <c r="AM170" s="332"/>
    </row>
    <row r="171" spans="2:39" s="287" customFormat="1">
      <c r="B171" s="343">
        <v>169</v>
      </c>
      <c r="C171" s="343">
        <v>771</v>
      </c>
      <c r="D171" s="345" t="s">
        <v>828</v>
      </c>
      <c r="E171" s="331" t="s">
        <v>832</v>
      </c>
      <c r="F171" s="330" t="s">
        <v>808</v>
      </c>
      <c r="G171" s="330" t="s">
        <v>363</v>
      </c>
      <c r="H171" s="332">
        <v>438049.5</v>
      </c>
      <c r="I171" s="329" t="s">
        <v>494</v>
      </c>
      <c r="J171" s="332">
        <v>20</v>
      </c>
      <c r="K171" s="332">
        <v>1</v>
      </c>
      <c r="L171" s="332">
        <v>7300.83</v>
      </c>
      <c r="M171" s="332">
        <v>7300.82</v>
      </c>
      <c r="N171" s="332">
        <v>7300.83</v>
      </c>
      <c r="O171" s="332">
        <v>7300.82</v>
      </c>
      <c r="P171" s="332">
        <v>7300.83</v>
      </c>
      <c r="Q171" s="332">
        <v>7300.82</v>
      </c>
      <c r="R171" s="332">
        <v>7300.83</v>
      </c>
      <c r="S171" s="332">
        <v>7300.82</v>
      </c>
      <c r="T171" s="332">
        <v>7300.83</v>
      </c>
      <c r="U171" s="332">
        <v>7300.82</v>
      </c>
      <c r="V171" s="332">
        <v>7300.83</v>
      </c>
      <c r="W171" s="332">
        <v>7300.82</v>
      </c>
      <c r="X171" s="332">
        <v>87609.9</v>
      </c>
      <c r="Y171" s="332">
        <f t="shared" si="41"/>
        <v>87609.9</v>
      </c>
      <c r="Z171" s="332">
        <f t="shared" si="48"/>
        <v>87609.9</v>
      </c>
      <c r="AA171" s="332">
        <f t="shared" si="48"/>
        <v>87609.9</v>
      </c>
      <c r="AB171" s="332">
        <f t="shared" si="48"/>
        <v>87609.9</v>
      </c>
      <c r="AC171" s="332"/>
      <c r="AD171" s="332"/>
      <c r="AE171" s="332"/>
      <c r="AF171" s="332"/>
      <c r="AG171" s="332"/>
      <c r="AH171" s="332"/>
      <c r="AI171" s="332"/>
      <c r="AJ171" s="332"/>
      <c r="AK171" s="332"/>
      <c r="AL171" s="332"/>
      <c r="AM171" s="332"/>
    </row>
    <row r="172" spans="2:39" s="287" customFormat="1">
      <c r="B172" s="343">
        <v>170</v>
      </c>
      <c r="C172" s="343">
        <v>774</v>
      </c>
      <c r="D172" s="345" t="s">
        <v>828</v>
      </c>
      <c r="E172" s="331" t="s">
        <v>833</v>
      </c>
      <c r="F172" s="330" t="s">
        <v>808</v>
      </c>
      <c r="G172" s="330" t="s">
        <v>363</v>
      </c>
      <c r="H172" s="332">
        <v>300625.5</v>
      </c>
      <c r="I172" s="329" t="s">
        <v>494</v>
      </c>
      <c r="J172" s="332">
        <v>20</v>
      </c>
      <c r="K172" s="332">
        <v>1</v>
      </c>
      <c r="L172" s="332">
        <v>5010.43</v>
      </c>
      <c r="M172" s="332">
        <v>5010.42</v>
      </c>
      <c r="N172" s="332">
        <v>5010.43</v>
      </c>
      <c r="O172" s="332">
        <v>5010.42</v>
      </c>
      <c r="P172" s="332">
        <v>5010.43</v>
      </c>
      <c r="Q172" s="332">
        <v>5010.42</v>
      </c>
      <c r="R172" s="332">
        <v>5010.43</v>
      </c>
      <c r="S172" s="332">
        <v>5010.42</v>
      </c>
      <c r="T172" s="332">
        <v>5010.43</v>
      </c>
      <c r="U172" s="332">
        <v>5010.42</v>
      </c>
      <c r="V172" s="332">
        <v>5010.43</v>
      </c>
      <c r="W172" s="332">
        <v>5010.42</v>
      </c>
      <c r="X172" s="332">
        <v>60125.1</v>
      </c>
      <c r="Y172" s="332">
        <f t="shared" si="41"/>
        <v>60125.1</v>
      </c>
      <c r="Z172" s="332">
        <f t="shared" si="48"/>
        <v>60125.1</v>
      </c>
      <c r="AA172" s="332">
        <f t="shared" si="48"/>
        <v>60125.1</v>
      </c>
      <c r="AB172" s="332">
        <f t="shared" si="48"/>
        <v>60125.1</v>
      </c>
      <c r="AC172" s="332"/>
      <c r="AD172" s="332"/>
      <c r="AE172" s="332"/>
      <c r="AF172" s="332"/>
      <c r="AG172" s="332"/>
      <c r="AH172" s="332"/>
      <c r="AI172" s="332"/>
      <c r="AJ172" s="332"/>
      <c r="AK172" s="332"/>
      <c r="AL172" s="332"/>
      <c r="AM172" s="332"/>
    </row>
    <row r="173" spans="2:39" s="287" customFormat="1">
      <c r="B173" s="343">
        <v>171</v>
      </c>
      <c r="C173" s="343">
        <v>786</v>
      </c>
      <c r="D173" s="345" t="s">
        <v>828</v>
      </c>
      <c r="E173" s="331" t="s">
        <v>834</v>
      </c>
      <c r="F173" s="330" t="s">
        <v>808</v>
      </c>
      <c r="G173" s="330" t="s">
        <v>364</v>
      </c>
      <c r="H173" s="332">
        <v>226650</v>
      </c>
      <c r="I173" s="329" t="s">
        <v>494</v>
      </c>
      <c r="J173" s="332">
        <v>20</v>
      </c>
      <c r="K173" s="332">
        <v>1</v>
      </c>
      <c r="L173" s="332"/>
      <c r="M173" s="332">
        <v>3777.5</v>
      </c>
      <c r="N173" s="332">
        <v>3777.5</v>
      </c>
      <c r="O173" s="332">
        <v>3777.5</v>
      </c>
      <c r="P173" s="332">
        <v>3777.5</v>
      </c>
      <c r="Q173" s="332">
        <v>3777.5</v>
      </c>
      <c r="R173" s="332">
        <v>3777.5</v>
      </c>
      <c r="S173" s="332">
        <v>3777.5</v>
      </c>
      <c r="T173" s="332">
        <v>3777.5</v>
      </c>
      <c r="U173" s="332">
        <v>3777.5</v>
      </c>
      <c r="V173" s="332">
        <v>3777.5</v>
      </c>
      <c r="W173" s="332">
        <v>3777.5</v>
      </c>
      <c r="X173" s="332">
        <v>41552.5</v>
      </c>
      <c r="Y173" s="332">
        <f t="shared" si="41"/>
        <v>41552.5</v>
      </c>
      <c r="Z173" s="332">
        <f t="shared" si="48"/>
        <v>41552.5</v>
      </c>
      <c r="AA173" s="332">
        <f t="shared" si="48"/>
        <v>41552.5</v>
      </c>
      <c r="AB173" s="332">
        <f t="shared" si="48"/>
        <v>41552.5</v>
      </c>
      <c r="AC173" s="332">
        <f t="shared" si="48"/>
        <v>41552.5</v>
      </c>
      <c r="AD173" s="332"/>
      <c r="AE173" s="332"/>
      <c r="AF173" s="332"/>
      <c r="AG173" s="332"/>
      <c r="AH173" s="332"/>
      <c r="AI173" s="332"/>
      <c r="AJ173" s="332"/>
      <c r="AK173" s="332"/>
      <c r="AL173" s="332"/>
      <c r="AM173" s="332"/>
    </row>
    <row r="174" spans="2:39" s="287" customFormat="1">
      <c r="B174" s="343">
        <v>172</v>
      </c>
      <c r="C174" s="343">
        <v>716</v>
      </c>
      <c r="D174" s="345" t="s">
        <v>835</v>
      </c>
      <c r="E174" s="331" t="s">
        <v>836</v>
      </c>
      <c r="F174" s="330" t="s">
        <v>808</v>
      </c>
      <c r="G174" s="330" t="s">
        <v>362</v>
      </c>
      <c r="H174" s="332">
        <v>111120</v>
      </c>
      <c r="I174" s="329" t="s">
        <v>494</v>
      </c>
      <c r="J174" s="332">
        <v>20</v>
      </c>
      <c r="K174" s="332">
        <v>1</v>
      </c>
      <c r="L174" s="332">
        <v>1852</v>
      </c>
      <c r="M174" s="332">
        <v>1852</v>
      </c>
      <c r="N174" s="332">
        <v>1852</v>
      </c>
      <c r="O174" s="332">
        <v>1852</v>
      </c>
      <c r="P174" s="332">
        <v>1852</v>
      </c>
      <c r="Q174" s="332">
        <v>1852</v>
      </c>
      <c r="R174" s="332">
        <v>1852</v>
      </c>
      <c r="S174" s="332">
        <v>1852</v>
      </c>
      <c r="T174" s="332">
        <v>1852</v>
      </c>
      <c r="U174" s="332">
        <v>1852</v>
      </c>
      <c r="V174" s="332">
        <v>1852</v>
      </c>
      <c r="W174" s="332">
        <v>1852</v>
      </c>
      <c r="X174" s="332">
        <v>22224</v>
      </c>
      <c r="Y174" s="332">
        <f t="shared" si="41"/>
        <v>22224</v>
      </c>
      <c r="Z174" s="332">
        <f t="shared" si="48"/>
        <v>22224</v>
      </c>
      <c r="AA174" s="332">
        <f t="shared" si="48"/>
        <v>22224</v>
      </c>
      <c r="AB174" s="332"/>
      <c r="AC174" s="332"/>
      <c r="AD174" s="332"/>
      <c r="AE174" s="332"/>
      <c r="AF174" s="332"/>
      <c r="AG174" s="332"/>
      <c r="AH174" s="332"/>
      <c r="AI174" s="332"/>
      <c r="AJ174" s="332"/>
      <c r="AK174" s="332"/>
      <c r="AL174" s="332"/>
      <c r="AM174" s="332"/>
    </row>
    <row r="175" spans="2:39" s="287" customFormat="1">
      <c r="B175" s="343">
        <v>173</v>
      </c>
      <c r="C175" s="343">
        <v>717</v>
      </c>
      <c r="D175" s="345" t="s">
        <v>835</v>
      </c>
      <c r="E175" s="331" t="s">
        <v>837</v>
      </c>
      <c r="F175" s="330" t="s">
        <v>808</v>
      </c>
      <c r="G175" s="330" t="s">
        <v>362</v>
      </c>
      <c r="H175" s="332">
        <v>111815</v>
      </c>
      <c r="I175" s="329" t="s">
        <v>494</v>
      </c>
      <c r="J175" s="332">
        <v>20</v>
      </c>
      <c r="K175" s="332">
        <v>1</v>
      </c>
      <c r="L175" s="332">
        <v>1863.58</v>
      </c>
      <c r="M175" s="332">
        <v>1863.59</v>
      </c>
      <c r="N175" s="332">
        <v>1863.58</v>
      </c>
      <c r="O175" s="332">
        <v>1863.58</v>
      </c>
      <c r="P175" s="332">
        <v>1863.59</v>
      </c>
      <c r="Q175" s="332">
        <v>1863.58</v>
      </c>
      <c r="R175" s="332">
        <v>1863.58</v>
      </c>
      <c r="S175" s="332">
        <v>1863.59</v>
      </c>
      <c r="T175" s="332">
        <v>1863.58</v>
      </c>
      <c r="U175" s="332">
        <v>1863.58</v>
      </c>
      <c r="V175" s="332">
        <v>1863.59</v>
      </c>
      <c r="W175" s="332">
        <v>1863.58</v>
      </c>
      <c r="X175" s="332">
        <v>22363</v>
      </c>
      <c r="Y175" s="332">
        <f t="shared" si="41"/>
        <v>22363</v>
      </c>
      <c r="Z175" s="332">
        <f t="shared" si="48"/>
        <v>22363</v>
      </c>
      <c r="AA175" s="332">
        <f t="shared" si="48"/>
        <v>22363</v>
      </c>
      <c r="AB175" s="332"/>
      <c r="AC175" s="332"/>
      <c r="AD175" s="332"/>
      <c r="AE175" s="332"/>
      <c r="AF175" s="332"/>
      <c r="AG175" s="332"/>
      <c r="AH175" s="332"/>
      <c r="AI175" s="332"/>
      <c r="AJ175" s="332"/>
      <c r="AK175" s="332"/>
      <c r="AL175" s="332"/>
      <c r="AM175" s="332"/>
    </row>
    <row r="176" spans="2:39" s="287" customFormat="1">
      <c r="B176" s="343">
        <v>174</v>
      </c>
      <c r="C176" s="343">
        <v>580</v>
      </c>
      <c r="D176" s="345" t="s">
        <v>838</v>
      </c>
      <c r="E176" s="331" t="s">
        <v>839</v>
      </c>
      <c r="F176" s="330" t="s">
        <v>808</v>
      </c>
      <c r="G176" s="330" t="s">
        <v>323</v>
      </c>
      <c r="H176" s="332">
        <v>92000</v>
      </c>
      <c r="I176" s="329" t="s">
        <v>494</v>
      </c>
      <c r="J176" s="332">
        <v>20</v>
      </c>
      <c r="K176" s="332">
        <v>1</v>
      </c>
      <c r="L176" s="332">
        <v>1533.33</v>
      </c>
      <c r="M176" s="332">
        <v>1533.34</v>
      </c>
      <c r="N176" s="332">
        <v>1533.33</v>
      </c>
      <c r="O176" s="332">
        <v>1533.33</v>
      </c>
      <c r="P176" s="332">
        <v>1533.34</v>
      </c>
      <c r="Q176" s="332">
        <v>1533.33</v>
      </c>
      <c r="R176" s="332">
        <v>1533.33</v>
      </c>
      <c r="S176" s="332">
        <v>1533.34</v>
      </c>
      <c r="T176" s="332">
        <v>1533.33</v>
      </c>
      <c r="U176" s="332"/>
      <c r="V176" s="332"/>
      <c r="W176" s="332"/>
      <c r="X176" s="332">
        <v>13800</v>
      </c>
      <c r="Y176" s="332"/>
      <c r="Z176" s="332"/>
      <c r="AA176" s="332"/>
      <c r="AB176" s="332"/>
      <c r="AC176" s="332"/>
      <c r="AD176" s="332"/>
      <c r="AE176" s="332"/>
      <c r="AF176" s="332"/>
      <c r="AG176" s="332"/>
      <c r="AH176" s="332"/>
      <c r="AI176" s="332"/>
      <c r="AJ176" s="332"/>
      <c r="AK176" s="332"/>
      <c r="AL176" s="332"/>
      <c r="AM176" s="332"/>
    </row>
    <row r="177" spans="2:39" s="287" customFormat="1">
      <c r="B177" s="343">
        <v>175</v>
      </c>
      <c r="C177" s="343">
        <v>651</v>
      </c>
      <c r="D177" s="345" t="s">
        <v>838</v>
      </c>
      <c r="E177" s="331" t="s">
        <v>840</v>
      </c>
      <c r="F177" s="330" t="s">
        <v>808</v>
      </c>
      <c r="G177" s="330" t="s">
        <v>361</v>
      </c>
      <c r="H177" s="332">
        <v>24300</v>
      </c>
      <c r="I177" s="329" t="s">
        <v>494</v>
      </c>
      <c r="J177" s="332">
        <v>20</v>
      </c>
      <c r="K177" s="332">
        <v>1</v>
      </c>
      <c r="L177" s="332">
        <v>405</v>
      </c>
      <c r="M177" s="332">
        <v>405</v>
      </c>
      <c r="N177" s="332">
        <v>405</v>
      </c>
      <c r="O177" s="332">
        <v>405</v>
      </c>
      <c r="P177" s="332">
        <v>405</v>
      </c>
      <c r="Q177" s="332">
        <v>405</v>
      </c>
      <c r="R177" s="332">
        <v>405</v>
      </c>
      <c r="S177" s="332">
        <v>405</v>
      </c>
      <c r="T177" s="332">
        <v>405</v>
      </c>
      <c r="U177" s="332">
        <v>405</v>
      </c>
      <c r="V177" s="332">
        <v>405</v>
      </c>
      <c r="W177" s="332">
        <v>405</v>
      </c>
      <c r="X177" s="332">
        <v>4860</v>
      </c>
      <c r="Y177" s="332">
        <f t="shared" si="41"/>
        <v>4860</v>
      </c>
      <c r="Z177" s="332">
        <f t="shared" si="48"/>
        <v>4860</v>
      </c>
      <c r="AA177" s="332"/>
      <c r="AB177" s="332"/>
      <c r="AC177" s="332"/>
      <c r="AD177" s="332"/>
      <c r="AE177" s="332"/>
      <c r="AF177" s="332"/>
      <c r="AG177" s="332"/>
      <c r="AH177" s="332"/>
      <c r="AI177" s="332"/>
      <c r="AJ177" s="332"/>
      <c r="AK177" s="332"/>
      <c r="AL177" s="332"/>
      <c r="AM177" s="332"/>
    </row>
    <row r="178" spans="2:39" s="287" customFormat="1">
      <c r="B178" s="343">
        <v>176</v>
      </c>
      <c r="C178" s="343">
        <v>584</v>
      </c>
      <c r="D178" s="345" t="s">
        <v>841</v>
      </c>
      <c r="E178" s="331" t="s">
        <v>842</v>
      </c>
      <c r="F178" s="330" t="s">
        <v>808</v>
      </c>
      <c r="G178" s="330" t="s">
        <v>323</v>
      </c>
      <c r="H178" s="332">
        <v>16472</v>
      </c>
      <c r="I178" s="329" t="s">
        <v>494</v>
      </c>
      <c r="J178" s="332">
        <v>20</v>
      </c>
      <c r="K178" s="332">
        <v>1</v>
      </c>
      <c r="L178" s="332">
        <v>274.52999999999997</v>
      </c>
      <c r="M178" s="332">
        <v>274.54000000000002</v>
      </c>
      <c r="N178" s="332">
        <v>274.52999999999997</v>
      </c>
      <c r="O178" s="332">
        <v>274.52999999999997</v>
      </c>
      <c r="P178" s="332">
        <v>274.54000000000002</v>
      </c>
      <c r="Q178" s="332">
        <v>274.52999999999997</v>
      </c>
      <c r="R178" s="332">
        <v>274.52999999999997</v>
      </c>
      <c r="S178" s="332">
        <v>274.54000000000002</v>
      </c>
      <c r="T178" s="332">
        <v>274.52999999999997</v>
      </c>
      <c r="U178" s="332">
        <v>274.52999999999997</v>
      </c>
      <c r="V178" s="332">
        <v>274.54000000000002</v>
      </c>
      <c r="W178" s="332">
        <v>274.52999999999997</v>
      </c>
      <c r="X178" s="332">
        <v>3294.4</v>
      </c>
      <c r="Y178" s="332"/>
      <c r="Z178" s="332"/>
      <c r="AA178" s="332"/>
      <c r="AB178" s="332"/>
      <c r="AC178" s="332"/>
      <c r="AD178" s="332"/>
      <c r="AE178" s="332"/>
      <c r="AF178" s="332"/>
      <c r="AG178" s="332"/>
      <c r="AH178" s="332"/>
      <c r="AI178" s="332"/>
      <c r="AJ178" s="332"/>
      <c r="AK178" s="332"/>
      <c r="AL178" s="332"/>
      <c r="AM178" s="332"/>
    </row>
    <row r="179" spans="2:39" s="287" customFormat="1">
      <c r="B179" s="343">
        <v>177</v>
      </c>
      <c r="C179" s="343">
        <v>762</v>
      </c>
      <c r="D179" s="345" t="s">
        <v>843</v>
      </c>
      <c r="E179" s="331" t="s">
        <v>844</v>
      </c>
      <c r="F179" s="330" t="s">
        <v>808</v>
      </c>
      <c r="G179" s="330" t="s">
        <v>363</v>
      </c>
      <c r="H179" s="332">
        <v>72840</v>
      </c>
      <c r="I179" s="329" t="s">
        <v>494</v>
      </c>
      <c r="J179" s="332">
        <v>20</v>
      </c>
      <c r="K179" s="332">
        <v>1</v>
      </c>
      <c r="L179" s="332">
        <v>1214</v>
      </c>
      <c r="M179" s="332">
        <v>1214</v>
      </c>
      <c r="N179" s="332">
        <v>1214</v>
      </c>
      <c r="O179" s="332">
        <v>1214</v>
      </c>
      <c r="P179" s="332">
        <v>1214</v>
      </c>
      <c r="Q179" s="332">
        <v>1214</v>
      </c>
      <c r="R179" s="332">
        <v>1214</v>
      </c>
      <c r="S179" s="332">
        <v>1214</v>
      </c>
      <c r="T179" s="332">
        <v>1214</v>
      </c>
      <c r="U179" s="332">
        <v>1214</v>
      </c>
      <c r="V179" s="332">
        <v>1214</v>
      </c>
      <c r="W179" s="332">
        <v>1214</v>
      </c>
      <c r="X179" s="332">
        <v>14568</v>
      </c>
      <c r="Y179" s="332">
        <f t="shared" si="41"/>
        <v>14568</v>
      </c>
      <c r="Z179" s="332">
        <f t="shared" si="48"/>
        <v>14568</v>
      </c>
      <c r="AA179" s="332">
        <f t="shared" si="48"/>
        <v>14568</v>
      </c>
      <c r="AB179" s="332">
        <f t="shared" si="48"/>
        <v>14568</v>
      </c>
      <c r="AC179" s="332"/>
      <c r="AD179" s="332"/>
      <c r="AE179" s="332"/>
      <c r="AF179" s="332"/>
      <c r="AG179" s="332"/>
      <c r="AH179" s="332"/>
      <c r="AI179" s="332"/>
      <c r="AJ179" s="332"/>
      <c r="AK179" s="332"/>
      <c r="AL179" s="332"/>
      <c r="AM179" s="332"/>
    </row>
    <row r="180" spans="2:39" s="287" customFormat="1">
      <c r="B180" s="343">
        <v>178</v>
      </c>
      <c r="C180" s="343">
        <v>749</v>
      </c>
      <c r="D180" s="345" t="s">
        <v>845</v>
      </c>
      <c r="E180" s="331" t="s">
        <v>846</v>
      </c>
      <c r="F180" s="330" t="s">
        <v>808</v>
      </c>
      <c r="G180" s="330" t="s">
        <v>363</v>
      </c>
      <c r="H180" s="332">
        <v>40150</v>
      </c>
      <c r="I180" s="329" t="s">
        <v>494</v>
      </c>
      <c r="J180" s="332">
        <v>20</v>
      </c>
      <c r="K180" s="332">
        <v>1</v>
      </c>
      <c r="L180" s="332">
        <v>669.17</v>
      </c>
      <c r="M180" s="332">
        <v>669.16</v>
      </c>
      <c r="N180" s="332">
        <v>669.17</v>
      </c>
      <c r="O180" s="332">
        <v>669.17</v>
      </c>
      <c r="P180" s="332">
        <v>669.16</v>
      </c>
      <c r="Q180" s="332">
        <v>669.17</v>
      </c>
      <c r="R180" s="332">
        <v>669.17</v>
      </c>
      <c r="S180" s="332">
        <v>669.16</v>
      </c>
      <c r="T180" s="332">
        <v>669.17</v>
      </c>
      <c r="U180" s="332">
        <v>669.17</v>
      </c>
      <c r="V180" s="332">
        <v>669.16</v>
      </c>
      <c r="W180" s="332">
        <v>669.17</v>
      </c>
      <c r="X180" s="332">
        <v>8030</v>
      </c>
      <c r="Y180" s="332">
        <f t="shared" si="41"/>
        <v>8030</v>
      </c>
      <c r="Z180" s="332">
        <f t="shared" ref="Z180:AI194" si="49">Y180</f>
        <v>8030</v>
      </c>
      <c r="AA180" s="332">
        <f t="shared" si="49"/>
        <v>8030</v>
      </c>
      <c r="AB180" s="332">
        <f t="shared" si="49"/>
        <v>8030</v>
      </c>
      <c r="AC180" s="332"/>
      <c r="AD180" s="332"/>
      <c r="AE180" s="332"/>
      <c r="AF180" s="332"/>
      <c r="AG180" s="332"/>
      <c r="AH180" s="332"/>
      <c r="AI180" s="332"/>
      <c r="AJ180" s="332"/>
      <c r="AK180" s="332"/>
      <c r="AL180" s="332"/>
      <c r="AM180" s="332"/>
    </row>
    <row r="181" spans="2:39" s="287" customFormat="1">
      <c r="B181" s="343">
        <v>179</v>
      </c>
      <c r="C181" s="343">
        <v>750</v>
      </c>
      <c r="D181" s="345" t="s">
        <v>845</v>
      </c>
      <c r="E181" s="331" t="s">
        <v>847</v>
      </c>
      <c r="F181" s="330" t="s">
        <v>808</v>
      </c>
      <c r="G181" s="330" t="s">
        <v>363</v>
      </c>
      <c r="H181" s="332">
        <v>12350</v>
      </c>
      <c r="I181" s="329" t="s">
        <v>494</v>
      </c>
      <c r="J181" s="332">
        <v>20</v>
      </c>
      <c r="K181" s="332">
        <v>1</v>
      </c>
      <c r="L181" s="332">
        <v>205.83</v>
      </c>
      <c r="M181" s="332">
        <v>205.84</v>
      </c>
      <c r="N181" s="332">
        <v>205.83</v>
      </c>
      <c r="O181" s="332">
        <v>205.83</v>
      </c>
      <c r="P181" s="332">
        <v>205.84</v>
      </c>
      <c r="Q181" s="332">
        <v>205.83</v>
      </c>
      <c r="R181" s="332">
        <v>205.83</v>
      </c>
      <c r="S181" s="332">
        <v>205.84</v>
      </c>
      <c r="T181" s="332">
        <v>205.83</v>
      </c>
      <c r="U181" s="332">
        <v>205.83</v>
      </c>
      <c r="V181" s="332">
        <v>205.84</v>
      </c>
      <c r="W181" s="332">
        <v>205.83</v>
      </c>
      <c r="X181" s="332">
        <v>2470</v>
      </c>
      <c r="Y181" s="332">
        <f t="shared" si="41"/>
        <v>2470</v>
      </c>
      <c r="Z181" s="332">
        <f t="shared" si="49"/>
        <v>2470</v>
      </c>
      <c r="AA181" s="332"/>
      <c r="AB181" s="332"/>
      <c r="AC181" s="332"/>
      <c r="AD181" s="332"/>
      <c r="AE181" s="332"/>
      <c r="AF181" s="332"/>
      <c r="AG181" s="332"/>
      <c r="AH181" s="332"/>
      <c r="AI181" s="332"/>
      <c r="AJ181" s="332"/>
      <c r="AK181" s="332"/>
      <c r="AL181" s="332"/>
      <c r="AM181" s="332"/>
    </row>
    <row r="182" spans="2:39" s="287" customFormat="1">
      <c r="B182" s="343">
        <v>180</v>
      </c>
      <c r="C182" s="343">
        <v>624</v>
      </c>
      <c r="D182" s="345" t="s">
        <v>848</v>
      </c>
      <c r="E182" s="331" t="s">
        <v>849</v>
      </c>
      <c r="F182" s="330" t="s">
        <v>808</v>
      </c>
      <c r="G182" s="330" t="s">
        <v>361</v>
      </c>
      <c r="H182" s="332">
        <v>131965</v>
      </c>
      <c r="I182" s="329" t="s">
        <v>494</v>
      </c>
      <c r="J182" s="332">
        <v>20</v>
      </c>
      <c r="K182" s="332">
        <v>1</v>
      </c>
      <c r="L182" s="332">
        <v>2199.42</v>
      </c>
      <c r="M182" s="332">
        <v>2199.41</v>
      </c>
      <c r="N182" s="332">
        <v>2199.42</v>
      </c>
      <c r="O182" s="332">
        <v>2199.42</v>
      </c>
      <c r="P182" s="332">
        <v>2199.41</v>
      </c>
      <c r="Q182" s="332">
        <v>2199.42</v>
      </c>
      <c r="R182" s="332">
        <v>2199.42</v>
      </c>
      <c r="S182" s="332">
        <v>2199.41</v>
      </c>
      <c r="T182" s="332">
        <v>2199.42</v>
      </c>
      <c r="U182" s="332">
        <v>2199.42</v>
      </c>
      <c r="V182" s="332">
        <v>2199.41</v>
      </c>
      <c r="W182" s="332">
        <v>2199.42</v>
      </c>
      <c r="X182" s="332">
        <v>26393</v>
      </c>
      <c r="Y182" s="332">
        <f t="shared" si="41"/>
        <v>26393</v>
      </c>
      <c r="Z182" s="332">
        <f t="shared" si="49"/>
        <v>26393</v>
      </c>
      <c r="AA182" s="332">
        <f t="shared" si="49"/>
        <v>26393</v>
      </c>
      <c r="AB182" s="332">
        <f t="shared" si="49"/>
        <v>26393</v>
      </c>
      <c r="AC182" s="332"/>
      <c r="AD182" s="332"/>
      <c r="AE182" s="332"/>
      <c r="AF182" s="332"/>
      <c r="AG182" s="332"/>
      <c r="AH182" s="332"/>
      <c r="AI182" s="332"/>
      <c r="AJ182" s="332"/>
      <c r="AK182" s="332"/>
      <c r="AL182" s="332"/>
      <c r="AM182" s="332"/>
    </row>
    <row r="183" spans="2:39" s="287" customFormat="1">
      <c r="B183" s="343">
        <v>181</v>
      </c>
      <c r="C183" s="343">
        <v>652</v>
      </c>
      <c r="D183" s="345" t="s">
        <v>848</v>
      </c>
      <c r="E183" s="331" t="s">
        <v>850</v>
      </c>
      <c r="F183" s="330" t="s">
        <v>808</v>
      </c>
      <c r="G183" s="330" t="s">
        <v>361</v>
      </c>
      <c r="H183" s="332">
        <v>63250</v>
      </c>
      <c r="I183" s="329" t="s">
        <v>494</v>
      </c>
      <c r="J183" s="332">
        <v>20</v>
      </c>
      <c r="K183" s="332">
        <v>1</v>
      </c>
      <c r="L183" s="332">
        <v>1054.17</v>
      </c>
      <c r="M183" s="332">
        <v>1054.1600000000001</v>
      </c>
      <c r="N183" s="332">
        <v>1054.17</v>
      </c>
      <c r="O183" s="332">
        <v>1054.17</v>
      </c>
      <c r="P183" s="332">
        <v>1054.1600000000001</v>
      </c>
      <c r="Q183" s="332">
        <v>1054.17</v>
      </c>
      <c r="R183" s="332">
        <v>1054.17</v>
      </c>
      <c r="S183" s="332">
        <v>1054.1600000000001</v>
      </c>
      <c r="T183" s="332">
        <v>1054.17</v>
      </c>
      <c r="U183" s="332">
        <v>1054.17</v>
      </c>
      <c r="V183" s="332">
        <v>1054.1600000000001</v>
      </c>
      <c r="W183" s="332">
        <v>1054.17</v>
      </c>
      <c r="X183" s="332">
        <v>12650</v>
      </c>
      <c r="Y183" s="332">
        <f t="shared" si="41"/>
        <v>12650</v>
      </c>
      <c r="Z183" s="332">
        <f t="shared" si="49"/>
        <v>12650</v>
      </c>
      <c r="AA183" s="332"/>
      <c r="AB183" s="332"/>
      <c r="AC183" s="332"/>
      <c r="AD183" s="332"/>
      <c r="AE183" s="332"/>
      <c r="AF183" s="332"/>
      <c r="AG183" s="332"/>
      <c r="AH183" s="332"/>
      <c r="AI183" s="332"/>
      <c r="AJ183" s="332"/>
      <c r="AK183" s="332"/>
      <c r="AL183" s="332"/>
      <c r="AM183" s="332"/>
    </row>
    <row r="184" spans="2:39" s="287" customFormat="1">
      <c r="B184" s="343">
        <v>182</v>
      </c>
      <c r="C184" s="343">
        <v>627</v>
      </c>
      <c r="D184" s="345" t="s">
        <v>851</v>
      </c>
      <c r="E184" s="331" t="s">
        <v>852</v>
      </c>
      <c r="F184" s="330" t="s">
        <v>808</v>
      </c>
      <c r="G184" s="330" t="s">
        <v>361</v>
      </c>
      <c r="H184" s="332">
        <v>30130</v>
      </c>
      <c r="I184" s="329" t="s">
        <v>494</v>
      </c>
      <c r="J184" s="332">
        <v>20</v>
      </c>
      <c r="K184" s="332">
        <v>1</v>
      </c>
      <c r="L184" s="332">
        <v>502.17</v>
      </c>
      <c r="M184" s="332">
        <v>502.16</v>
      </c>
      <c r="N184" s="332">
        <v>502.17</v>
      </c>
      <c r="O184" s="332">
        <v>502.17</v>
      </c>
      <c r="P184" s="332">
        <v>502.16</v>
      </c>
      <c r="Q184" s="332">
        <v>502.17</v>
      </c>
      <c r="R184" s="332">
        <v>502.17</v>
      </c>
      <c r="S184" s="332">
        <v>502.16</v>
      </c>
      <c r="T184" s="332">
        <v>502.17</v>
      </c>
      <c r="U184" s="332">
        <v>502.17</v>
      </c>
      <c r="V184" s="332">
        <v>502.16</v>
      </c>
      <c r="W184" s="332">
        <v>502.17</v>
      </c>
      <c r="X184" s="332">
        <v>6026</v>
      </c>
      <c r="Y184" s="332">
        <f t="shared" si="41"/>
        <v>6026</v>
      </c>
      <c r="Z184" s="332">
        <f t="shared" si="49"/>
        <v>6026</v>
      </c>
      <c r="AA184" s="332"/>
      <c r="AB184" s="332"/>
      <c r="AC184" s="332"/>
      <c r="AD184" s="332"/>
      <c r="AE184" s="332"/>
      <c r="AF184" s="332"/>
      <c r="AG184" s="332"/>
      <c r="AH184" s="332"/>
      <c r="AI184" s="332"/>
      <c r="AJ184" s="332"/>
      <c r="AK184" s="332"/>
      <c r="AL184" s="332"/>
      <c r="AM184" s="332"/>
    </row>
    <row r="185" spans="2:39" s="287" customFormat="1">
      <c r="B185" s="343">
        <v>183</v>
      </c>
      <c r="C185" s="343">
        <v>585</v>
      </c>
      <c r="D185" s="345" t="s">
        <v>853</v>
      </c>
      <c r="E185" s="331" t="s">
        <v>854</v>
      </c>
      <c r="F185" s="330" t="s">
        <v>808</v>
      </c>
      <c r="G185" s="330" t="s">
        <v>324</v>
      </c>
      <c r="H185" s="332">
        <v>61075</v>
      </c>
      <c r="I185" s="329" t="s">
        <v>494</v>
      </c>
      <c r="J185" s="332">
        <v>20</v>
      </c>
      <c r="K185" s="332">
        <v>1</v>
      </c>
      <c r="L185" s="332">
        <v>1017.92</v>
      </c>
      <c r="M185" s="332">
        <v>1017.91</v>
      </c>
      <c r="N185" s="332">
        <v>1017.92</v>
      </c>
      <c r="O185" s="332">
        <v>1017.92</v>
      </c>
      <c r="P185" s="332">
        <v>1017.91</v>
      </c>
      <c r="Q185" s="332">
        <v>1017.92</v>
      </c>
      <c r="R185" s="332">
        <v>1017.92</v>
      </c>
      <c r="S185" s="332">
        <v>1017.91</v>
      </c>
      <c r="T185" s="332">
        <v>1017.92</v>
      </c>
      <c r="U185" s="332">
        <v>1017.92</v>
      </c>
      <c r="V185" s="332">
        <v>1017.91</v>
      </c>
      <c r="W185" s="332">
        <v>1017.92</v>
      </c>
      <c r="X185" s="332">
        <v>12215</v>
      </c>
      <c r="Y185" s="332">
        <f t="shared" si="41"/>
        <v>12215</v>
      </c>
      <c r="Z185" s="332"/>
      <c r="AA185" s="332"/>
      <c r="AB185" s="332"/>
      <c r="AC185" s="332"/>
      <c r="AD185" s="332"/>
      <c r="AE185" s="332"/>
      <c r="AF185" s="332"/>
      <c r="AG185" s="332"/>
      <c r="AH185" s="332"/>
      <c r="AI185" s="332"/>
      <c r="AJ185" s="332"/>
      <c r="AK185" s="332"/>
      <c r="AL185" s="332"/>
      <c r="AM185" s="332"/>
    </row>
    <row r="186" spans="2:39" s="287" customFormat="1">
      <c r="B186" s="343">
        <v>184</v>
      </c>
      <c r="C186" s="343">
        <v>586</v>
      </c>
      <c r="D186" s="345" t="s">
        <v>855</v>
      </c>
      <c r="E186" s="331" t="s">
        <v>856</v>
      </c>
      <c r="F186" s="330" t="s">
        <v>808</v>
      </c>
      <c r="G186" s="330" t="s">
        <v>324</v>
      </c>
      <c r="H186" s="332">
        <v>85000</v>
      </c>
      <c r="I186" s="329" t="s">
        <v>494</v>
      </c>
      <c r="J186" s="332">
        <v>20</v>
      </c>
      <c r="K186" s="332">
        <v>1</v>
      </c>
      <c r="L186" s="332">
        <v>1416.67</v>
      </c>
      <c r="M186" s="332">
        <v>1416.66</v>
      </c>
      <c r="N186" s="332">
        <v>1416.67</v>
      </c>
      <c r="O186" s="332">
        <v>1416.67</v>
      </c>
      <c r="P186" s="332">
        <v>1416.66</v>
      </c>
      <c r="Q186" s="332">
        <v>1416.67</v>
      </c>
      <c r="R186" s="332">
        <v>1416.67</v>
      </c>
      <c r="S186" s="332">
        <v>1416.66</v>
      </c>
      <c r="T186" s="332">
        <v>1416.67</v>
      </c>
      <c r="U186" s="332">
        <v>1416.67</v>
      </c>
      <c r="V186" s="332">
        <v>1416.66</v>
      </c>
      <c r="W186" s="332">
        <v>1416.67</v>
      </c>
      <c r="X186" s="332">
        <v>17000</v>
      </c>
      <c r="Y186" s="332">
        <f t="shared" si="41"/>
        <v>17000</v>
      </c>
      <c r="Z186" s="332"/>
      <c r="AA186" s="332"/>
      <c r="AB186" s="332"/>
      <c r="AC186" s="332"/>
      <c r="AD186" s="332"/>
      <c r="AE186" s="332"/>
      <c r="AF186" s="332"/>
      <c r="AG186" s="332"/>
      <c r="AH186" s="332"/>
      <c r="AI186" s="332"/>
      <c r="AJ186" s="332"/>
      <c r="AK186" s="332"/>
      <c r="AL186" s="332"/>
      <c r="AM186" s="332"/>
    </row>
    <row r="187" spans="2:39" s="287" customFormat="1">
      <c r="B187" s="343">
        <v>185</v>
      </c>
      <c r="C187" s="343">
        <v>587</v>
      </c>
      <c r="D187" s="345" t="s">
        <v>855</v>
      </c>
      <c r="E187" s="331" t="s">
        <v>857</v>
      </c>
      <c r="F187" s="330" t="s">
        <v>808</v>
      </c>
      <c r="G187" s="330" t="s">
        <v>324</v>
      </c>
      <c r="H187" s="332">
        <v>23925</v>
      </c>
      <c r="I187" s="329" t="s">
        <v>494</v>
      </c>
      <c r="J187" s="332">
        <v>20</v>
      </c>
      <c r="K187" s="332">
        <v>1</v>
      </c>
      <c r="L187" s="332">
        <v>398.75</v>
      </c>
      <c r="M187" s="332">
        <v>398.75</v>
      </c>
      <c r="N187" s="332">
        <v>398.75</v>
      </c>
      <c r="O187" s="332">
        <v>398.75</v>
      </c>
      <c r="P187" s="332">
        <v>398.75</v>
      </c>
      <c r="Q187" s="332">
        <v>398.75</v>
      </c>
      <c r="R187" s="332">
        <v>398.75</v>
      </c>
      <c r="S187" s="332">
        <v>398.75</v>
      </c>
      <c r="T187" s="332">
        <v>398.75</v>
      </c>
      <c r="U187" s="332">
        <v>398.75</v>
      </c>
      <c r="V187" s="332">
        <v>398.75</v>
      </c>
      <c r="W187" s="332">
        <v>398.75</v>
      </c>
      <c r="X187" s="332">
        <v>4785</v>
      </c>
      <c r="Y187" s="332">
        <f t="shared" si="41"/>
        <v>4785</v>
      </c>
      <c r="Z187" s="332"/>
      <c r="AA187" s="332"/>
      <c r="AB187" s="332"/>
      <c r="AC187" s="332"/>
      <c r="AD187" s="332"/>
      <c r="AE187" s="332"/>
      <c r="AF187" s="332"/>
      <c r="AG187" s="332"/>
      <c r="AH187" s="332"/>
      <c r="AI187" s="332"/>
      <c r="AJ187" s="332"/>
      <c r="AK187" s="332"/>
      <c r="AL187" s="332"/>
      <c r="AM187" s="332"/>
    </row>
    <row r="188" spans="2:39" s="287" customFormat="1">
      <c r="B188" s="343">
        <v>186</v>
      </c>
      <c r="C188" s="343">
        <v>588</v>
      </c>
      <c r="D188" s="345" t="s">
        <v>858</v>
      </c>
      <c r="E188" s="331" t="s">
        <v>859</v>
      </c>
      <c r="F188" s="330" t="s">
        <v>808</v>
      </c>
      <c r="G188" s="330" t="s">
        <v>324</v>
      </c>
      <c r="H188" s="332">
        <v>45930</v>
      </c>
      <c r="I188" s="329" t="s">
        <v>494</v>
      </c>
      <c r="J188" s="332">
        <v>20</v>
      </c>
      <c r="K188" s="332">
        <v>1</v>
      </c>
      <c r="L188" s="332">
        <v>765.5</v>
      </c>
      <c r="M188" s="332">
        <v>765.5</v>
      </c>
      <c r="N188" s="332">
        <v>765.5</v>
      </c>
      <c r="O188" s="332">
        <v>765.5</v>
      </c>
      <c r="P188" s="332">
        <v>765.5</v>
      </c>
      <c r="Q188" s="332">
        <v>765.5</v>
      </c>
      <c r="R188" s="332">
        <v>765.5</v>
      </c>
      <c r="S188" s="332">
        <v>765.5</v>
      </c>
      <c r="T188" s="332">
        <v>765.5</v>
      </c>
      <c r="U188" s="332">
        <v>765.5</v>
      </c>
      <c r="V188" s="332">
        <v>765.5</v>
      </c>
      <c r="W188" s="332">
        <v>765.5</v>
      </c>
      <c r="X188" s="332">
        <v>9186</v>
      </c>
      <c r="Y188" s="332">
        <f t="shared" si="41"/>
        <v>9186</v>
      </c>
      <c r="Z188" s="332"/>
      <c r="AA188" s="332"/>
      <c r="AB188" s="332"/>
      <c r="AC188" s="332"/>
      <c r="AD188" s="332"/>
      <c r="AE188" s="332"/>
      <c r="AF188" s="332"/>
      <c r="AG188" s="332"/>
      <c r="AH188" s="332"/>
      <c r="AI188" s="332"/>
      <c r="AJ188" s="332"/>
      <c r="AK188" s="332"/>
      <c r="AL188" s="332"/>
      <c r="AM188" s="332"/>
    </row>
    <row r="189" spans="2:39" s="287" customFormat="1">
      <c r="B189" s="343">
        <v>187</v>
      </c>
      <c r="C189" s="343">
        <v>620</v>
      </c>
      <c r="D189" s="345" t="s">
        <v>860</v>
      </c>
      <c r="E189" s="331" t="s">
        <v>861</v>
      </c>
      <c r="F189" s="330" t="s">
        <v>808</v>
      </c>
      <c r="G189" s="330" t="s">
        <v>324</v>
      </c>
      <c r="H189" s="332">
        <v>126295</v>
      </c>
      <c r="I189" s="329" t="s">
        <v>494</v>
      </c>
      <c r="J189" s="332">
        <v>20</v>
      </c>
      <c r="K189" s="332">
        <v>1</v>
      </c>
      <c r="L189" s="332">
        <v>2104.92</v>
      </c>
      <c r="M189" s="332">
        <v>2104.91</v>
      </c>
      <c r="N189" s="332">
        <v>2104.92</v>
      </c>
      <c r="O189" s="332">
        <v>2104.92</v>
      </c>
      <c r="P189" s="332">
        <v>2104.91</v>
      </c>
      <c r="Q189" s="332">
        <v>2104.92</v>
      </c>
      <c r="R189" s="332">
        <v>2104.92</v>
      </c>
      <c r="S189" s="332">
        <v>2104.91</v>
      </c>
      <c r="T189" s="332">
        <v>2104.92</v>
      </c>
      <c r="U189" s="332">
        <v>2104.92</v>
      </c>
      <c r="V189" s="332">
        <v>2104.91</v>
      </c>
      <c r="W189" s="332">
        <v>2104.92</v>
      </c>
      <c r="X189" s="332">
        <v>25259</v>
      </c>
      <c r="Y189" s="332">
        <f t="shared" si="41"/>
        <v>25259</v>
      </c>
      <c r="Z189" s="332"/>
      <c r="AA189" s="332"/>
      <c r="AB189" s="332"/>
      <c r="AC189" s="332"/>
      <c r="AD189" s="332"/>
      <c r="AE189" s="332"/>
      <c r="AF189" s="332"/>
      <c r="AG189" s="332"/>
      <c r="AH189" s="332"/>
      <c r="AI189" s="332"/>
      <c r="AJ189" s="332"/>
      <c r="AK189" s="332"/>
      <c r="AL189" s="332"/>
      <c r="AM189" s="332"/>
    </row>
    <row r="190" spans="2:39" s="287" customFormat="1">
      <c r="B190" s="343">
        <v>188</v>
      </c>
      <c r="C190" s="343">
        <v>603</v>
      </c>
      <c r="D190" s="345" t="s">
        <v>862</v>
      </c>
      <c r="E190" s="331" t="s">
        <v>863</v>
      </c>
      <c r="F190" s="330" t="s">
        <v>808</v>
      </c>
      <c r="G190" s="330" t="s">
        <v>324</v>
      </c>
      <c r="H190" s="332">
        <v>240970</v>
      </c>
      <c r="I190" s="329" t="s">
        <v>494</v>
      </c>
      <c r="J190" s="332">
        <v>20</v>
      </c>
      <c r="K190" s="332">
        <v>1</v>
      </c>
      <c r="L190" s="332">
        <v>4016.17</v>
      </c>
      <c r="M190" s="332">
        <v>4016.16</v>
      </c>
      <c r="N190" s="332">
        <v>4016.17</v>
      </c>
      <c r="O190" s="332">
        <v>4016.17</v>
      </c>
      <c r="P190" s="332">
        <v>4016.16</v>
      </c>
      <c r="Q190" s="332">
        <v>4016.17</v>
      </c>
      <c r="R190" s="332">
        <v>4016.17</v>
      </c>
      <c r="S190" s="332">
        <v>4016.16</v>
      </c>
      <c r="T190" s="332">
        <v>4016.17</v>
      </c>
      <c r="U190" s="332">
        <v>4016.17</v>
      </c>
      <c r="V190" s="332">
        <v>4016.16</v>
      </c>
      <c r="W190" s="332">
        <v>4016.17</v>
      </c>
      <c r="X190" s="332">
        <v>48194</v>
      </c>
      <c r="Y190" s="332">
        <f t="shared" si="41"/>
        <v>48194</v>
      </c>
      <c r="Z190" s="332"/>
      <c r="AA190" s="332"/>
      <c r="AB190" s="332"/>
      <c r="AC190" s="332"/>
      <c r="AD190" s="332"/>
      <c r="AE190" s="332"/>
      <c r="AF190" s="332"/>
      <c r="AG190" s="332"/>
      <c r="AH190" s="332"/>
      <c r="AI190" s="332"/>
      <c r="AJ190" s="332"/>
      <c r="AK190" s="332"/>
      <c r="AL190" s="332"/>
      <c r="AM190" s="332"/>
    </row>
    <row r="191" spans="2:39" s="287" customFormat="1">
      <c r="B191" s="343">
        <v>189</v>
      </c>
      <c r="C191" s="343">
        <v>715</v>
      </c>
      <c r="D191" s="345" t="s">
        <v>864</v>
      </c>
      <c r="E191" s="331" t="s">
        <v>865</v>
      </c>
      <c r="F191" s="330" t="s">
        <v>808</v>
      </c>
      <c r="G191" s="330" t="s">
        <v>362</v>
      </c>
      <c r="H191" s="332">
        <v>64966.8</v>
      </c>
      <c r="I191" s="329" t="s">
        <v>494</v>
      </c>
      <c r="J191" s="332">
        <v>20</v>
      </c>
      <c r="K191" s="332">
        <v>1</v>
      </c>
      <c r="L191" s="332">
        <v>1082.78</v>
      </c>
      <c r="M191" s="332">
        <v>1082.78</v>
      </c>
      <c r="N191" s="332">
        <v>1082.78</v>
      </c>
      <c r="O191" s="332">
        <v>1082.78</v>
      </c>
      <c r="P191" s="332">
        <v>1082.78</v>
      </c>
      <c r="Q191" s="332">
        <v>1082.78</v>
      </c>
      <c r="R191" s="332">
        <v>1082.78</v>
      </c>
      <c r="S191" s="332">
        <v>1082.78</v>
      </c>
      <c r="T191" s="332">
        <v>1082.78</v>
      </c>
      <c r="U191" s="332">
        <v>1082.78</v>
      </c>
      <c r="V191" s="332">
        <v>1082.78</v>
      </c>
      <c r="W191" s="332">
        <v>1082.78</v>
      </c>
      <c r="X191" s="332">
        <v>12993.36</v>
      </c>
      <c r="Y191" s="332">
        <f t="shared" si="41"/>
        <v>12993.36</v>
      </c>
      <c r="Z191" s="332">
        <f t="shared" si="49"/>
        <v>12993.36</v>
      </c>
      <c r="AA191" s="332">
        <f t="shared" si="49"/>
        <v>12993.36</v>
      </c>
      <c r="AB191" s="332"/>
      <c r="AC191" s="332"/>
      <c r="AD191" s="332"/>
      <c r="AE191" s="332"/>
      <c r="AF191" s="332"/>
      <c r="AG191" s="332"/>
      <c r="AH191" s="332"/>
      <c r="AI191" s="332"/>
      <c r="AJ191" s="332"/>
      <c r="AK191" s="332"/>
      <c r="AL191" s="332"/>
      <c r="AM191" s="332"/>
    </row>
    <row r="192" spans="2:39" s="287" customFormat="1">
      <c r="B192" s="343">
        <v>190</v>
      </c>
      <c r="C192" s="343">
        <v>574</v>
      </c>
      <c r="D192" s="345" t="s">
        <v>866</v>
      </c>
      <c r="E192" s="331" t="s">
        <v>867</v>
      </c>
      <c r="F192" s="330" t="s">
        <v>808</v>
      </c>
      <c r="G192" s="330" t="s">
        <v>323</v>
      </c>
      <c r="H192" s="332">
        <v>139800</v>
      </c>
      <c r="I192" s="329" t="s">
        <v>494</v>
      </c>
      <c r="J192" s="332">
        <v>20</v>
      </c>
      <c r="K192" s="332">
        <v>1</v>
      </c>
      <c r="L192" s="332">
        <v>2330</v>
      </c>
      <c r="M192" s="332">
        <v>2330</v>
      </c>
      <c r="N192" s="332">
        <v>2330</v>
      </c>
      <c r="O192" s="332">
        <v>2330</v>
      </c>
      <c r="P192" s="332">
        <v>2330</v>
      </c>
      <c r="Q192" s="332"/>
      <c r="R192" s="332"/>
      <c r="S192" s="332"/>
      <c r="T192" s="332"/>
      <c r="U192" s="332"/>
      <c r="V192" s="332"/>
      <c r="W192" s="332"/>
      <c r="X192" s="332">
        <v>11650</v>
      </c>
      <c r="Y192" s="332"/>
      <c r="Z192" s="332"/>
      <c r="AA192" s="332"/>
      <c r="AB192" s="332"/>
      <c r="AC192" s="332"/>
      <c r="AD192" s="332"/>
      <c r="AE192" s="332"/>
      <c r="AF192" s="332"/>
      <c r="AG192" s="332"/>
      <c r="AH192" s="332"/>
      <c r="AI192" s="332"/>
      <c r="AJ192" s="332"/>
      <c r="AK192" s="332"/>
      <c r="AL192" s="332"/>
      <c r="AM192" s="332"/>
    </row>
    <row r="193" spans="2:39" s="287" customFormat="1">
      <c r="B193" s="343">
        <v>191</v>
      </c>
      <c r="C193" s="343">
        <v>388</v>
      </c>
      <c r="D193" s="345" t="s">
        <v>868</v>
      </c>
      <c r="E193" s="331" t="s">
        <v>869</v>
      </c>
      <c r="F193" s="330" t="s">
        <v>808</v>
      </c>
      <c r="G193" s="330"/>
      <c r="H193" s="332">
        <v>502385.78</v>
      </c>
      <c r="I193" s="329" t="s">
        <v>494</v>
      </c>
      <c r="J193" s="332">
        <v>4.5</v>
      </c>
      <c r="K193" s="332">
        <v>1</v>
      </c>
      <c r="L193" s="332">
        <v>1883.95</v>
      </c>
      <c r="M193" s="332">
        <v>1883.94</v>
      </c>
      <c r="N193" s="332">
        <v>1883.95</v>
      </c>
      <c r="O193" s="332">
        <v>1883.95</v>
      </c>
      <c r="P193" s="332">
        <v>1883.94</v>
      </c>
      <c r="Q193" s="332">
        <v>1883.95</v>
      </c>
      <c r="R193" s="332">
        <v>1883.95</v>
      </c>
      <c r="S193" s="332">
        <v>1883.94</v>
      </c>
      <c r="T193" s="332">
        <v>1883.95</v>
      </c>
      <c r="U193" s="332">
        <v>1883.95</v>
      </c>
      <c r="V193" s="332">
        <v>1883.94</v>
      </c>
      <c r="W193" s="332">
        <v>1883.95</v>
      </c>
      <c r="X193" s="332">
        <v>22607.360000000001</v>
      </c>
      <c r="Y193" s="332">
        <f t="shared" si="41"/>
        <v>22607.360000000001</v>
      </c>
      <c r="Z193" s="332">
        <f t="shared" si="49"/>
        <v>22607.360000000001</v>
      </c>
      <c r="AA193" s="332">
        <f t="shared" si="49"/>
        <v>22607.360000000001</v>
      </c>
      <c r="AB193" s="332">
        <f t="shared" si="49"/>
        <v>22607.360000000001</v>
      </c>
      <c r="AC193" s="332">
        <f t="shared" si="49"/>
        <v>22607.360000000001</v>
      </c>
      <c r="AD193" s="332">
        <f t="shared" si="49"/>
        <v>22607.360000000001</v>
      </c>
      <c r="AE193" s="332">
        <f t="shared" si="49"/>
        <v>22607.360000000001</v>
      </c>
      <c r="AF193" s="332">
        <f t="shared" si="49"/>
        <v>22607.360000000001</v>
      </c>
      <c r="AG193" s="332">
        <f t="shared" si="49"/>
        <v>22607.360000000001</v>
      </c>
      <c r="AH193" s="332">
        <f t="shared" si="49"/>
        <v>22607.360000000001</v>
      </c>
      <c r="AI193" s="332">
        <f t="shared" si="49"/>
        <v>22607.360000000001</v>
      </c>
      <c r="AJ193" s="332">
        <f t="shared" ref="AJ193" si="50">AI193</f>
        <v>22607.360000000001</v>
      </c>
      <c r="AK193" s="332">
        <f t="shared" ref="AK193" si="51">AJ193</f>
        <v>22607.360000000001</v>
      </c>
      <c r="AL193" s="332">
        <f t="shared" ref="AL193:AM193" si="52">AK193</f>
        <v>22607.360000000001</v>
      </c>
      <c r="AM193" s="332">
        <f t="shared" si="52"/>
        <v>22607.360000000001</v>
      </c>
    </row>
    <row r="194" spans="2:39" s="287" customFormat="1">
      <c r="B194" s="343">
        <v>192</v>
      </c>
      <c r="C194" s="343">
        <v>730</v>
      </c>
      <c r="D194" s="345" t="s">
        <v>870</v>
      </c>
      <c r="E194" s="331" t="s">
        <v>435</v>
      </c>
      <c r="F194" s="330" t="s">
        <v>871</v>
      </c>
      <c r="G194" s="330" t="s">
        <v>362</v>
      </c>
      <c r="H194" s="332">
        <v>380325.2</v>
      </c>
      <c r="I194" s="329" t="s">
        <v>494</v>
      </c>
      <c r="J194" s="332">
        <v>20</v>
      </c>
      <c r="K194" s="332">
        <v>1</v>
      </c>
      <c r="L194" s="332">
        <v>6338.75</v>
      </c>
      <c r="M194" s="332">
        <v>6338.76</v>
      </c>
      <c r="N194" s="332">
        <v>6338.75</v>
      </c>
      <c r="O194" s="332">
        <v>6338.75</v>
      </c>
      <c r="P194" s="332">
        <v>6338.76</v>
      </c>
      <c r="Q194" s="332">
        <v>6338.75</v>
      </c>
      <c r="R194" s="332">
        <v>6338.75</v>
      </c>
      <c r="S194" s="332">
        <v>6338.76</v>
      </c>
      <c r="T194" s="332">
        <v>6338.75</v>
      </c>
      <c r="U194" s="332">
        <v>6338.75</v>
      </c>
      <c r="V194" s="332">
        <v>6338.76</v>
      </c>
      <c r="W194" s="332">
        <v>6338.75</v>
      </c>
      <c r="X194" s="332">
        <v>76065.039999999994</v>
      </c>
      <c r="Y194" s="332">
        <f t="shared" si="41"/>
        <v>76065.039999999994</v>
      </c>
      <c r="Z194" s="332">
        <f t="shared" si="49"/>
        <v>76065.039999999994</v>
      </c>
      <c r="AA194" s="332">
        <f t="shared" si="49"/>
        <v>76065.039999999994</v>
      </c>
      <c r="AB194" s="332"/>
      <c r="AC194" s="332"/>
      <c r="AD194" s="332"/>
      <c r="AE194" s="332"/>
      <c r="AF194" s="332"/>
      <c r="AG194" s="332"/>
      <c r="AH194" s="332"/>
      <c r="AI194" s="332"/>
      <c r="AJ194" s="332"/>
      <c r="AK194" s="332"/>
      <c r="AL194" s="332"/>
      <c r="AM194" s="332"/>
    </row>
    <row r="195" spans="2:39" s="287" customFormat="1">
      <c r="B195" s="343">
        <v>193</v>
      </c>
      <c r="C195" s="343">
        <v>733</v>
      </c>
      <c r="D195" s="345" t="s">
        <v>872</v>
      </c>
      <c r="E195" s="331" t="s">
        <v>454</v>
      </c>
      <c r="F195" s="330" t="s">
        <v>871</v>
      </c>
      <c r="G195" s="330" t="s">
        <v>6</v>
      </c>
      <c r="H195" s="332">
        <v>199500</v>
      </c>
      <c r="I195" s="329" t="s">
        <v>494</v>
      </c>
      <c r="J195" s="332">
        <v>40</v>
      </c>
      <c r="K195" s="332">
        <v>1</v>
      </c>
      <c r="L195" s="332">
        <v>6650</v>
      </c>
      <c r="M195" s="332">
        <v>6650</v>
      </c>
      <c r="N195" s="332">
        <v>6650</v>
      </c>
      <c r="O195" s="332">
        <v>6650</v>
      </c>
      <c r="P195" s="332">
        <v>6650</v>
      </c>
      <c r="Q195" s="332">
        <v>6650</v>
      </c>
      <c r="R195" s="332">
        <v>6650</v>
      </c>
      <c r="S195" s="332">
        <v>6650</v>
      </c>
      <c r="T195" s="332">
        <v>6650</v>
      </c>
      <c r="U195" s="332">
        <v>6650</v>
      </c>
      <c r="V195" s="332">
        <v>6650</v>
      </c>
      <c r="W195" s="332"/>
      <c r="X195" s="332">
        <v>73150</v>
      </c>
      <c r="Y195" s="332"/>
      <c r="Z195" s="332"/>
      <c r="AA195" s="332"/>
      <c r="AB195" s="332"/>
      <c r="AC195" s="332"/>
      <c r="AD195" s="332"/>
      <c r="AE195" s="332"/>
      <c r="AF195" s="332"/>
      <c r="AG195" s="332"/>
      <c r="AH195" s="332"/>
      <c r="AI195" s="332"/>
      <c r="AJ195" s="332"/>
      <c r="AK195" s="332"/>
      <c r="AL195" s="332"/>
      <c r="AM195" s="332"/>
    </row>
    <row r="196" spans="2:39" s="287" customFormat="1">
      <c r="B196" s="343">
        <v>194</v>
      </c>
      <c r="C196" s="343">
        <v>734</v>
      </c>
      <c r="D196" s="345" t="s">
        <v>873</v>
      </c>
      <c r="E196" s="331" t="s">
        <v>459</v>
      </c>
      <c r="F196" s="330" t="s">
        <v>871</v>
      </c>
      <c r="G196" s="330" t="s">
        <v>323</v>
      </c>
      <c r="H196" s="332">
        <v>398900</v>
      </c>
      <c r="I196" s="329" t="s">
        <v>494</v>
      </c>
      <c r="J196" s="332">
        <v>40</v>
      </c>
      <c r="K196" s="332">
        <v>1</v>
      </c>
      <c r="L196" s="332">
        <v>13296.67</v>
      </c>
      <c r="M196" s="332">
        <v>13296.66</v>
      </c>
      <c r="N196" s="332">
        <v>13296.67</v>
      </c>
      <c r="O196" s="332">
        <v>13296.67</v>
      </c>
      <c r="P196" s="332">
        <v>13296.66</v>
      </c>
      <c r="Q196" s="332">
        <v>13296.67</v>
      </c>
      <c r="R196" s="332">
        <v>13296.67</v>
      </c>
      <c r="S196" s="332">
        <v>13296.66</v>
      </c>
      <c r="T196" s="332">
        <v>13296.67</v>
      </c>
      <c r="U196" s="332">
        <v>13296.67</v>
      </c>
      <c r="V196" s="332">
        <v>13296.66</v>
      </c>
      <c r="W196" s="332"/>
      <c r="X196" s="332">
        <v>146263.32999999999</v>
      </c>
      <c r="Y196" s="332"/>
      <c r="Z196" s="332"/>
      <c r="AA196" s="332"/>
      <c r="AB196" s="332"/>
      <c r="AC196" s="332"/>
      <c r="AD196" s="332"/>
      <c r="AE196" s="332"/>
      <c r="AF196" s="332"/>
      <c r="AG196" s="332"/>
      <c r="AH196" s="332"/>
      <c r="AI196" s="332"/>
      <c r="AJ196" s="332"/>
      <c r="AK196" s="332"/>
      <c r="AL196" s="332"/>
      <c r="AM196" s="332"/>
    </row>
    <row r="197" spans="2:39" s="287" customFormat="1">
      <c r="B197" s="343">
        <v>195</v>
      </c>
      <c r="C197" s="343">
        <v>756</v>
      </c>
      <c r="D197" s="345" t="s">
        <v>874</v>
      </c>
      <c r="E197" s="331" t="s">
        <v>444</v>
      </c>
      <c r="F197" s="330" t="s">
        <v>871</v>
      </c>
      <c r="G197" s="330" t="s">
        <v>363</v>
      </c>
      <c r="H197" s="332">
        <v>165125</v>
      </c>
      <c r="I197" s="329" t="s">
        <v>494</v>
      </c>
      <c r="J197" s="332">
        <v>20</v>
      </c>
      <c r="K197" s="332">
        <v>1</v>
      </c>
      <c r="L197" s="332">
        <v>2752.08</v>
      </c>
      <c r="M197" s="332">
        <v>2752.09</v>
      </c>
      <c r="N197" s="332">
        <v>2752.08</v>
      </c>
      <c r="O197" s="332">
        <v>2752.08</v>
      </c>
      <c r="P197" s="332">
        <v>2752.09</v>
      </c>
      <c r="Q197" s="332">
        <v>2752.08</v>
      </c>
      <c r="R197" s="332">
        <v>2752.08</v>
      </c>
      <c r="S197" s="332">
        <v>2752.09</v>
      </c>
      <c r="T197" s="332">
        <v>2752.08</v>
      </c>
      <c r="U197" s="332">
        <v>2752.08</v>
      </c>
      <c r="V197" s="332">
        <v>2752.09</v>
      </c>
      <c r="W197" s="332">
        <v>2752.08</v>
      </c>
      <c r="X197" s="332">
        <v>33025</v>
      </c>
      <c r="Y197" s="332">
        <f t="shared" si="41"/>
        <v>33025</v>
      </c>
      <c r="Z197" s="332">
        <f t="shared" ref="Z197:AI208" si="53">Y197</f>
        <v>33025</v>
      </c>
      <c r="AA197" s="332">
        <f t="shared" si="53"/>
        <v>33025</v>
      </c>
      <c r="AB197" s="332">
        <f t="shared" si="53"/>
        <v>33025</v>
      </c>
      <c r="AC197" s="332"/>
      <c r="AD197" s="332"/>
      <c r="AE197" s="332"/>
      <c r="AF197" s="332"/>
      <c r="AG197" s="332"/>
      <c r="AH197" s="332"/>
      <c r="AI197" s="332"/>
      <c r="AJ197" s="332"/>
      <c r="AK197" s="332"/>
      <c r="AL197" s="332"/>
      <c r="AM197" s="332"/>
    </row>
    <row r="198" spans="2:39" s="287" customFormat="1">
      <c r="B198" s="343">
        <v>196</v>
      </c>
      <c r="C198" s="343">
        <v>732</v>
      </c>
      <c r="D198" s="345" t="s">
        <v>875</v>
      </c>
      <c r="E198" s="331" t="s">
        <v>451</v>
      </c>
      <c r="F198" s="330" t="s">
        <v>871</v>
      </c>
      <c r="G198" s="330" t="s">
        <v>364</v>
      </c>
      <c r="H198" s="332">
        <v>750000</v>
      </c>
      <c r="I198" s="329" t="s">
        <v>494</v>
      </c>
      <c r="J198" s="332">
        <v>14</v>
      </c>
      <c r="K198" s="332">
        <v>1</v>
      </c>
      <c r="L198" s="332">
        <v>8750</v>
      </c>
      <c r="M198" s="332">
        <v>8750</v>
      </c>
      <c r="N198" s="332">
        <v>8750</v>
      </c>
      <c r="O198" s="332">
        <v>8750</v>
      </c>
      <c r="P198" s="332">
        <v>8750</v>
      </c>
      <c r="Q198" s="332">
        <v>8750</v>
      </c>
      <c r="R198" s="332">
        <v>8750</v>
      </c>
      <c r="S198" s="332">
        <v>8750</v>
      </c>
      <c r="T198" s="332">
        <v>8750</v>
      </c>
      <c r="U198" s="332">
        <v>8750</v>
      </c>
      <c r="V198" s="332">
        <v>8750</v>
      </c>
      <c r="W198" s="332">
        <v>8750</v>
      </c>
      <c r="X198" s="332">
        <v>105000</v>
      </c>
      <c r="Y198" s="332">
        <f t="shared" si="41"/>
        <v>105000</v>
      </c>
      <c r="Z198" s="332">
        <f t="shared" si="53"/>
        <v>105000</v>
      </c>
      <c r="AA198" s="332">
        <f t="shared" si="53"/>
        <v>105000</v>
      </c>
      <c r="AB198" s="332">
        <f t="shared" si="53"/>
        <v>105000</v>
      </c>
      <c r="AC198" s="332">
        <f t="shared" si="53"/>
        <v>105000</v>
      </c>
      <c r="AD198" s="332"/>
      <c r="AE198" s="332"/>
      <c r="AF198" s="332"/>
      <c r="AG198" s="332"/>
      <c r="AH198" s="332"/>
      <c r="AI198" s="332"/>
      <c r="AJ198" s="332"/>
      <c r="AK198" s="332"/>
      <c r="AL198" s="332"/>
      <c r="AM198" s="332"/>
    </row>
    <row r="199" spans="2:39" s="287" customFormat="1">
      <c r="B199" s="343">
        <v>197</v>
      </c>
      <c r="C199" s="343">
        <v>608</v>
      </c>
      <c r="D199" s="345" t="s">
        <v>876</v>
      </c>
      <c r="E199" s="331" t="s">
        <v>877</v>
      </c>
      <c r="F199" s="330" t="s">
        <v>878</v>
      </c>
      <c r="G199" s="330" t="s">
        <v>365</v>
      </c>
      <c r="H199" s="332">
        <v>3515</v>
      </c>
      <c r="I199" s="329" t="s">
        <v>494</v>
      </c>
      <c r="J199" s="332">
        <v>10</v>
      </c>
      <c r="K199" s="332">
        <v>1</v>
      </c>
      <c r="L199" s="332">
        <v>29.29</v>
      </c>
      <c r="M199" s="332">
        <v>29.29</v>
      </c>
      <c r="N199" s="332">
        <v>29.3</v>
      </c>
      <c r="O199" s="332">
        <v>29.29</v>
      </c>
      <c r="P199" s="332">
        <v>29.29</v>
      </c>
      <c r="Q199" s="332">
        <v>29.29</v>
      </c>
      <c r="R199" s="332">
        <v>29.29</v>
      </c>
      <c r="S199" s="332">
        <v>29.29</v>
      </c>
      <c r="T199" s="332">
        <v>29.3</v>
      </c>
      <c r="U199" s="332">
        <v>29.29</v>
      </c>
      <c r="V199" s="332">
        <v>29.29</v>
      </c>
      <c r="W199" s="332">
        <v>29.29</v>
      </c>
      <c r="X199" s="332">
        <v>351.5</v>
      </c>
      <c r="Y199" s="332">
        <f t="shared" si="41"/>
        <v>351.5</v>
      </c>
      <c r="Z199" s="332">
        <f t="shared" si="53"/>
        <v>351.5</v>
      </c>
      <c r="AA199" s="332">
        <f t="shared" si="53"/>
        <v>351.5</v>
      </c>
      <c r="AB199" s="332">
        <f t="shared" si="53"/>
        <v>351.5</v>
      </c>
      <c r="AC199" s="332">
        <f t="shared" si="53"/>
        <v>351.5</v>
      </c>
      <c r="AD199" s="332">
        <f t="shared" si="53"/>
        <v>351.5</v>
      </c>
      <c r="AE199" s="332"/>
      <c r="AF199" s="332"/>
      <c r="AG199" s="332"/>
      <c r="AH199" s="332"/>
      <c r="AI199" s="332"/>
      <c r="AJ199" s="332"/>
      <c r="AK199" s="332"/>
      <c r="AL199" s="332"/>
      <c r="AM199" s="332"/>
    </row>
    <row r="200" spans="2:39" s="287" customFormat="1">
      <c r="B200" s="343">
        <v>198</v>
      </c>
      <c r="C200" s="343">
        <v>94</v>
      </c>
      <c r="D200" s="345" t="s">
        <v>879</v>
      </c>
      <c r="E200" s="331" t="s">
        <v>880</v>
      </c>
      <c r="F200" s="330" t="s">
        <v>878</v>
      </c>
      <c r="G200" s="330"/>
      <c r="H200" s="332">
        <v>647364.71</v>
      </c>
      <c r="I200" s="329" t="s">
        <v>494</v>
      </c>
      <c r="J200" s="332">
        <v>2.5</v>
      </c>
      <c r="K200" s="332">
        <v>1</v>
      </c>
      <c r="L200" s="332">
        <v>1348.68</v>
      </c>
      <c r="M200" s="332">
        <v>1348.67</v>
      </c>
      <c r="N200" s="332">
        <v>1348.68</v>
      </c>
      <c r="O200" s="332">
        <v>1348.68</v>
      </c>
      <c r="P200" s="332">
        <v>1348.67</v>
      </c>
      <c r="Q200" s="332">
        <v>1348.68</v>
      </c>
      <c r="R200" s="332">
        <v>1348.68</v>
      </c>
      <c r="S200" s="332">
        <v>1348.67</v>
      </c>
      <c r="T200" s="332">
        <v>1348.68</v>
      </c>
      <c r="U200" s="332">
        <v>1348.68</v>
      </c>
      <c r="V200" s="332">
        <v>1348.67</v>
      </c>
      <c r="W200" s="332">
        <v>1348.68</v>
      </c>
      <c r="X200" s="332">
        <v>16184.12</v>
      </c>
      <c r="Y200" s="332">
        <f t="shared" si="41"/>
        <v>16184.12</v>
      </c>
      <c r="Z200" s="332">
        <f t="shared" si="53"/>
        <v>16184.12</v>
      </c>
      <c r="AA200" s="332">
        <f t="shared" si="53"/>
        <v>16184.12</v>
      </c>
      <c r="AB200" s="332">
        <f t="shared" si="53"/>
        <v>16184.12</v>
      </c>
      <c r="AC200" s="332">
        <f t="shared" si="53"/>
        <v>16184.12</v>
      </c>
      <c r="AD200" s="332">
        <f t="shared" si="53"/>
        <v>16184.12</v>
      </c>
      <c r="AE200" s="332">
        <f t="shared" si="53"/>
        <v>16184.12</v>
      </c>
      <c r="AF200" s="332">
        <f t="shared" si="53"/>
        <v>16184.12</v>
      </c>
      <c r="AG200" s="332">
        <f t="shared" si="53"/>
        <v>16184.12</v>
      </c>
      <c r="AH200" s="332">
        <f t="shared" si="53"/>
        <v>16184.12</v>
      </c>
      <c r="AI200" s="332">
        <f t="shared" si="53"/>
        <v>16184.12</v>
      </c>
      <c r="AJ200" s="332">
        <f t="shared" ref="AJ200:AJ201" si="54">AI200</f>
        <v>16184.12</v>
      </c>
      <c r="AK200" s="332">
        <f t="shared" ref="AK200:AK201" si="55">AJ200</f>
        <v>16184.12</v>
      </c>
      <c r="AL200" s="332">
        <f t="shared" ref="AL200:AM201" si="56">AK200</f>
        <v>16184.12</v>
      </c>
      <c r="AM200" s="332">
        <f t="shared" si="56"/>
        <v>16184.12</v>
      </c>
    </row>
    <row r="201" spans="2:39" s="287" customFormat="1">
      <c r="B201" s="343">
        <v>199</v>
      </c>
      <c r="C201" s="343">
        <v>44</v>
      </c>
      <c r="D201" s="345" t="s">
        <v>881</v>
      </c>
      <c r="E201" s="331" t="s">
        <v>882</v>
      </c>
      <c r="F201" s="330" t="s">
        <v>878</v>
      </c>
      <c r="G201" s="330"/>
      <c r="H201" s="332">
        <v>206946.96</v>
      </c>
      <c r="I201" s="329" t="s">
        <v>494</v>
      </c>
      <c r="J201" s="332">
        <v>2.5</v>
      </c>
      <c r="K201" s="332">
        <v>1</v>
      </c>
      <c r="L201" s="332">
        <v>431.14</v>
      </c>
      <c r="M201" s="332">
        <v>431.14</v>
      </c>
      <c r="N201" s="332">
        <v>431.14</v>
      </c>
      <c r="O201" s="332">
        <v>431.14</v>
      </c>
      <c r="P201" s="332">
        <v>431.14</v>
      </c>
      <c r="Q201" s="332">
        <v>431.14</v>
      </c>
      <c r="R201" s="332">
        <v>431.13</v>
      </c>
      <c r="S201" s="332">
        <v>431.14</v>
      </c>
      <c r="T201" s="332">
        <v>431.14</v>
      </c>
      <c r="U201" s="332">
        <v>431.14</v>
      </c>
      <c r="V201" s="332">
        <v>431.14</v>
      </c>
      <c r="W201" s="332">
        <v>431.14</v>
      </c>
      <c r="X201" s="332">
        <v>5173.67</v>
      </c>
      <c r="Y201" s="332">
        <f t="shared" si="41"/>
        <v>5173.67</v>
      </c>
      <c r="Z201" s="332">
        <f t="shared" si="53"/>
        <v>5173.67</v>
      </c>
      <c r="AA201" s="332">
        <f t="shared" si="53"/>
        <v>5173.67</v>
      </c>
      <c r="AB201" s="332">
        <f t="shared" si="53"/>
        <v>5173.67</v>
      </c>
      <c r="AC201" s="332">
        <f t="shared" si="53"/>
        <v>5173.67</v>
      </c>
      <c r="AD201" s="332">
        <f t="shared" si="53"/>
        <v>5173.67</v>
      </c>
      <c r="AE201" s="332">
        <f t="shared" si="53"/>
        <v>5173.67</v>
      </c>
      <c r="AF201" s="332">
        <f t="shared" si="53"/>
        <v>5173.67</v>
      </c>
      <c r="AG201" s="332">
        <f t="shared" si="53"/>
        <v>5173.67</v>
      </c>
      <c r="AH201" s="332">
        <f t="shared" si="53"/>
        <v>5173.67</v>
      </c>
      <c r="AI201" s="332">
        <f t="shared" si="53"/>
        <v>5173.67</v>
      </c>
      <c r="AJ201" s="332">
        <f t="shared" si="54"/>
        <v>5173.67</v>
      </c>
      <c r="AK201" s="332">
        <f t="shared" si="55"/>
        <v>5173.67</v>
      </c>
      <c r="AL201" s="332">
        <f t="shared" si="56"/>
        <v>5173.67</v>
      </c>
      <c r="AM201" s="332">
        <f t="shared" si="56"/>
        <v>5173.67</v>
      </c>
    </row>
    <row r="202" spans="2:39" s="287" customFormat="1">
      <c r="B202" s="343">
        <v>200</v>
      </c>
      <c r="C202" s="343">
        <v>114</v>
      </c>
      <c r="D202" s="345" t="s">
        <v>883</v>
      </c>
      <c r="E202" s="331" t="s">
        <v>884</v>
      </c>
      <c r="F202" s="330" t="s">
        <v>885</v>
      </c>
      <c r="G202" s="330" t="s">
        <v>363</v>
      </c>
      <c r="H202" s="332">
        <v>3295804.97</v>
      </c>
      <c r="I202" s="329" t="s">
        <v>494</v>
      </c>
      <c r="J202" s="332">
        <v>4.5</v>
      </c>
      <c r="K202" s="332">
        <v>1</v>
      </c>
      <c r="L202" s="332">
        <v>12359.27</v>
      </c>
      <c r="M202" s="332">
        <v>12359.27</v>
      </c>
      <c r="N202" s="332">
        <v>12359.27</v>
      </c>
      <c r="O202" s="332">
        <v>12359.26</v>
      </c>
      <c r="P202" s="332">
        <v>12359.27</v>
      </c>
      <c r="Q202" s="332">
        <v>12359.27</v>
      </c>
      <c r="R202" s="332">
        <v>12359.27</v>
      </c>
      <c r="S202" s="332">
        <v>12359.27</v>
      </c>
      <c r="T202" s="332">
        <v>12359.27</v>
      </c>
      <c r="U202" s="332">
        <v>12359.26</v>
      </c>
      <c r="V202" s="332">
        <v>12359.27</v>
      </c>
      <c r="W202" s="332">
        <v>12359.27</v>
      </c>
      <c r="X202" s="332">
        <v>148311.22</v>
      </c>
      <c r="Y202" s="332">
        <f t="shared" si="41"/>
        <v>148311.22</v>
      </c>
      <c r="Z202" s="332">
        <f t="shared" si="53"/>
        <v>148311.22</v>
      </c>
      <c r="AA202" s="332">
        <f t="shared" si="53"/>
        <v>148311.22</v>
      </c>
      <c r="AB202" s="332">
        <f t="shared" si="53"/>
        <v>148311.22</v>
      </c>
      <c r="AC202" s="332"/>
      <c r="AD202" s="332"/>
      <c r="AE202" s="332"/>
      <c r="AF202" s="332"/>
      <c r="AG202" s="332"/>
      <c r="AH202" s="332"/>
      <c r="AI202" s="332"/>
      <c r="AJ202" s="332"/>
      <c r="AK202" s="332"/>
      <c r="AL202" s="332"/>
      <c r="AM202" s="332"/>
    </row>
    <row r="203" spans="2:39" s="287" customFormat="1">
      <c r="B203" s="343">
        <v>201</v>
      </c>
      <c r="C203" s="343">
        <v>33</v>
      </c>
      <c r="D203" s="345" t="s">
        <v>886</v>
      </c>
      <c r="E203" s="331" t="s">
        <v>887</v>
      </c>
      <c r="F203" s="330" t="s">
        <v>885</v>
      </c>
      <c r="G203" s="330" t="s">
        <v>323</v>
      </c>
      <c r="H203" s="332">
        <v>12882.7</v>
      </c>
      <c r="I203" s="329" t="s">
        <v>494</v>
      </c>
      <c r="J203" s="332">
        <v>4.8</v>
      </c>
      <c r="K203" s="332">
        <v>1</v>
      </c>
      <c r="L203" s="332">
        <v>51.53</v>
      </c>
      <c r="M203" s="332">
        <v>51.53</v>
      </c>
      <c r="N203" s="332">
        <v>51.53</v>
      </c>
      <c r="O203" s="332">
        <v>51.53</v>
      </c>
      <c r="P203" s="332">
        <v>51.53</v>
      </c>
      <c r="Q203" s="332">
        <v>51.54</v>
      </c>
      <c r="R203" s="332">
        <v>51.53</v>
      </c>
      <c r="S203" s="332">
        <v>51.53</v>
      </c>
      <c r="T203" s="332">
        <v>51.53</v>
      </c>
      <c r="U203" s="332">
        <v>51.53</v>
      </c>
      <c r="V203" s="332">
        <v>51.53</v>
      </c>
      <c r="W203" s="332">
        <v>51.53</v>
      </c>
      <c r="X203" s="332">
        <v>618.37</v>
      </c>
      <c r="Y203" s="332"/>
      <c r="Z203" s="332"/>
      <c r="AA203" s="332"/>
      <c r="AB203" s="332"/>
      <c r="AC203" s="332"/>
      <c r="AD203" s="332"/>
      <c r="AE203" s="332"/>
      <c r="AF203" s="332"/>
      <c r="AG203" s="332"/>
      <c r="AH203" s="332"/>
      <c r="AI203" s="332"/>
      <c r="AJ203" s="332"/>
      <c r="AK203" s="332"/>
      <c r="AL203" s="332"/>
      <c r="AM203" s="332"/>
    </row>
    <row r="204" spans="2:39" s="287" customFormat="1">
      <c r="B204" s="343">
        <v>202</v>
      </c>
      <c r="C204" s="343">
        <v>25</v>
      </c>
      <c r="D204" s="345" t="s">
        <v>888</v>
      </c>
      <c r="E204" s="331" t="s">
        <v>889</v>
      </c>
      <c r="F204" s="330" t="s">
        <v>885</v>
      </c>
      <c r="G204" s="330" t="s">
        <v>323</v>
      </c>
      <c r="H204" s="332">
        <v>24615.57</v>
      </c>
      <c r="I204" s="329" t="s">
        <v>494</v>
      </c>
      <c r="J204" s="332">
        <v>4</v>
      </c>
      <c r="K204" s="332">
        <v>1</v>
      </c>
      <c r="L204" s="332">
        <v>82.05</v>
      </c>
      <c r="M204" s="332">
        <v>82.05</v>
      </c>
      <c r="N204" s="332">
        <v>82.06</v>
      </c>
      <c r="O204" s="332">
        <v>82.05</v>
      </c>
      <c r="P204" s="332">
        <v>82.05</v>
      </c>
      <c r="Q204" s="332">
        <v>82.05</v>
      </c>
      <c r="R204" s="332">
        <v>82.05</v>
      </c>
      <c r="S204" s="332">
        <v>82.05</v>
      </c>
      <c r="T204" s="332">
        <v>82.06</v>
      </c>
      <c r="U204" s="332">
        <v>82.05</v>
      </c>
      <c r="V204" s="332">
        <v>82.05</v>
      </c>
      <c r="W204" s="332">
        <v>82.05</v>
      </c>
      <c r="X204" s="332">
        <v>984.62</v>
      </c>
      <c r="Y204" s="332"/>
      <c r="Z204" s="332"/>
      <c r="AA204" s="332"/>
      <c r="AB204" s="332"/>
      <c r="AC204" s="332"/>
      <c r="AD204" s="332"/>
      <c r="AE204" s="332"/>
      <c r="AF204" s="332"/>
      <c r="AG204" s="332"/>
      <c r="AH204" s="332"/>
      <c r="AI204" s="332"/>
      <c r="AJ204" s="332"/>
      <c r="AK204" s="332"/>
      <c r="AL204" s="332"/>
      <c r="AM204" s="332"/>
    </row>
    <row r="205" spans="2:39" s="287" customFormat="1">
      <c r="B205" s="343">
        <v>203</v>
      </c>
      <c r="C205" s="343">
        <v>167</v>
      </c>
      <c r="D205" s="345" t="s">
        <v>890</v>
      </c>
      <c r="E205" s="331" t="s">
        <v>891</v>
      </c>
      <c r="F205" s="330" t="s">
        <v>885</v>
      </c>
      <c r="G205" s="330" t="s">
        <v>365</v>
      </c>
      <c r="H205" s="332">
        <v>10000</v>
      </c>
      <c r="I205" s="329" t="s">
        <v>494</v>
      </c>
      <c r="J205" s="332">
        <v>4.5</v>
      </c>
      <c r="K205" s="332">
        <v>1</v>
      </c>
      <c r="L205" s="332">
        <v>37.5</v>
      </c>
      <c r="M205" s="332">
        <v>37.5</v>
      </c>
      <c r="N205" s="332">
        <v>37.5</v>
      </c>
      <c r="O205" s="332">
        <v>37.5</v>
      </c>
      <c r="P205" s="332">
        <v>37.5</v>
      </c>
      <c r="Q205" s="332">
        <v>37.5</v>
      </c>
      <c r="R205" s="332">
        <v>37.5</v>
      </c>
      <c r="S205" s="332">
        <v>37.5</v>
      </c>
      <c r="T205" s="332">
        <v>37.5</v>
      </c>
      <c r="U205" s="332">
        <v>37.5</v>
      </c>
      <c r="V205" s="332">
        <v>37.5</v>
      </c>
      <c r="W205" s="332">
        <v>37.5</v>
      </c>
      <c r="X205" s="332">
        <v>450</v>
      </c>
      <c r="Y205" s="332">
        <f t="shared" si="41"/>
        <v>450</v>
      </c>
      <c r="Z205" s="332">
        <f t="shared" si="53"/>
        <v>450</v>
      </c>
      <c r="AA205" s="332">
        <f t="shared" si="53"/>
        <v>450</v>
      </c>
      <c r="AB205" s="332">
        <f t="shared" si="53"/>
        <v>450</v>
      </c>
      <c r="AC205" s="332">
        <f t="shared" si="53"/>
        <v>450</v>
      </c>
      <c r="AD205" s="332">
        <f t="shared" si="53"/>
        <v>450</v>
      </c>
      <c r="AE205" s="332"/>
      <c r="AF205" s="332"/>
      <c r="AG205" s="332"/>
      <c r="AH205" s="332"/>
      <c r="AI205" s="332"/>
      <c r="AJ205" s="332"/>
      <c r="AK205" s="332"/>
      <c r="AL205" s="332"/>
      <c r="AM205" s="332"/>
    </row>
    <row r="206" spans="2:39" s="287" customFormat="1">
      <c r="B206" s="343">
        <v>204</v>
      </c>
      <c r="C206" s="343">
        <v>688</v>
      </c>
      <c r="D206" s="345" t="s">
        <v>892</v>
      </c>
      <c r="E206" s="331" t="s">
        <v>893</v>
      </c>
      <c r="F206" s="330" t="s">
        <v>885</v>
      </c>
      <c r="G206" s="330"/>
      <c r="H206" s="332">
        <v>25000</v>
      </c>
      <c r="I206" s="329" t="s">
        <v>494</v>
      </c>
      <c r="J206" s="332">
        <v>4.5</v>
      </c>
      <c r="K206" s="332">
        <v>1</v>
      </c>
      <c r="L206" s="332">
        <v>93.75</v>
      </c>
      <c r="M206" s="332">
        <v>93.75</v>
      </c>
      <c r="N206" s="332">
        <v>93.75</v>
      </c>
      <c r="O206" s="332">
        <v>93.75</v>
      </c>
      <c r="P206" s="332">
        <v>93.75</v>
      </c>
      <c r="Q206" s="332">
        <v>93.75</v>
      </c>
      <c r="R206" s="332">
        <v>93.75</v>
      </c>
      <c r="S206" s="332">
        <v>93.75</v>
      </c>
      <c r="T206" s="332">
        <v>93.75</v>
      </c>
      <c r="U206" s="332">
        <v>93.75</v>
      </c>
      <c r="V206" s="332">
        <v>93.75</v>
      </c>
      <c r="W206" s="332">
        <v>93.75</v>
      </c>
      <c r="X206" s="332">
        <v>1125</v>
      </c>
      <c r="Y206" s="332">
        <f t="shared" si="41"/>
        <v>1125</v>
      </c>
      <c r="Z206" s="332">
        <f t="shared" si="53"/>
        <v>1125</v>
      </c>
      <c r="AA206" s="332">
        <f t="shared" si="53"/>
        <v>1125</v>
      </c>
      <c r="AB206" s="332">
        <f t="shared" si="53"/>
        <v>1125</v>
      </c>
      <c r="AC206" s="332">
        <f t="shared" si="53"/>
        <v>1125</v>
      </c>
      <c r="AD206" s="332">
        <f t="shared" si="53"/>
        <v>1125</v>
      </c>
      <c r="AE206" s="332">
        <f t="shared" si="53"/>
        <v>1125</v>
      </c>
      <c r="AF206" s="332">
        <f t="shared" si="53"/>
        <v>1125</v>
      </c>
      <c r="AG206" s="332">
        <f t="shared" si="53"/>
        <v>1125</v>
      </c>
      <c r="AH206" s="332">
        <f t="shared" si="53"/>
        <v>1125</v>
      </c>
      <c r="AI206" s="332">
        <f t="shared" si="53"/>
        <v>1125</v>
      </c>
      <c r="AJ206" s="332">
        <f t="shared" ref="AJ206" si="57">AI206</f>
        <v>1125</v>
      </c>
      <c r="AK206" s="332">
        <f t="shared" ref="AK206" si="58">AJ206</f>
        <v>1125</v>
      </c>
      <c r="AL206" s="332">
        <f t="shared" ref="AL206:AM206" si="59">AK206</f>
        <v>1125</v>
      </c>
      <c r="AM206" s="332">
        <f t="shared" si="59"/>
        <v>1125</v>
      </c>
    </row>
    <row r="207" spans="2:39" s="287" customFormat="1">
      <c r="B207" s="343">
        <v>205</v>
      </c>
      <c r="C207" s="343">
        <v>281</v>
      </c>
      <c r="D207" s="345" t="s">
        <v>894</v>
      </c>
      <c r="E207" s="331" t="s">
        <v>895</v>
      </c>
      <c r="F207" s="330" t="s">
        <v>885</v>
      </c>
      <c r="G207" s="330" t="s">
        <v>370</v>
      </c>
      <c r="H207" s="332">
        <v>8300</v>
      </c>
      <c r="I207" s="329" t="s">
        <v>494</v>
      </c>
      <c r="J207" s="332">
        <v>4.5</v>
      </c>
      <c r="K207" s="332">
        <v>1</v>
      </c>
      <c r="L207" s="332">
        <v>31.13</v>
      </c>
      <c r="M207" s="332">
        <v>31.12</v>
      </c>
      <c r="N207" s="332">
        <v>31.13</v>
      </c>
      <c r="O207" s="332">
        <v>31.12</v>
      </c>
      <c r="P207" s="332">
        <v>31.13</v>
      </c>
      <c r="Q207" s="332">
        <v>31.12</v>
      </c>
      <c r="R207" s="332">
        <v>31.13</v>
      </c>
      <c r="S207" s="332">
        <v>31.12</v>
      </c>
      <c r="T207" s="332">
        <v>31.13</v>
      </c>
      <c r="U207" s="332">
        <v>31.12</v>
      </c>
      <c r="V207" s="332">
        <v>31.13</v>
      </c>
      <c r="W207" s="332">
        <v>31.12</v>
      </c>
      <c r="X207" s="332">
        <v>373.5</v>
      </c>
      <c r="Y207" s="332">
        <f t="shared" si="41"/>
        <v>373.5</v>
      </c>
      <c r="Z207" s="332">
        <f t="shared" si="53"/>
        <v>373.5</v>
      </c>
      <c r="AA207" s="332">
        <f t="shared" si="53"/>
        <v>373.5</v>
      </c>
      <c r="AB207" s="332">
        <f t="shared" si="53"/>
        <v>373.5</v>
      </c>
      <c r="AC207" s="332">
        <f t="shared" si="53"/>
        <v>373.5</v>
      </c>
      <c r="AD207" s="332">
        <f t="shared" si="53"/>
        <v>373.5</v>
      </c>
      <c r="AE207" s="332">
        <f t="shared" si="53"/>
        <v>373.5</v>
      </c>
      <c r="AF207" s="332">
        <f t="shared" si="53"/>
        <v>373.5</v>
      </c>
      <c r="AG207" s="332">
        <f t="shared" si="53"/>
        <v>373.5</v>
      </c>
      <c r="AH207" s="332">
        <f t="shared" si="53"/>
        <v>373.5</v>
      </c>
      <c r="AI207" s="332">
        <f t="shared" si="53"/>
        <v>373.5</v>
      </c>
      <c r="AJ207" s="332"/>
      <c r="AK207" s="332"/>
      <c r="AL207" s="332"/>
      <c r="AM207" s="332"/>
    </row>
    <row r="208" spans="2:39" s="287" customFormat="1">
      <c r="B208" s="343">
        <v>206</v>
      </c>
      <c r="C208" s="343">
        <v>274</v>
      </c>
      <c r="D208" s="345" t="s">
        <v>896</v>
      </c>
      <c r="E208" s="331" t="s">
        <v>897</v>
      </c>
      <c r="F208" s="330" t="s">
        <v>885</v>
      </c>
      <c r="G208" s="330" t="s">
        <v>369</v>
      </c>
      <c r="H208" s="332">
        <v>8300</v>
      </c>
      <c r="I208" s="329" t="s">
        <v>494</v>
      </c>
      <c r="J208" s="332">
        <v>4.5</v>
      </c>
      <c r="K208" s="332">
        <v>1</v>
      </c>
      <c r="L208" s="332">
        <v>31.13</v>
      </c>
      <c r="M208" s="332">
        <v>31.12</v>
      </c>
      <c r="N208" s="332">
        <v>31.13</v>
      </c>
      <c r="O208" s="332">
        <v>31.12</v>
      </c>
      <c r="P208" s="332">
        <v>31.13</v>
      </c>
      <c r="Q208" s="332">
        <v>31.12</v>
      </c>
      <c r="R208" s="332">
        <v>31.13</v>
      </c>
      <c r="S208" s="332">
        <v>31.12</v>
      </c>
      <c r="T208" s="332">
        <v>31.13</v>
      </c>
      <c r="U208" s="332">
        <v>31.12</v>
      </c>
      <c r="V208" s="332">
        <v>31.13</v>
      </c>
      <c r="W208" s="332">
        <v>31.12</v>
      </c>
      <c r="X208" s="332">
        <v>373.5</v>
      </c>
      <c r="Y208" s="332">
        <f t="shared" si="41"/>
        <v>373.5</v>
      </c>
      <c r="Z208" s="332">
        <f t="shared" si="53"/>
        <v>373.5</v>
      </c>
      <c r="AA208" s="332">
        <f t="shared" si="53"/>
        <v>373.5</v>
      </c>
      <c r="AB208" s="332">
        <f t="shared" si="53"/>
        <v>373.5</v>
      </c>
      <c r="AC208" s="332">
        <f t="shared" si="53"/>
        <v>373.5</v>
      </c>
      <c r="AD208" s="332">
        <f t="shared" si="53"/>
        <v>373.5</v>
      </c>
      <c r="AE208" s="332">
        <f t="shared" si="53"/>
        <v>373.5</v>
      </c>
      <c r="AF208" s="332">
        <f t="shared" si="53"/>
        <v>373.5</v>
      </c>
      <c r="AG208" s="332">
        <f t="shared" si="53"/>
        <v>373.5</v>
      </c>
      <c r="AH208" s="332">
        <f t="shared" si="53"/>
        <v>373.5</v>
      </c>
      <c r="AI208" s="332"/>
      <c r="AJ208" s="332"/>
      <c r="AK208" s="332"/>
      <c r="AL208" s="332"/>
      <c r="AM208" s="332"/>
    </row>
    <row r="209" spans="2:39" s="287" customFormat="1">
      <c r="B209" s="343">
        <v>207</v>
      </c>
      <c r="C209" s="343">
        <v>141</v>
      </c>
      <c r="D209" s="345" t="s">
        <v>898</v>
      </c>
      <c r="E209" s="331" t="s">
        <v>899</v>
      </c>
      <c r="F209" s="330" t="s">
        <v>885</v>
      </c>
      <c r="G209" s="330" t="s">
        <v>364</v>
      </c>
      <c r="H209" s="332">
        <v>3729855.42</v>
      </c>
      <c r="I209" s="329" t="s">
        <v>494</v>
      </c>
      <c r="J209" s="332">
        <v>4.5</v>
      </c>
      <c r="K209" s="332">
        <v>1</v>
      </c>
      <c r="L209" s="332">
        <v>13986.96</v>
      </c>
      <c r="M209" s="332">
        <v>13986.96</v>
      </c>
      <c r="N209" s="332">
        <v>13986.95</v>
      </c>
      <c r="O209" s="332">
        <v>13986.96</v>
      </c>
      <c r="P209" s="332">
        <v>13986.96</v>
      </c>
      <c r="Q209" s="332">
        <v>13986.96</v>
      </c>
      <c r="R209" s="332">
        <v>13986.95</v>
      </c>
      <c r="S209" s="332">
        <v>13986.96</v>
      </c>
      <c r="T209" s="332">
        <v>13986.96</v>
      </c>
      <c r="U209" s="332">
        <v>13986.96</v>
      </c>
      <c r="V209" s="332">
        <v>13986.95</v>
      </c>
      <c r="W209" s="332">
        <v>13986.96</v>
      </c>
      <c r="X209" s="332">
        <v>167843.49</v>
      </c>
      <c r="Y209" s="332">
        <f t="shared" ref="Y209:AI261" si="60">X209</f>
        <v>167843.49</v>
      </c>
      <c r="Z209" s="332">
        <f t="shared" si="60"/>
        <v>167843.49</v>
      </c>
      <c r="AA209" s="332">
        <f t="shared" si="60"/>
        <v>167843.49</v>
      </c>
      <c r="AB209" s="332">
        <f t="shared" si="60"/>
        <v>167843.49</v>
      </c>
      <c r="AC209" s="332">
        <f t="shared" si="60"/>
        <v>167843.49</v>
      </c>
      <c r="AD209" s="332"/>
      <c r="AE209" s="332"/>
      <c r="AF209" s="332"/>
      <c r="AG209" s="332"/>
      <c r="AH209" s="332"/>
      <c r="AI209" s="332"/>
      <c r="AJ209" s="332"/>
      <c r="AK209" s="332"/>
      <c r="AL209" s="332"/>
      <c r="AM209" s="332"/>
    </row>
    <row r="210" spans="2:39" s="287" customFormat="1">
      <c r="B210" s="343">
        <v>208</v>
      </c>
      <c r="C210" s="343">
        <v>187</v>
      </c>
      <c r="D210" s="345" t="s">
        <v>900</v>
      </c>
      <c r="E210" s="331" t="s">
        <v>901</v>
      </c>
      <c r="F210" s="330" t="s">
        <v>885</v>
      </c>
      <c r="G210" s="330" t="s">
        <v>365</v>
      </c>
      <c r="H210" s="332">
        <v>10100</v>
      </c>
      <c r="I210" s="329" t="s">
        <v>494</v>
      </c>
      <c r="J210" s="332">
        <v>4.5</v>
      </c>
      <c r="K210" s="332">
        <v>1</v>
      </c>
      <c r="L210" s="332">
        <v>37.880000000000003</v>
      </c>
      <c r="M210" s="332">
        <v>37.869999999999997</v>
      </c>
      <c r="N210" s="332">
        <v>37.880000000000003</v>
      </c>
      <c r="O210" s="332">
        <v>37.869999999999997</v>
      </c>
      <c r="P210" s="332">
        <v>37.880000000000003</v>
      </c>
      <c r="Q210" s="332">
        <v>37.869999999999997</v>
      </c>
      <c r="R210" s="332">
        <v>37.880000000000003</v>
      </c>
      <c r="S210" s="332">
        <v>37.869999999999997</v>
      </c>
      <c r="T210" s="332">
        <v>37.880000000000003</v>
      </c>
      <c r="U210" s="332">
        <v>37.869999999999997</v>
      </c>
      <c r="V210" s="332">
        <v>37.880000000000003</v>
      </c>
      <c r="W210" s="332">
        <v>37.869999999999997</v>
      </c>
      <c r="X210" s="332">
        <v>454.5</v>
      </c>
      <c r="Y210" s="332">
        <f t="shared" si="60"/>
        <v>454.5</v>
      </c>
      <c r="Z210" s="332">
        <f t="shared" si="60"/>
        <v>454.5</v>
      </c>
      <c r="AA210" s="332">
        <f t="shared" si="60"/>
        <v>454.5</v>
      </c>
      <c r="AB210" s="332">
        <f t="shared" si="60"/>
        <v>454.5</v>
      </c>
      <c r="AC210" s="332">
        <f t="shared" si="60"/>
        <v>454.5</v>
      </c>
      <c r="AD210" s="332">
        <f t="shared" si="60"/>
        <v>454.5</v>
      </c>
      <c r="AE210" s="332"/>
      <c r="AF210" s="332"/>
      <c r="AG210" s="332"/>
      <c r="AH210" s="332"/>
      <c r="AI210" s="332"/>
      <c r="AJ210" s="332"/>
      <c r="AK210" s="332"/>
      <c r="AL210" s="332"/>
      <c r="AM210" s="332"/>
    </row>
    <row r="211" spans="2:39" s="287" customFormat="1">
      <c r="B211" s="343">
        <v>209</v>
      </c>
      <c r="C211" s="343">
        <v>32</v>
      </c>
      <c r="D211" s="345" t="s">
        <v>902</v>
      </c>
      <c r="E211" s="331" t="s">
        <v>903</v>
      </c>
      <c r="F211" s="330" t="s">
        <v>885</v>
      </c>
      <c r="G211" s="330"/>
      <c r="H211" s="332">
        <v>33174.76</v>
      </c>
      <c r="I211" s="329" t="s">
        <v>494</v>
      </c>
      <c r="J211" s="332">
        <v>3</v>
      </c>
      <c r="K211" s="332">
        <v>1</v>
      </c>
      <c r="L211" s="332">
        <v>82.94</v>
      </c>
      <c r="M211" s="332">
        <v>82.93</v>
      </c>
      <c r="N211" s="332">
        <v>82.94</v>
      </c>
      <c r="O211" s="332">
        <v>82.94</v>
      </c>
      <c r="P211" s="332">
        <v>82.93</v>
      </c>
      <c r="Q211" s="332">
        <v>82.94</v>
      </c>
      <c r="R211" s="332">
        <v>82.94</v>
      </c>
      <c r="S211" s="332">
        <v>82.93</v>
      </c>
      <c r="T211" s="332">
        <v>82.94</v>
      </c>
      <c r="U211" s="332">
        <v>82.94</v>
      </c>
      <c r="V211" s="332">
        <v>82.93</v>
      </c>
      <c r="W211" s="332">
        <v>82.94</v>
      </c>
      <c r="X211" s="332">
        <v>995.24</v>
      </c>
      <c r="Y211" s="332">
        <f t="shared" si="60"/>
        <v>995.24</v>
      </c>
      <c r="Z211" s="332">
        <f t="shared" si="60"/>
        <v>995.24</v>
      </c>
      <c r="AA211" s="332">
        <f t="shared" si="60"/>
        <v>995.24</v>
      </c>
      <c r="AB211" s="332">
        <f t="shared" si="60"/>
        <v>995.24</v>
      </c>
      <c r="AC211" s="332">
        <f t="shared" si="60"/>
        <v>995.24</v>
      </c>
      <c r="AD211" s="332">
        <f t="shared" si="60"/>
        <v>995.24</v>
      </c>
      <c r="AE211" s="332">
        <f t="shared" si="60"/>
        <v>995.24</v>
      </c>
      <c r="AF211" s="332">
        <f t="shared" si="60"/>
        <v>995.24</v>
      </c>
      <c r="AG211" s="332">
        <f t="shared" si="60"/>
        <v>995.24</v>
      </c>
      <c r="AH211" s="332">
        <f t="shared" si="60"/>
        <v>995.24</v>
      </c>
      <c r="AI211" s="332">
        <f t="shared" si="60"/>
        <v>995.24</v>
      </c>
      <c r="AJ211" s="332"/>
      <c r="AK211" s="332"/>
      <c r="AL211" s="332"/>
      <c r="AM211" s="332"/>
    </row>
    <row r="212" spans="2:39" s="287" customFormat="1">
      <c r="B212" s="343">
        <v>210</v>
      </c>
      <c r="C212" s="343">
        <v>325</v>
      </c>
      <c r="D212" s="345" t="s">
        <v>904</v>
      </c>
      <c r="E212" s="331" t="s">
        <v>905</v>
      </c>
      <c r="F212" s="330" t="s">
        <v>885</v>
      </c>
      <c r="G212" s="330"/>
      <c r="H212" s="332">
        <v>416210.5</v>
      </c>
      <c r="I212" s="329" t="s">
        <v>494</v>
      </c>
      <c r="J212" s="332">
        <v>4.5</v>
      </c>
      <c r="K212" s="332">
        <v>1</v>
      </c>
      <c r="L212" s="332">
        <v>1560.79</v>
      </c>
      <c r="M212" s="332">
        <v>1560.79</v>
      </c>
      <c r="N212" s="332">
        <v>1560.79</v>
      </c>
      <c r="O212" s="332">
        <v>1560.79</v>
      </c>
      <c r="P212" s="332">
        <v>1560.79</v>
      </c>
      <c r="Q212" s="332">
        <v>1560.79</v>
      </c>
      <c r="R212" s="332">
        <v>1560.78</v>
      </c>
      <c r="S212" s="332">
        <v>1560.79</v>
      </c>
      <c r="T212" s="332">
        <v>1560.79</v>
      </c>
      <c r="U212" s="332">
        <v>1560.79</v>
      </c>
      <c r="V212" s="332">
        <v>1560.79</v>
      </c>
      <c r="W212" s="332">
        <v>1560.79</v>
      </c>
      <c r="X212" s="332">
        <v>18729.47</v>
      </c>
      <c r="Y212" s="332">
        <f t="shared" si="60"/>
        <v>18729.47</v>
      </c>
      <c r="Z212" s="332">
        <f t="shared" si="60"/>
        <v>18729.47</v>
      </c>
      <c r="AA212" s="332">
        <f t="shared" si="60"/>
        <v>18729.47</v>
      </c>
      <c r="AB212" s="332">
        <f t="shared" si="60"/>
        <v>18729.47</v>
      </c>
      <c r="AC212" s="332">
        <f t="shared" si="60"/>
        <v>18729.47</v>
      </c>
      <c r="AD212" s="332">
        <f t="shared" si="60"/>
        <v>18729.47</v>
      </c>
      <c r="AE212" s="332">
        <f t="shared" si="60"/>
        <v>18729.47</v>
      </c>
      <c r="AF212" s="332">
        <f t="shared" si="60"/>
        <v>18729.47</v>
      </c>
      <c r="AG212" s="332">
        <f t="shared" si="60"/>
        <v>18729.47</v>
      </c>
      <c r="AH212" s="332">
        <f t="shared" si="60"/>
        <v>18729.47</v>
      </c>
      <c r="AI212" s="332">
        <f t="shared" si="60"/>
        <v>18729.47</v>
      </c>
      <c r="AJ212" s="332">
        <f t="shared" ref="AJ212" si="61">AI212</f>
        <v>18729.47</v>
      </c>
      <c r="AK212" s="332">
        <f t="shared" ref="AK212" si="62">AJ212</f>
        <v>18729.47</v>
      </c>
      <c r="AL212" s="332">
        <f t="shared" ref="AL212:AM212" si="63">AK212</f>
        <v>18729.47</v>
      </c>
      <c r="AM212" s="332">
        <f t="shared" si="63"/>
        <v>18729.47</v>
      </c>
    </row>
    <row r="213" spans="2:39" s="287" customFormat="1">
      <c r="B213" s="343">
        <v>211</v>
      </c>
      <c r="C213" s="343">
        <v>710</v>
      </c>
      <c r="D213" s="345" t="s">
        <v>906</v>
      </c>
      <c r="E213" s="331" t="s">
        <v>907</v>
      </c>
      <c r="F213" s="330" t="s">
        <v>908</v>
      </c>
      <c r="G213" s="330" t="s">
        <v>324</v>
      </c>
      <c r="H213" s="332">
        <v>4190</v>
      </c>
      <c r="I213" s="329" t="s">
        <v>494</v>
      </c>
      <c r="J213" s="332">
        <v>30</v>
      </c>
      <c r="K213" s="332">
        <v>1</v>
      </c>
      <c r="L213" s="332">
        <v>104.75</v>
      </c>
      <c r="M213" s="332">
        <v>104.75</v>
      </c>
      <c r="N213" s="332">
        <v>104.75</v>
      </c>
      <c r="O213" s="332">
        <v>104.75</v>
      </c>
      <c r="P213" s="332">
        <v>104.75</v>
      </c>
      <c r="Q213" s="332">
        <v>104.75</v>
      </c>
      <c r="R213" s="332">
        <v>104.75</v>
      </c>
      <c r="S213" s="332">
        <v>104.75</v>
      </c>
      <c r="T213" s="332">
        <v>104.75</v>
      </c>
      <c r="U213" s="332">
        <v>104.75</v>
      </c>
      <c r="V213" s="332">
        <v>104.75</v>
      </c>
      <c r="W213" s="332">
        <v>104.75</v>
      </c>
      <c r="X213" s="332">
        <v>1257</v>
      </c>
      <c r="Y213" s="332">
        <f t="shared" si="60"/>
        <v>1257</v>
      </c>
      <c r="Z213" s="332"/>
      <c r="AA213" s="332"/>
      <c r="AB213" s="332"/>
      <c r="AC213" s="332"/>
      <c r="AD213" s="332"/>
      <c r="AE213" s="332"/>
      <c r="AF213" s="332"/>
      <c r="AG213" s="332"/>
      <c r="AH213" s="332"/>
      <c r="AI213" s="332"/>
      <c r="AJ213" s="332"/>
      <c r="AK213" s="332"/>
      <c r="AL213" s="332"/>
      <c r="AM213" s="332"/>
    </row>
    <row r="214" spans="2:39" s="287" customFormat="1">
      <c r="B214" s="343">
        <v>212</v>
      </c>
      <c r="C214" s="343">
        <v>708</v>
      </c>
      <c r="D214" s="345" t="s">
        <v>909</v>
      </c>
      <c r="E214" s="331" t="s">
        <v>910</v>
      </c>
      <c r="F214" s="330" t="s">
        <v>908</v>
      </c>
      <c r="G214" s="330" t="s">
        <v>324</v>
      </c>
      <c r="H214" s="332">
        <v>3190</v>
      </c>
      <c r="I214" s="329" t="s">
        <v>494</v>
      </c>
      <c r="J214" s="332">
        <v>30</v>
      </c>
      <c r="K214" s="332">
        <v>1</v>
      </c>
      <c r="L214" s="332">
        <v>79.75</v>
      </c>
      <c r="M214" s="332">
        <v>79.75</v>
      </c>
      <c r="N214" s="332">
        <v>79.75</v>
      </c>
      <c r="O214" s="332">
        <v>79.75</v>
      </c>
      <c r="P214" s="332">
        <v>79.75</v>
      </c>
      <c r="Q214" s="332">
        <v>79.75</v>
      </c>
      <c r="R214" s="332">
        <v>79.75</v>
      </c>
      <c r="S214" s="332">
        <v>79.75</v>
      </c>
      <c r="T214" s="332">
        <v>79.75</v>
      </c>
      <c r="U214" s="332">
        <v>79.75</v>
      </c>
      <c r="V214" s="332">
        <v>79.75</v>
      </c>
      <c r="W214" s="332">
        <v>79.75</v>
      </c>
      <c r="X214" s="332">
        <v>957</v>
      </c>
      <c r="Y214" s="332">
        <f t="shared" si="60"/>
        <v>957</v>
      </c>
      <c r="Z214" s="332"/>
      <c r="AA214" s="332"/>
      <c r="AB214" s="332"/>
      <c r="AC214" s="332"/>
      <c r="AD214" s="332"/>
      <c r="AE214" s="332"/>
      <c r="AF214" s="332"/>
      <c r="AG214" s="332"/>
      <c r="AH214" s="332"/>
      <c r="AI214" s="332"/>
      <c r="AJ214" s="332"/>
      <c r="AK214" s="332"/>
      <c r="AL214" s="332"/>
      <c r="AM214" s="332"/>
    </row>
    <row r="215" spans="2:39" s="287" customFormat="1">
      <c r="B215" s="343">
        <v>213</v>
      </c>
      <c r="C215" s="343">
        <v>712</v>
      </c>
      <c r="D215" s="345" t="s">
        <v>911</v>
      </c>
      <c r="E215" s="331" t="s">
        <v>912</v>
      </c>
      <c r="F215" s="330" t="s">
        <v>908</v>
      </c>
      <c r="G215" s="330" t="s">
        <v>324</v>
      </c>
      <c r="H215" s="332">
        <v>3190</v>
      </c>
      <c r="I215" s="329" t="s">
        <v>494</v>
      </c>
      <c r="J215" s="332">
        <v>30</v>
      </c>
      <c r="K215" s="332">
        <v>1</v>
      </c>
      <c r="L215" s="332">
        <v>79.75</v>
      </c>
      <c r="M215" s="332">
        <v>79.75</v>
      </c>
      <c r="N215" s="332">
        <v>79.75</v>
      </c>
      <c r="O215" s="332">
        <v>79.75</v>
      </c>
      <c r="P215" s="332">
        <v>79.75</v>
      </c>
      <c r="Q215" s="332">
        <v>79.75</v>
      </c>
      <c r="R215" s="332">
        <v>79.75</v>
      </c>
      <c r="S215" s="332">
        <v>79.75</v>
      </c>
      <c r="T215" s="332">
        <v>79.75</v>
      </c>
      <c r="U215" s="332">
        <v>79.75</v>
      </c>
      <c r="V215" s="332">
        <v>79.75</v>
      </c>
      <c r="W215" s="332">
        <v>79.75</v>
      </c>
      <c r="X215" s="332">
        <v>957</v>
      </c>
      <c r="Y215" s="332">
        <f t="shared" si="60"/>
        <v>957</v>
      </c>
      <c r="Z215" s="332"/>
      <c r="AA215" s="332"/>
      <c r="AB215" s="332"/>
      <c r="AC215" s="332"/>
      <c r="AD215" s="332"/>
      <c r="AE215" s="332"/>
      <c r="AF215" s="332"/>
      <c r="AG215" s="332"/>
      <c r="AH215" s="332"/>
      <c r="AI215" s="332"/>
      <c r="AJ215" s="332"/>
      <c r="AK215" s="332"/>
      <c r="AL215" s="332"/>
      <c r="AM215" s="332"/>
    </row>
    <row r="216" spans="2:39" s="287" customFormat="1">
      <c r="B216" s="343">
        <v>214</v>
      </c>
      <c r="C216" s="343">
        <v>402</v>
      </c>
      <c r="D216" s="345" t="s">
        <v>913</v>
      </c>
      <c r="E216" s="331" t="s">
        <v>914</v>
      </c>
      <c r="F216" s="330" t="s">
        <v>908</v>
      </c>
      <c r="G216" s="330" t="s">
        <v>323</v>
      </c>
      <c r="H216" s="332">
        <v>4000</v>
      </c>
      <c r="I216" s="329" t="s">
        <v>494</v>
      </c>
      <c r="J216" s="332">
        <v>14</v>
      </c>
      <c r="K216" s="332">
        <v>1</v>
      </c>
      <c r="L216" s="332">
        <v>46.67</v>
      </c>
      <c r="M216" s="332">
        <v>46.66</v>
      </c>
      <c r="N216" s="332">
        <v>46.67</v>
      </c>
      <c r="O216" s="332">
        <v>46.67</v>
      </c>
      <c r="P216" s="332">
        <v>46.66</v>
      </c>
      <c r="Q216" s="332">
        <v>33.340000000000003</v>
      </c>
      <c r="R216" s="332"/>
      <c r="S216" s="332"/>
      <c r="T216" s="332"/>
      <c r="U216" s="332"/>
      <c r="V216" s="332"/>
      <c r="W216" s="332"/>
      <c r="X216" s="332">
        <v>266.67</v>
      </c>
      <c r="Y216" s="332"/>
      <c r="Z216" s="332"/>
      <c r="AA216" s="332"/>
      <c r="AB216" s="332"/>
      <c r="AC216" s="332"/>
      <c r="AD216" s="332"/>
      <c r="AE216" s="332"/>
      <c r="AF216" s="332"/>
      <c r="AG216" s="332"/>
      <c r="AH216" s="332"/>
      <c r="AI216" s="332"/>
      <c r="AJ216" s="332"/>
      <c r="AK216" s="332"/>
      <c r="AL216" s="332"/>
      <c r="AM216" s="332"/>
    </row>
    <row r="217" spans="2:39" s="287" customFormat="1">
      <c r="B217" s="343">
        <v>215</v>
      </c>
      <c r="C217" s="343">
        <v>541</v>
      </c>
      <c r="D217" s="345" t="s">
        <v>913</v>
      </c>
      <c r="E217" s="331" t="s">
        <v>915</v>
      </c>
      <c r="F217" s="330" t="s">
        <v>908</v>
      </c>
      <c r="G217" s="330" t="s">
        <v>324</v>
      </c>
      <c r="H217" s="332">
        <v>4450</v>
      </c>
      <c r="I217" s="329" t="s">
        <v>494</v>
      </c>
      <c r="J217" s="332">
        <v>14</v>
      </c>
      <c r="K217" s="332">
        <v>1</v>
      </c>
      <c r="L217" s="332">
        <v>51.92</v>
      </c>
      <c r="M217" s="332">
        <v>51.91</v>
      </c>
      <c r="N217" s="332">
        <v>51.92</v>
      </c>
      <c r="O217" s="332">
        <v>51.92</v>
      </c>
      <c r="P217" s="332">
        <v>51.91</v>
      </c>
      <c r="Q217" s="332">
        <v>51.92</v>
      </c>
      <c r="R217" s="332">
        <v>51.92</v>
      </c>
      <c r="S217" s="332">
        <v>51.91</v>
      </c>
      <c r="T217" s="332">
        <v>51.92</v>
      </c>
      <c r="U217" s="332">
        <v>51.92</v>
      </c>
      <c r="V217" s="332">
        <v>51.91</v>
      </c>
      <c r="W217" s="332">
        <v>51.92</v>
      </c>
      <c r="X217" s="332">
        <v>623</v>
      </c>
      <c r="Y217" s="332">
        <f t="shared" si="60"/>
        <v>623</v>
      </c>
      <c r="Z217" s="332"/>
      <c r="AA217" s="332"/>
      <c r="AB217" s="332"/>
      <c r="AC217" s="332"/>
      <c r="AD217" s="332"/>
      <c r="AE217" s="332"/>
      <c r="AF217" s="332"/>
      <c r="AG217" s="332"/>
      <c r="AH217" s="332"/>
      <c r="AI217" s="332"/>
      <c r="AJ217" s="332"/>
      <c r="AK217" s="332"/>
      <c r="AL217" s="332"/>
      <c r="AM217" s="332"/>
    </row>
    <row r="218" spans="2:39" s="287" customFormat="1">
      <c r="B218" s="343">
        <v>216</v>
      </c>
      <c r="C218" s="343">
        <v>626</v>
      </c>
      <c r="D218" s="345" t="s">
        <v>916</v>
      </c>
      <c r="E218" s="331" t="s">
        <v>917</v>
      </c>
      <c r="F218" s="330" t="s">
        <v>908</v>
      </c>
      <c r="G218" s="330" t="s">
        <v>363</v>
      </c>
      <c r="H218" s="332">
        <v>4960</v>
      </c>
      <c r="I218" s="329" t="s">
        <v>494</v>
      </c>
      <c r="J218" s="332">
        <v>14</v>
      </c>
      <c r="K218" s="332">
        <v>1</v>
      </c>
      <c r="L218" s="332">
        <v>57.87</v>
      </c>
      <c r="M218" s="332">
        <v>57.86</v>
      </c>
      <c r="N218" s="332">
        <v>57.87</v>
      </c>
      <c r="O218" s="332">
        <v>57.87</v>
      </c>
      <c r="P218" s="332">
        <v>57.86</v>
      </c>
      <c r="Q218" s="332">
        <v>57.87</v>
      </c>
      <c r="R218" s="332">
        <v>57.87</v>
      </c>
      <c r="S218" s="332">
        <v>57.86</v>
      </c>
      <c r="T218" s="332">
        <v>57.87</v>
      </c>
      <c r="U218" s="332">
        <v>57.87</v>
      </c>
      <c r="V218" s="332">
        <v>57.86</v>
      </c>
      <c r="W218" s="332">
        <v>57.87</v>
      </c>
      <c r="X218" s="332">
        <v>694.4</v>
      </c>
      <c r="Y218" s="332">
        <f t="shared" si="60"/>
        <v>694.4</v>
      </c>
      <c r="Z218" s="332">
        <f t="shared" si="60"/>
        <v>694.4</v>
      </c>
      <c r="AA218" s="332">
        <f t="shared" si="60"/>
        <v>694.4</v>
      </c>
      <c r="AB218" s="332">
        <f t="shared" si="60"/>
        <v>694.4</v>
      </c>
      <c r="AC218" s="332"/>
      <c r="AD218" s="332"/>
      <c r="AE218" s="332"/>
      <c r="AF218" s="332"/>
      <c r="AG218" s="332"/>
      <c r="AH218" s="332"/>
      <c r="AI218" s="332"/>
      <c r="AJ218" s="332"/>
      <c r="AK218" s="332"/>
      <c r="AL218" s="332"/>
      <c r="AM218" s="332"/>
    </row>
    <row r="219" spans="2:39" s="287" customFormat="1">
      <c r="B219" s="343">
        <v>217</v>
      </c>
      <c r="C219" s="343">
        <v>674</v>
      </c>
      <c r="D219" s="345" t="s">
        <v>918</v>
      </c>
      <c r="E219" s="331" t="s">
        <v>919</v>
      </c>
      <c r="F219" s="330" t="s">
        <v>920</v>
      </c>
      <c r="G219" s="330" t="s">
        <v>361</v>
      </c>
      <c r="H219" s="332">
        <v>170300</v>
      </c>
      <c r="I219" s="329" t="s">
        <v>494</v>
      </c>
      <c r="J219" s="332">
        <v>20</v>
      </c>
      <c r="K219" s="332">
        <v>1</v>
      </c>
      <c r="L219" s="332">
        <v>2838.33</v>
      </c>
      <c r="M219" s="332">
        <v>2838.34</v>
      </c>
      <c r="N219" s="332">
        <v>2838.33</v>
      </c>
      <c r="O219" s="332">
        <v>2838.33</v>
      </c>
      <c r="P219" s="332">
        <v>2838.34</v>
      </c>
      <c r="Q219" s="332">
        <v>2838.33</v>
      </c>
      <c r="R219" s="332">
        <v>2838.33</v>
      </c>
      <c r="S219" s="332">
        <v>2838.34</v>
      </c>
      <c r="T219" s="332">
        <v>2838.33</v>
      </c>
      <c r="U219" s="332">
        <v>2838.33</v>
      </c>
      <c r="V219" s="332">
        <v>2838.34</v>
      </c>
      <c r="W219" s="332">
        <v>2838.33</v>
      </c>
      <c r="X219" s="332">
        <v>34060</v>
      </c>
      <c r="Y219" s="332">
        <f t="shared" si="60"/>
        <v>34060</v>
      </c>
      <c r="Z219" s="332">
        <f t="shared" si="60"/>
        <v>34060</v>
      </c>
      <c r="AA219" s="332"/>
      <c r="AB219" s="332"/>
      <c r="AC219" s="332"/>
      <c r="AD219" s="332"/>
      <c r="AE219" s="332"/>
      <c r="AF219" s="332"/>
      <c r="AG219" s="332"/>
      <c r="AH219" s="332"/>
      <c r="AI219" s="332"/>
      <c r="AJ219" s="332"/>
      <c r="AK219" s="332"/>
      <c r="AL219" s="332"/>
      <c r="AM219" s="332"/>
    </row>
    <row r="220" spans="2:39" s="287" customFormat="1">
      <c r="B220" s="343">
        <v>218</v>
      </c>
      <c r="C220" s="343">
        <v>578</v>
      </c>
      <c r="D220" s="345" t="s">
        <v>921</v>
      </c>
      <c r="E220" s="331" t="s">
        <v>922</v>
      </c>
      <c r="F220" s="330" t="s">
        <v>920</v>
      </c>
      <c r="G220" s="330" t="s">
        <v>323</v>
      </c>
      <c r="H220" s="332">
        <v>120000</v>
      </c>
      <c r="I220" s="329" t="s">
        <v>494</v>
      </c>
      <c r="J220" s="332">
        <v>20</v>
      </c>
      <c r="K220" s="332">
        <v>1</v>
      </c>
      <c r="L220" s="332">
        <v>2000</v>
      </c>
      <c r="M220" s="332">
        <v>2000</v>
      </c>
      <c r="N220" s="332">
        <v>2000</v>
      </c>
      <c r="O220" s="332">
        <v>2000</v>
      </c>
      <c r="P220" s="332">
        <v>2000</v>
      </c>
      <c r="Q220" s="332">
        <v>2000</v>
      </c>
      <c r="R220" s="332">
        <v>2000</v>
      </c>
      <c r="S220" s="332"/>
      <c r="T220" s="332"/>
      <c r="U220" s="332"/>
      <c r="V220" s="332"/>
      <c r="W220" s="332"/>
      <c r="X220" s="332">
        <v>14000</v>
      </c>
      <c r="Y220" s="332"/>
      <c r="Z220" s="332"/>
      <c r="AA220" s="332"/>
      <c r="AB220" s="332"/>
      <c r="AC220" s="332"/>
      <c r="AD220" s="332"/>
      <c r="AE220" s="332"/>
      <c r="AF220" s="332"/>
      <c r="AG220" s="332"/>
      <c r="AH220" s="332"/>
      <c r="AI220" s="332"/>
      <c r="AJ220" s="332"/>
      <c r="AK220" s="332"/>
      <c r="AL220" s="332"/>
      <c r="AM220" s="332"/>
    </row>
    <row r="221" spans="2:39" s="287" customFormat="1">
      <c r="B221" s="343">
        <v>219</v>
      </c>
      <c r="C221" s="343">
        <v>338</v>
      </c>
      <c r="D221" s="345" t="s">
        <v>923</v>
      </c>
      <c r="E221" s="331" t="s">
        <v>924</v>
      </c>
      <c r="F221" s="330" t="s">
        <v>925</v>
      </c>
      <c r="G221" s="330" t="s">
        <v>324</v>
      </c>
      <c r="H221" s="332">
        <v>14708</v>
      </c>
      <c r="I221" s="329" t="s">
        <v>494</v>
      </c>
      <c r="J221" s="332">
        <v>10</v>
      </c>
      <c r="K221" s="332">
        <v>1</v>
      </c>
      <c r="L221" s="332">
        <v>122.57</v>
      </c>
      <c r="M221" s="332">
        <v>122.56</v>
      </c>
      <c r="N221" s="332">
        <v>122.57</v>
      </c>
      <c r="O221" s="332">
        <v>122.57</v>
      </c>
      <c r="P221" s="332">
        <v>122.56</v>
      </c>
      <c r="Q221" s="332">
        <v>122.57</v>
      </c>
      <c r="R221" s="332">
        <v>122.57</v>
      </c>
      <c r="S221" s="332">
        <v>122.56</v>
      </c>
      <c r="T221" s="332">
        <v>122.57</v>
      </c>
      <c r="U221" s="332">
        <v>122.57</v>
      </c>
      <c r="V221" s="332">
        <v>122.56</v>
      </c>
      <c r="W221" s="332">
        <v>122.57</v>
      </c>
      <c r="X221" s="332">
        <v>1470.8</v>
      </c>
      <c r="Y221" s="332">
        <f t="shared" si="60"/>
        <v>1470.8</v>
      </c>
      <c r="Z221" s="332"/>
      <c r="AA221" s="332"/>
      <c r="AB221" s="332"/>
      <c r="AC221" s="332"/>
      <c r="AD221" s="332"/>
      <c r="AE221" s="332"/>
      <c r="AF221" s="332"/>
      <c r="AG221" s="332"/>
      <c r="AH221" s="332"/>
      <c r="AI221" s="332"/>
      <c r="AJ221" s="332"/>
      <c r="AK221" s="332"/>
      <c r="AL221" s="332"/>
      <c r="AM221" s="332"/>
    </row>
    <row r="222" spans="2:39" s="287" customFormat="1">
      <c r="B222" s="343">
        <v>220</v>
      </c>
      <c r="C222" s="343">
        <v>305</v>
      </c>
      <c r="D222" s="345" t="s">
        <v>926</v>
      </c>
      <c r="E222" s="331" t="s">
        <v>927</v>
      </c>
      <c r="F222" s="330" t="s">
        <v>925</v>
      </c>
      <c r="G222" s="330" t="s">
        <v>323</v>
      </c>
      <c r="H222" s="332">
        <v>11760</v>
      </c>
      <c r="I222" s="329" t="s">
        <v>494</v>
      </c>
      <c r="J222" s="332">
        <v>10</v>
      </c>
      <c r="K222" s="332">
        <v>1</v>
      </c>
      <c r="L222" s="332">
        <v>98</v>
      </c>
      <c r="M222" s="332">
        <v>98</v>
      </c>
      <c r="N222" s="332">
        <v>98</v>
      </c>
      <c r="O222" s="332">
        <v>98</v>
      </c>
      <c r="P222" s="332"/>
      <c r="Q222" s="332"/>
      <c r="R222" s="332"/>
      <c r="S222" s="332"/>
      <c r="T222" s="332"/>
      <c r="U222" s="332"/>
      <c r="V222" s="332"/>
      <c r="W222" s="332"/>
      <c r="X222" s="332">
        <v>392</v>
      </c>
      <c r="Y222" s="332"/>
      <c r="Z222" s="332"/>
      <c r="AA222" s="332"/>
      <c r="AB222" s="332"/>
      <c r="AC222" s="332"/>
      <c r="AD222" s="332"/>
      <c r="AE222" s="332"/>
      <c r="AF222" s="332"/>
      <c r="AG222" s="332"/>
      <c r="AH222" s="332"/>
      <c r="AI222" s="332"/>
      <c r="AJ222" s="332"/>
      <c r="AK222" s="332"/>
      <c r="AL222" s="332"/>
      <c r="AM222" s="332"/>
    </row>
    <row r="223" spans="2:39" s="287" customFormat="1">
      <c r="B223" s="343">
        <v>221</v>
      </c>
      <c r="C223" s="343">
        <v>745</v>
      </c>
      <c r="D223" s="345" t="s">
        <v>928</v>
      </c>
      <c r="E223" s="331" t="s">
        <v>929</v>
      </c>
      <c r="F223" s="330" t="s">
        <v>925</v>
      </c>
      <c r="G223" s="330" t="s">
        <v>367</v>
      </c>
      <c r="H223" s="332">
        <v>47255</v>
      </c>
      <c r="I223" s="329" t="s">
        <v>494</v>
      </c>
      <c r="J223" s="332">
        <v>10</v>
      </c>
      <c r="K223" s="332">
        <v>1</v>
      </c>
      <c r="L223" s="332">
        <v>393.79</v>
      </c>
      <c r="M223" s="332">
        <v>393.79</v>
      </c>
      <c r="N223" s="332">
        <v>393.8</v>
      </c>
      <c r="O223" s="332">
        <v>393.79</v>
      </c>
      <c r="P223" s="332">
        <v>393.79</v>
      </c>
      <c r="Q223" s="332">
        <v>393.79</v>
      </c>
      <c r="R223" s="332">
        <v>393.79</v>
      </c>
      <c r="S223" s="332">
        <v>393.79</v>
      </c>
      <c r="T223" s="332">
        <v>393.8</v>
      </c>
      <c r="U223" s="332">
        <v>393.79</v>
      </c>
      <c r="V223" s="332">
        <v>393.79</v>
      </c>
      <c r="W223" s="332">
        <v>393.79</v>
      </c>
      <c r="X223" s="332">
        <v>4725.5</v>
      </c>
      <c r="Y223" s="332">
        <f t="shared" si="60"/>
        <v>4725.5</v>
      </c>
      <c r="Z223" s="332">
        <f t="shared" si="60"/>
        <v>4725.5</v>
      </c>
      <c r="AA223" s="332">
        <f t="shared" si="60"/>
        <v>4725.5</v>
      </c>
      <c r="AB223" s="332">
        <f t="shared" si="60"/>
        <v>4725.5</v>
      </c>
      <c r="AC223" s="332">
        <f t="shared" si="60"/>
        <v>4725.5</v>
      </c>
      <c r="AD223" s="332">
        <f t="shared" si="60"/>
        <v>4725.5</v>
      </c>
      <c r="AE223" s="332">
        <f t="shared" si="60"/>
        <v>4725.5</v>
      </c>
      <c r="AF223" s="332">
        <f t="shared" si="60"/>
        <v>4725.5</v>
      </c>
      <c r="AG223" s="332"/>
      <c r="AH223" s="332"/>
      <c r="AI223" s="332"/>
      <c r="AJ223" s="332"/>
      <c r="AK223" s="332"/>
      <c r="AL223" s="332"/>
      <c r="AM223" s="332"/>
    </row>
    <row r="224" spans="2:39" s="287" customFormat="1">
      <c r="B224" s="343">
        <v>222</v>
      </c>
      <c r="C224" s="343">
        <v>123</v>
      </c>
      <c r="D224" s="345" t="s">
        <v>789</v>
      </c>
      <c r="E224" s="331" t="s">
        <v>930</v>
      </c>
      <c r="F224" s="330" t="s">
        <v>925</v>
      </c>
      <c r="G224" s="330" t="s">
        <v>323</v>
      </c>
      <c r="H224" s="332">
        <v>78234.25</v>
      </c>
      <c r="I224" s="329" t="s">
        <v>494</v>
      </c>
      <c r="J224" s="332">
        <v>4.5</v>
      </c>
      <c r="K224" s="332">
        <v>1</v>
      </c>
      <c r="L224" s="332">
        <v>293.38</v>
      </c>
      <c r="M224" s="332">
        <v>293.38</v>
      </c>
      <c r="N224" s="332">
        <v>293.38</v>
      </c>
      <c r="O224" s="332">
        <v>293.37</v>
      </c>
      <c r="P224" s="332">
        <v>293.38</v>
      </c>
      <c r="Q224" s="332">
        <v>293.38</v>
      </c>
      <c r="R224" s="332">
        <v>293.38</v>
      </c>
      <c r="S224" s="332">
        <v>293.38</v>
      </c>
      <c r="T224" s="332">
        <v>293.38</v>
      </c>
      <c r="U224" s="332">
        <v>293.37</v>
      </c>
      <c r="V224" s="332">
        <v>293.38</v>
      </c>
      <c r="W224" s="332">
        <v>293.38</v>
      </c>
      <c r="X224" s="332">
        <v>3520.54</v>
      </c>
      <c r="Y224" s="332"/>
      <c r="Z224" s="332"/>
      <c r="AA224" s="332"/>
      <c r="AB224" s="332"/>
      <c r="AC224" s="332"/>
      <c r="AD224" s="332"/>
      <c r="AE224" s="332"/>
      <c r="AF224" s="332"/>
      <c r="AG224" s="332"/>
      <c r="AH224" s="332"/>
      <c r="AI224" s="332"/>
      <c r="AJ224" s="332"/>
      <c r="AK224" s="332"/>
      <c r="AL224" s="332"/>
      <c r="AM224" s="332"/>
    </row>
    <row r="225" spans="2:39" s="287" customFormat="1">
      <c r="B225" s="343">
        <v>223</v>
      </c>
      <c r="C225" s="343">
        <v>731</v>
      </c>
      <c r="D225" s="345" t="s">
        <v>931</v>
      </c>
      <c r="E225" s="331" t="s">
        <v>448</v>
      </c>
      <c r="F225" s="330" t="s">
        <v>932</v>
      </c>
      <c r="G225" s="330" t="s">
        <v>364</v>
      </c>
      <c r="H225" s="332">
        <v>1027160</v>
      </c>
      <c r="I225" s="329" t="s">
        <v>494</v>
      </c>
      <c r="J225" s="332">
        <v>20</v>
      </c>
      <c r="K225" s="332">
        <v>1</v>
      </c>
      <c r="L225" s="332">
        <v>17119.330000000002</v>
      </c>
      <c r="M225" s="332">
        <v>17119.34</v>
      </c>
      <c r="N225" s="332">
        <v>17119.330000000002</v>
      </c>
      <c r="O225" s="332">
        <v>17119.330000000002</v>
      </c>
      <c r="P225" s="332">
        <v>17119.34</v>
      </c>
      <c r="Q225" s="332">
        <v>17119.330000000002</v>
      </c>
      <c r="R225" s="332">
        <v>17119.330000000002</v>
      </c>
      <c r="S225" s="332">
        <v>17119.34</v>
      </c>
      <c r="T225" s="332">
        <v>17119.330000000002</v>
      </c>
      <c r="U225" s="332">
        <v>17119.330000000002</v>
      </c>
      <c r="V225" s="332">
        <v>17119.34</v>
      </c>
      <c r="W225" s="332">
        <v>17119.330000000002</v>
      </c>
      <c r="X225" s="332">
        <v>205432</v>
      </c>
      <c r="Y225" s="332">
        <f t="shared" si="60"/>
        <v>205432</v>
      </c>
      <c r="Z225" s="332">
        <f t="shared" si="60"/>
        <v>205432</v>
      </c>
      <c r="AA225" s="332">
        <f t="shared" si="60"/>
        <v>205432</v>
      </c>
      <c r="AB225" s="332">
        <f t="shared" si="60"/>
        <v>205432</v>
      </c>
      <c r="AC225" s="332">
        <f t="shared" si="60"/>
        <v>205432</v>
      </c>
      <c r="AD225" s="332"/>
      <c r="AE225" s="332"/>
      <c r="AF225" s="332"/>
      <c r="AG225" s="332"/>
      <c r="AH225" s="332"/>
      <c r="AI225" s="332"/>
      <c r="AJ225" s="332"/>
      <c r="AK225" s="332"/>
      <c r="AL225" s="332"/>
      <c r="AM225" s="332"/>
    </row>
    <row r="226" spans="2:39" s="287" customFormat="1">
      <c r="B226" s="343">
        <v>224</v>
      </c>
      <c r="C226" s="343">
        <v>250</v>
      </c>
      <c r="D226" s="345" t="s">
        <v>933</v>
      </c>
      <c r="E226" s="331" t="s">
        <v>934</v>
      </c>
      <c r="F226" s="330" t="s">
        <v>935</v>
      </c>
      <c r="G226" s="330" t="s">
        <v>368</v>
      </c>
      <c r="H226" s="332">
        <v>30400</v>
      </c>
      <c r="I226" s="329" t="s">
        <v>494</v>
      </c>
      <c r="J226" s="332">
        <v>4.5</v>
      </c>
      <c r="K226" s="332">
        <v>1</v>
      </c>
      <c r="L226" s="332">
        <v>114</v>
      </c>
      <c r="M226" s="332">
        <v>114</v>
      </c>
      <c r="N226" s="332">
        <v>114</v>
      </c>
      <c r="O226" s="332">
        <v>114</v>
      </c>
      <c r="P226" s="332">
        <v>114</v>
      </c>
      <c r="Q226" s="332">
        <v>114</v>
      </c>
      <c r="R226" s="332">
        <v>114</v>
      </c>
      <c r="S226" s="332">
        <v>114</v>
      </c>
      <c r="T226" s="332">
        <v>114</v>
      </c>
      <c r="U226" s="332">
        <v>114</v>
      </c>
      <c r="V226" s="332">
        <v>114</v>
      </c>
      <c r="W226" s="332">
        <v>114</v>
      </c>
      <c r="X226" s="332">
        <v>1368</v>
      </c>
      <c r="Y226" s="332">
        <f t="shared" si="60"/>
        <v>1368</v>
      </c>
      <c r="Z226" s="332">
        <f t="shared" si="60"/>
        <v>1368</v>
      </c>
      <c r="AA226" s="332">
        <f t="shared" si="60"/>
        <v>1368</v>
      </c>
      <c r="AB226" s="332">
        <f t="shared" si="60"/>
        <v>1368</v>
      </c>
      <c r="AC226" s="332">
        <f t="shared" si="60"/>
        <v>1368</v>
      </c>
      <c r="AD226" s="332">
        <f t="shared" si="60"/>
        <v>1368</v>
      </c>
      <c r="AE226" s="332">
        <f t="shared" si="60"/>
        <v>1368</v>
      </c>
      <c r="AF226" s="332">
        <f t="shared" si="60"/>
        <v>1368</v>
      </c>
      <c r="AG226" s="332">
        <f t="shared" si="60"/>
        <v>1368</v>
      </c>
      <c r="AH226" s="332"/>
      <c r="AI226" s="332"/>
      <c r="AJ226" s="332"/>
      <c r="AK226" s="332"/>
      <c r="AL226" s="332"/>
      <c r="AM226" s="332"/>
    </row>
    <row r="227" spans="2:39" s="287" customFormat="1">
      <c r="B227" s="343">
        <v>225</v>
      </c>
      <c r="C227" s="343">
        <v>251</v>
      </c>
      <c r="D227" s="345" t="s">
        <v>936</v>
      </c>
      <c r="E227" s="331" t="s">
        <v>937</v>
      </c>
      <c r="F227" s="330" t="s">
        <v>938</v>
      </c>
      <c r="G227" s="330" t="s">
        <v>368</v>
      </c>
      <c r="H227" s="332">
        <v>211100</v>
      </c>
      <c r="I227" s="329" t="s">
        <v>494</v>
      </c>
      <c r="J227" s="332">
        <v>4.5</v>
      </c>
      <c r="K227" s="332">
        <v>1</v>
      </c>
      <c r="L227" s="332">
        <v>791.63</v>
      </c>
      <c r="M227" s="332">
        <v>791.62</v>
      </c>
      <c r="N227" s="332">
        <v>791.63</v>
      </c>
      <c r="O227" s="332">
        <v>791.62</v>
      </c>
      <c r="P227" s="332">
        <v>791.63</v>
      </c>
      <c r="Q227" s="332">
        <v>791.62</v>
      </c>
      <c r="R227" s="332">
        <v>791.63</v>
      </c>
      <c r="S227" s="332">
        <v>791.62</v>
      </c>
      <c r="T227" s="332">
        <v>791.63</v>
      </c>
      <c r="U227" s="332">
        <v>791.62</v>
      </c>
      <c r="V227" s="332">
        <v>791.63</v>
      </c>
      <c r="W227" s="332">
        <v>791.62</v>
      </c>
      <c r="X227" s="332">
        <v>9499.5</v>
      </c>
      <c r="Y227" s="332">
        <f t="shared" si="60"/>
        <v>9499.5</v>
      </c>
      <c r="Z227" s="332">
        <f t="shared" si="60"/>
        <v>9499.5</v>
      </c>
      <c r="AA227" s="332">
        <f t="shared" si="60"/>
        <v>9499.5</v>
      </c>
      <c r="AB227" s="332">
        <f t="shared" si="60"/>
        <v>9499.5</v>
      </c>
      <c r="AC227" s="332">
        <f t="shared" si="60"/>
        <v>9499.5</v>
      </c>
      <c r="AD227" s="332">
        <f t="shared" si="60"/>
        <v>9499.5</v>
      </c>
      <c r="AE227" s="332">
        <f t="shared" si="60"/>
        <v>9499.5</v>
      </c>
      <c r="AF227" s="332">
        <f t="shared" si="60"/>
        <v>9499.5</v>
      </c>
      <c r="AG227" s="332">
        <f t="shared" si="60"/>
        <v>9499.5</v>
      </c>
      <c r="AH227" s="332"/>
      <c r="AI227" s="332"/>
      <c r="AJ227" s="332"/>
      <c r="AK227" s="332"/>
      <c r="AL227" s="332"/>
      <c r="AM227" s="332"/>
    </row>
    <row r="228" spans="2:39" s="287" customFormat="1">
      <c r="B228" s="343">
        <v>226</v>
      </c>
      <c r="C228" s="343">
        <v>212</v>
      </c>
      <c r="D228" s="345" t="s">
        <v>939</v>
      </c>
      <c r="E228" s="331" t="s">
        <v>940</v>
      </c>
      <c r="F228" s="330" t="s">
        <v>938</v>
      </c>
      <c r="G228" s="330" t="s">
        <v>367</v>
      </c>
      <c r="H228" s="332">
        <v>1625122</v>
      </c>
      <c r="I228" s="329" t="s">
        <v>494</v>
      </c>
      <c r="J228" s="332">
        <v>4.5</v>
      </c>
      <c r="K228" s="332">
        <v>1</v>
      </c>
      <c r="L228" s="332">
        <v>6094.21</v>
      </c>
      <c r="M228" s="332">
        <v>6094.21</v>
      </c>
      <c r="N228" s="332">
        <v>6094.2</v>
      </c>
      <c r="O228" s="332">
        <v>6094.21</v>
      </c>
      <c r="P228" s="332">
        <v>6094.21</v>
      </c>
      <c r="Q228" s="332">
        <v>6094.21</v>
      </c>
      <c r="R228" s="332">
        <v>6094.2</v>
      </c>
      <c r="S228" s="332">
        <v>6094.21</v>
      </c>
      <c r="T228" s="332">
        <v>6094.21</v>
      </c>
      <c r="U228" s="332">
        <v>6094.21</v>
      </c>
      <c r="V228" s="332">
        <v>6094.2</v>
      </c>
      <c r="W228" s="332">
        <v>6094.21</v>
      </c>
      <c r="X228" s="332">
        <v>73130.490000000005</v>
      </c>
      <c r="Y228" s="332">
        <f t="shared" si="60"/>
        <v>73130.490000000005</v>
      </c>
      <c r="Z228" s="332">
        <f t="shared" si="60"/>
        <v>73130.490000000005</v>
      </c>
      <c r="AA228" s="332">
        <f t="shared" si="60"/>
        <v>73130.490000000005</v>
      </c>
      <c r="AB228" s="332">
        <f t="shared" si="60"/>
        <v>73130.490000000005</v>
      </c>
      <c r="AC228" s="332">
        <f t="shared" si="60"/>
        <v>73130.490000000005</v>
      </c>
      <c r="AD228" s="332">
        <f t="shared" si="60"/>
        <v>73130.490000000005</v>
      </c>
      <c r="AE228" s="332">
        <f t="shared" si="60"/>
        <v>73130.490000000005</v>
      </c>
      <c r="AF228" s="332">
        <f t="shared" si="60"/>
        <v>73130.490000000005</v>
      </c>
      <c r="AG228" s="332"/>
      <c r="AH228" s="332"/>
      <c r="AI228" s="332"/>
      <c r="AJ228" s="332"/>
      <c r="AK228" s="332"/>
      <c r="AL228" s="332"/>
      <c r="AM228" s="332"/>
    </row>
    <row r="229" spans="2:39" s="287" customFormat="1">
      <c r="B229" s="343">
        <v>227</v>
      </c>
      <c r="C229" s="343">
        <v>224</v>
      </c>
      <c r="D229" s="345" t="s">
        <v>941</v>
      </c>
      <c r="E229" s="331" t="s">
        <v>942</v>
      </c>
      <c r="F229" s="330" t="s">
        <v>938</v>
      </c>
      <c r="G229" s="330" t="s">
        <v>367</v>
      </c>
      <c r="H229" s="332">
        <v>25440</v>
      </c>
      <c r="I229" s="329" t="s">
        <v>494</v>
      </c>
      <c r="J229" s="332">
        <v>4.5</v>
      </c>
      <c r="K229" s="332">
        <v>1</v>
      </c>
      <c r="L229" s="332">
        <v>95.4</v>
      </c>
      <c r="M229" s="332">
        <v>95.4</v>
      </c>
      <c r="N229" s="332">
        <v>95.4</v>
      </c>
      <c r="O229" s="332">
        <v>95.4</v>
      </c>
      <c r="P229" s="332">
        <v>95.4</v>
      </c>
      <c r="Q229" s="332">
        <v>95.4</v>
      </c>
      <c r="R229" s="332">
        <v>95.4</v>
      </c>
      <c r="S229" s="332">
        <v>95.4</v>
      </c>
      <c r="T229" s="332">
        <v>95.4</v>
      </c>
      <c r="U229" s="332">
        <v>95.4</v>
      </c>
      <c r="V229" s="332">
        <v>95.4</v>
      </c>
      <c r="W229" s="332">
        <v>95.4</v>
      </c>
      <c r="X229" s="332">
        <v>1144.8</v>
      </c>
      <c r="Y229" s="332">
        <f t="shared" si="60"/>
        <v>1144.8</v>
      </c>
      <c r="Z229" s="332">
        <f t="shared" si="60"/>
        <v>1144.8</v>
      </c>
      <c r="AA229" s="332">
        <f t="shared" si="60"/>
        <v>1144.8</v>
      </c>
      <c r="AB229" s="332">
        <f t="shared" si="60"/>
        <v>1144.8</v>
      </c>
      <c r="AC229" s="332">
        <f t="shared" si="60"/>
        <v>1144.8</v>
      </c>
      <c r="AD229" s="332">
        <f t="shared" si="60"/>
        <v>1144.8</v>
      </c>
      <c r="AE229" s="332">
        <f t="shared" si="60"/>
        <v>1144.8</v>
      </c>
      <c r="AF229" s="332">
        <f t="shared" si="60"/>
        <v>1144.8</v>
      </c>
      <c r="AG229" s="332"/>
      <c r="AH229" s="332"/>
      <c r="AI229" s="332"/>
      <c r="AJ229" s="332"/>
      <c r="AK229" s="332"/>
      <c r="AL229" s="332"/>
      <c r="AM229" s="332"/>
    </row>
    <row r="230" spans="2:39" s="287" customFormat="1">
      <c r="B230" s="343">
        <v>228</v>
      </c>
      <c r="C230" s="343">
        <v>236</v>
      </c>
      <c r="D230" s="345" t="s">
        <v>943</v>
      </c>
      <c r="E230" s="331" t="s">
        <v>944</v>
      </c>
      <c r="F230" s="330" t="s">
        <v>938</v>
      </c>
      <c r="G230" s="330" t="s">
        <v>367</v>
      </c>
      <c r="H230" s="332">
        <v>26000.2</v>
      </c>
      <c r="I230" s="329" t="s">
        <v>494</v>
      </c>
      <c r="J230" s="332">
        <v>4.5</v>
      </c>
      <c r="K230" s="332">
        <v>1</v>
      </c>
      <c r="L230" s="332">
        <v>97.5</v>
      </c>
      <c r="M230" s="332">
        <v>97.5</v>
      </c>
      <c r="N230" s="332">
        <v>97.5</v>
      </c>
      <c r="O230" s="332">
        <v>97.5</v>
      </c>
      <c r="P230" s="332">
        <v>97.5</v>
      </c>
      <c r="Q230" s="332">
        <v>97.51</v>
      </c>
      <c r="R230" s="332">
        <v>97.5</v>
      </c>
      <c r="S230" s="332">
        <v>97.5</v>
      </c>
      <c r="T230" s="332">
        <v>97.5</v>
      </c>
      <c r="U230" s="332">
        <v>97.5</v>
      </c>
      <c r="V230" s="332">
        <v>97.5</v>
      </c>
      <c r="W230" s="332">
        <v>97.5</v>
      </c>
      <c r="X230" s="332">
        <v>1170.01</v>
      </c>
      <c r="Y230" s="332">
        <f t="shared" si="60"/>
        <v>1170.01</v>
      </c>
      <c r="Z230" s="332">
        <f t="shared" si="60"/>
        <v>1170.01</v>
      </c>
      <c r="AA230" s="332">
        <f t="shared" si="60"/>
        <v>1170.01</v>
      </c>
      <c r="AB230" s="332">
        <f t="shared" si="60"/>
        <v>1170.01</v>
      </c>
      <c r="AC230" s="332">
        <f t="shared" si="60"/>
        <v>1170.01</v>
      </c>
      <c r="AD230" s="332">
        <f t="shared" si="60"/>
        <v>1170.01</v>
      </c>
      <c r="AE230" s="332">
        <f t="shared" si="60"/>
        <v>1170.01</v>
      </c>
      <c r="AF230" s="332">
        <f t="shared" si="60"/>
        <v>1170.01</v>
      </c>
      <c r="AG230" s="332"/>
      <c r="AH230" s="332"/>
      <c r="AI230" s="332"/>
      <c r="AJ230" s="332"/>
      <c r="AK230" s="332"/>
      <c r="AL230" s="332"/>
      <c r="AM230" s="332"/>
    </row>
    <row r="231" spans="2:39" s="287" customFormat="1">
      <c r="B231" s="343">
        <v>229</v>
      </c>
      <c r="C231" s="343">
        <v>213</v>
      </c>
      <c r="D231" s="345" t="s">
        <v>945</v>
      </c>
      <c r="E231" s="331" t="s">
        <v>946</v>
      </c>
      <c r="F231" s="330" t="s">
        <v>947</v>
      </c>
      <c r="G231" s="330" t="s">
        <v>323</v>
      </c>
      <c r="H231" s="332">
        <v>1349157.09</v>
      </c>
      <c r="I231" s="329" t="s">
        <v>494</v>
      </c>
      <c r="J231" s="332">
        <v>7</v>
      </c>
      <c r="K231" s="332">
        <v>1</v>
      </c>
      <c r="L231" s="332">
        <v>7870.08</v>
      </c>
      <c r="M231" s="332">
        <v>7870.09</v>
      </c>
      <c r="N231" s="332">
        <v>7870.08</v>
      </c>
      <c r="O231" s="332">
        <v>7870.08</v>
      </c>
      <c r="P231" s="332">
        <v>7870.09</v>
      </c>
      <c r="Q231" s="332">
        <v>7870.08</v>
      </c>
      <c r="R231" s="332">
        <v>7870.08</v>
      </c>
      <c r="S231" s="332">
        <v>3372.84</v>
      </c>
      <c r="T231" s="332"/>
      <c r="U231" s="332"/>
      <c r="V231" s="332"/>
      <c r="W231" s="332"/>
      <c r="X231" s="332">
        <v>58463.42</v>
      </c>
      <c r="Y231" s="332"/>
      <c r="Z231" s="332"/>
      <c r="AA231" s="332"/>
      <c r="AB231" s="332"/>
      <c r="AC231" s="332"/>
      <c r="AD231" s="332"/>
      <c r="AE231" s="332"/>
      <c r="AF231" s="332"/>
      <c r="AG231" s="332"/>
      <c r="AH231" s="332"/>
      <c r="AI231" s="332"/>
      <c r="AJ231" s="332"/>
      <c r="AK231" s="332"/>
      <c r="AL231" s="332"/>
      <c r="AM231" s="332"/>
    </row>
    <row r="232" spans="2:39" s="287" customFormat="1">
      <c r="B232" s="343">
        <v>230</v>
      </c>
      <c r="C232" s="343">
        <v>751</v>
      </c>
      <c r="D232" s="345" t="s">
        <v>948</v>
      </c>
      <c r="E232" s="331" t="s">
        <v>949</v>
      </c>
      <c r="F232" s="330" t="s">
        <v>950</v>
      </c>
      <c r="G232" s="330" t="s">
        <v>361</v>
      </c>
      <c r="H232" s="332">
        <v>2930</v>
      </c>
      <c r="I232" s="329" t="s">
        <v>494</v>
      </c>
      <c r="J232" s="332">
        <v>30</v>
      </c>
      <c r="K232" s="332">
        <v>1</v>
      </c>
      <c r="L232" s="332">
        <v>73.25</v>
      </c>
      <c r="M232" s="332">
        <v>73.25</v>
      </c>
      <c r="N232" s="332">
        <v>73.25</v>
      </c>
      <c r="O232" s="332">
        <v>73.25</v>
      </c>
      <c r="P232" s="332">
        <v>73.25</v>
      </c>
      <c r="Q232" s="332">
        <v>73.25</v>
      </c>
      <c r="R232" s="332">
        <v>73.25</v>
      </c>
      <c r="S232" s="332">
        <v>73.25</v>
      </c>
      <c r="T232" s="332">
        <v>73.25</v>
      </c>
      <c r="U232" s="332">
        <v>73.25</v>
      </c>
      <c r="V232" s="332">
        <v>73.25</v>
      </c>
      <c r="W232" s="332">
        <v>73.25</v>
      </c>
      <c r="X232" s="332">
        <v>879</v>
      </c>
      <c r="Y232" s="332">
        <f t="shared" si="60"/>
        <v>879</v>
      </c>
      <c r="Z232" s="332">
        <f t="shared" si="60"/>
        <v>879</v>
      </c>
      <c r="AA232" s="332"/>
      <c r="AB232" s="332"/>
      <c r="AC232" s="332"/>
      <c r="AD232" s="332"/>
      <c r="AE232" s="332"/>
      <c r="AF232" s="332"/>
      <c r="AG232" s="332"/>
      <c r="AH232" s="332"/>
      <c r="AI232" s="332"/>
      <c r="AJ232" s="332"/>
      <c r="AK232" s="332"/>
      <c r="AL232" s="332"/>
      <c r="AM232" s="332"/>
    </row>
    <row r="233" spans="2:39" s="287" customFormat="1">
      <c r="B233" s="343">
        <v>231</v>
      </c>
      <c r="C233" s="343">
        <v>740</v>
      </c>
      <c r="D233" s="345" t="s">
        <v>951</v>
      </c>
      <c r="E233" s="331" t="s">
        <v>952</v>
      </c>
      <c r="F233" s="330" t="s">
        <v>950</v>
      </c>
      <c r="G233" s="330" t="s">
        <v>324</v>
      </c>
      <c r="H233" s="332">
        <v>2380</v>
      </c>
      <c r="I233" s="329" t="s">
        <v>494</v>
      </c>
      <c r="J233" s="332">
        <v>30</v>
      </c>
      <c r="K233" s="332">
        <v>1</v>
      </c>
      <c r="L233" s="332">
        <v>59.5</v>
      </c>
      <c r="M233" s="332">
        <v>59.5</v>
      </c>
      <c r="N233" s="332">
        <v>59.5</v>
      </c>
      <c r="O233" s="332">
        <v>59.5</v>
      </c>
      <c r="P233" s="332">
        <v>59.5</v>
      </c>
      <c r="Q233" s="332">
        <v>59.5</v>
      </c>
      <c r="R233" s="332">
        <v>59.5</v>
      </c>
      <c r="S233" s="332">
        <v>59.5</v>
      </c>
      <c r="T233" s="332">
        <v>59.5</v>
      </c>
      <c r="U233" s="332">
        <v>59.5</v>
      </c>
      <c r="V233" s="332">
        <v>59.5</v>
      </c>
      <c r="W233" s="332">
        <v>59.5</v>
      </c>
      <c r="X233" s="332">
        <v>714</v>
      </c>
      <c r="Y233" s="332">
        <f t="shared" si="60"/>
        <v>714</v>
      </c>
      <c r="Z233" s="332"/>
      <c r="AA233" s="332"/>
      <c r="AB233" s="332"/>
      <c r="AC233" s="332"/>
      <c r="AD233" s="332"/>
      <c r="AE233" s="332"/>
      <c r="AF233" s="332"/>
      <c r="AG233" s="332"/>
      <c r="AH233" s="332"/>
      <c r="AI233" s="332"/>
      <c r="AJ233" s="332"/>
      <c r="AK233" s="332"/>
      <c r="AL233" s="332"/>
      <c r="AM233" s="332"/>
    </row>
    <row r="234" spans="2:39" s="287" customFormat="1">
      <c r="B234" s="343">
        <v>232</v>
      </c>
      <c r="C234" s="343">
        <v>772</v>
      </c>
      <c r="D234" s="345" t="s">
        <v>953</v>
      </c>
      <c r="E234" s="331" t="s">
        <v>954</v>
      </c>
      <c r="F234" s="330" t="s">
        <v>950</v>
      </c>
      <c r="G234" s="330" t="s">
        <v>361</v>
      </c>
      <c r="H234" s="332">
        <v>3970</v>
      </c>
      <c r="I234" s="329" t="s">
        <v>494</v>
      </c>
      <c r="J234" s="332">
        <v>30</v>
      </c>
      <c r="K234" s="332">
        <v>1</v>
      </c>
      <c r="L234" s="332">
        <v>99.25</v>
      </c>
      <c r="M234" s="332">
        <v>99.25</v>
      </c>
      <c r="N234" s="332">
        <v>99.25</v>
      </c>
      <c r="O234" s="332">
        <v>99.25</v>
      </c>
      <c r="P234" s="332">
        <v>99.25</v>
      </c>
      <c r="Q234" s="332">
        <v>99.25</v>
      </c>
      <c r="R234" s="332">
        <v>99.25</v>
      </c>
      <c r="S234" s="332">
        <v>99.25</v>
      </c>
      <c r="T234" s="332">
        <v>99.25</v>
      </c>
      <c r="U234" s="332">
        <v>99.25</v>
      </c>
      <c r="V234" s="332">
        <v>99.25</v>
      </c>
      <c r="W234" s="332">
        <v>99.25</v>
      </c>
      <c r="X234" s="332">
        <v>1191</v>
      </c>
      <c r="Y234" s="332">
        <f t="shared" si="60"/>
        <v>1191</v>
      </c>
      <c r="Z234" s="332">
        <f t="shared" ref="Z234:Z246" si="64">Y234</f>
        <v>1191</v>
      </c>
      <c r="AA234" s="332"/>
      <c r="AB234" s="332"/>
      <c r="AC234" s="332"/>
      <c r="AD234" s="332"/>
      <c r="AE234" s="332"/>
      <c r="AF234" s="332"/>
      <c r="AG234" s="332"/>
      <c r="AH234" s="332"/>
      <c r="AI234" s="332"/>
      <c r="AJ234" s="332"/>
      <c r="AK234" s="332"/>
      <c r="AL234" s="332"/>
      <c r="AM234" s="332"/>
    </row>
    <row r="235" spans="2:39" s="287" customFormat="1">
      <c r="B235" s="343">
        <v>233</v>
      </c>
      <c r="C235" s="343">
        <v>727</v>
      </c>
      <c r="D235" s="345" t="s">
        <v>955</v>
      </c>
      <c r="E235" s="331" t="s">
        <v>956</v>
      </c>
      <c r="F235" s="330" t="s">
        <v>950</v>
      </c>
      <c r="G235" s="330" t="s">
        <v>324</v>
      </c>
      <c r="H235" s="332">
        <v>4190</v>
      </c>
      <c r="I235" s="329" t="s">
        <v>494</v>
      </c>
      <c r="J235" s="332">
        <v>30</v>
      </c>
      <c r="K235" s="332">
        <v>1</v>
      </c>
      <c r="L235" s="332">
        <v>104.75</v>
      </c>
      <c r="M235" s="332">
        <v>104.75</v>
      </c>
      <c r="N235" s="332">
        <v>104.75</v>
      </c>
      <c r="O235" s="332">
        <v>104.75</v>
      </c>
      <c r="P235" s="332">
        <v>104.75</v>
      </c>
      <c r="Q235" s="332">
        <v>104.75</v>
      </c>
      <c r="R235" s="332">
        <v>104.75</v>
      </c>
      <c r="S235" s="332">
        <v>104.75</v>
      </c>
      <c r="T235" s="332">
        <v>104.75</v>
      </c>
      <c r="U235" s="332">
        <v>104.75</v>
      </c>
      <c r="V235" s="332">
        <v>104.75</v>
      </c>
      <c r="W235" s="332">
        <v>104.75</v>
      </c>
      <c r="X235" s="332">
        <v>1257</v>
      </c>
      <c r="Y235" s="332">
        <f t="shared" si="60"/>
        <v>1257</v>
      </c>
      <c r="Z235" s="332"/>
      <c r="AA235" s="332"/>
      <c r="AB235" s="332"/>
      <c r="AC235" s="332"/>
      <c r="AD235" s="332"/>
      <c r="AE235" s="332"/>
      <c r="AF235" s="332"/>
      <c r="AG235" s="332"/>
      <c r="AH235" s="332"/>
      <c r="AI235" s="332"/>
      <c r="AJ235" s="332"/>
      <c r="AK235" s="332"/>
      <c r="AL235" s="332"/>
      <c r="AM235" s="332"/>
    </row>
    <row r="236" spans="2:39" s="287" customFormat="1">
      <c r="B236" s="343">
        <v>234</v>
      </c>
      <c r="C236" s="343">
        <v>718</v>
      </c>
      <c r="D236" s="345" t="s">
        <v>957</v>
      </c>
      <c r="E236" s="331" t="s">
        <v>958</v>
      </c>
      <c r="F236" s="330" t="s">
        <v>950</v>
      </c>
      <c r="G236" s="330" t="s">
        <v>324</v>
      </c>
      <c r="H236" s="332">
        <v>4100</v>
      </c>
      <c r="I236" s="329" t="s">
        <v>494</v>
      </c>
      <c r="J236" s="332">
        <v>30</v>
      </c>
      <c r="K236" s="332">
        <v>1</v>
      </c>
      <c r="L236" s="332">
        <v>102.5</v>
      </c>
      <c r="M236" s="332">
        <v>102.5</v>
      </c>
      <c r="N236" s="332">
        <v>102.5</v>
      </c>
      <c r="O236" s="332">
        <v>102.5</v>
      </c>
      <c r="P236" s="332">
        <v>102.5</v>
      </c>
      <c r="Q236" s="332">
        <v>102.5</v>
      </c>
      <c r="R236" s="332">
        <v>102.5</v>
      </c>
      <c r="S236" s="332">
        <v>102.5</v>
      </c>
      <c r="T236" s="332">
        <v>102.5</v>
      </c>
      <c r="U236" s="332">
        <v>102.5</v>
      </c>
      <c r="V236" s="332">
        <v>102.5</v>
      </c>
      <c r="W236" s="332">
        <v>102.5</v>
      </c>
      <c r="X236" s="332">
        <v>1230</v>
      </c>
      <c r="Y236" s="332">
        <f t="shared" si="60"/>
        <v>1230</v>
      </c>
      <c r="Z236" s="332"/>
      <c r="AA236" s="332"/>
      <c r="AB236" s="332"/>
      <c r="AC236" s="332"/>
      <c r="AD236" s="332"/>
      <c r="AE236" s="332"/>
      <c r="AF236" s="332"/>
      <c r="AG236" s="332"/>
      <c r="AH236" s="332"/>
      <c r="AI236" s="332"/>
      <c r="AJ236" s="332"/>
      <c r="AK236" s="332"/>
      <c r="AL236" s="332"/>
      <c r="AM236" s="332"/>
    </row>
    <row r="237" spans="2:39" s="287" customFormat="1">
      <c r="B237" s="343">
        <v>235</v>
      </c>
      <c r="C237" s="343">
        <v>725</v>
      </c>
      <c r="D237" s="345" t="s">
        <v>959</v>
      </c>
      <c r="E237" s="331" t="s">
        <v>960</v>
      </c>
      <c r="F237" s="330" t="s">
        <v>950</v>
      </c>
      <c r="G237" s="330" t="s">
        <v>324</v>
      </c>
      <c r="H237" s="332">
        <v>4190</v>
      </c>
      <c r="I237" s="329" t="s">
        <v>494</v>
      </c>
      <c r="J237" s="332">
        <v>30</v>
      </c>
      <c r="K237" s="332">
        <v>1</v>
      </c>
      <c r="L237" s="332">
        <v>104.75</v>
      </c>
      <c r="M237" s="332">
        <v>104.75</v>
      </c>
      <c r="N237" s="332">
        <v>104.75</v>
      </c>
      <c r="O237" s="332">
        <v>104.75</v>
      </c>
      <c r="P237" s="332">
        <v>104.75</v>
      </c>
      <c r="Q237" s="332">
        <v>104.75</v>
      </c>
      <c r="R237" s="332">
        <v>104.75</v>
      </c>
      <c r="S237" s="332">
        <v>104.75</v>
      </c>
      <c r="T237" s="332">
        <v>104.75</v>
      </c>
      <c r="U237" s="332">
        <v>104.75</v>
      </c>
      <c r="V237" s="332">
        <v>104.75</v>
      </c>
      <c r="W237" s="332">
        <v>104.75</v>
      </c>
      <c r="X237" s="332">
        <v>1257</v>
      </c>
      <c r="Y237" s="332">
        <f t="shared" si="60"/>
        <v>1257</v>
      </c>
      <c r="Z237" s="332"/>
      <c r="AA237" s="332"/>
      <c r="AB237" s="332"/>
      <c r="AC237" s="332"/>
      <c r="AD237" s="332"/>
      <c r="AE237" s="332"/>
      <c r="AF237" s="332"/>
      <c r="AG237" s="332"/>
      <c r="AH237" s="332"/>
      <c r="AI237" s="332"/>
      <c r="AJ237" s="332"/>
      <c r="AK237" s="332"/>
      <c r="AL237" s="332"/>
      <c r="AM237" s="332"/>
    </row>
    <row r="238" spans="2:39" s="287" customFormat="1">
      <c r="B238" s="343">
        <v>236</v>
      </c>
      <c r="C238" s="343">
        <v>690</v>
      </c>
      <c r="D238" s="345" t="s">
        <v>961</v>
      </c>
      <c r="E238" s="331" t="s">
        <v>962</v>
      </c>
      <c r="F238" s="330" t="s">
        <v>950</v>
      </c>
      <c r="G238" s="330" t="s">
        <v>324</v>
      </c>
      <c r="H238" s="332">
        <v>4100</v>
      </c>
      <c r="I238" s="329" t="s">
        <v>494</v>
      </c>
      <c r="J238" s="332">
        <v>30</v>
      </c>
      <c r="K238" s="332">
        <v>1</v>
      </c>
      <c r="L238" s="332">
        <v>102.5</v>
      </c>
      <c r="M238" s="332">
        <v>102.5</v>
      </c>
      <c r="N238" s="332">
        <v>102.5</v>
      </c>
      <c r="O238" s="332">
        <v>102.5</v>
      </c>
      <c r="P238" s="332">
        <v>102.5</v>
      </c>
      <c r="Q238" s="332">
        <v>102.5</v>
      </c>
      <c r="R238" s="332">
        <v>102.5</v>
      </c>
      <c r="S238" s="332">
        <v>102.5</v>
      </c>
      <c r="T238" s="332">
        <v>102.5</v>
      </c>
      <c r="U238" s="332">
        <v>102.5</v>
      </c>
      <c r="V238" s="332">
        <v>102.5</v>
      </c>
      <c r="W238" s="332">
        <v>102.5</v>
      </c>
      <c r="X238" s="332">
        <v>1230</v>
      </c>
      <c r="Y238" s="332">
        <f t="shared" si="60"/>
        <v>1230</v>
      </c>
      <c r="Z238" s="332"/>
      <c r="AA238" s="332"/>
      <c r="AB238" s="332"/>
      <c r="AC238" s="332"/>
      <c r="AD238" s="332"/>
      <c r="AE238" s="332"/>
      <c r="AF238" s="332"/>
      <c r="AG238" s="332"/>
      <c r="AH238" s="332"/>
      <c r="AI238" s="332"/>
      <c r="AJ238" s="332"/>
      <c r="AK238" s="332"/>
      <c r="AL238" s="332"/>
      <c r="AM238" s="332"/>
    </row>
    <row r="239" spans="2:39" s="287" customFormat="1">
      <c r="B239" s="343">
        <v>237</v>
      </c>
      <c r="C239" s="343">
        <v>707</v>
      </c>
      <c r="D239" s="345" t="s">
        <v>963</v>
      </c>
      <c r="E239" s="331" t="s">
        <v>964</v>
      </c>
      <c r="F239" s="330" t="s">
        <v>950</v>
      </c>
      <c r="G239" s="330" t="s">
        <v>324</v>
      </c>
      <c r="H239" s="332">
        <v>6380</v>
      </c>
      <c r="I239" s="329" t="s">
        <v>494</v>
      </c>
      <c r="J239" s="332">
        <v>30</v>
      </c>
      <c r="K239" s="332">
        <v>1</v>
      </c>
      <c r="L239" s="332">
        <v>159.5</v>
      </c>
      <c r="M239" s="332">
        <v>159.5</v>
      </c>
      <c r="N239" s="332">
        <v>159.5</v>
      </c>
      <c r="O239" s="332">
        <v>159.5</v>
      </c>
      <c r="P239" s="332">
        <v>159.5</v>
      </c>
      <c r="Q239" s="332">
        <v>159.5</v>
      </c>
      <c r="R239" s="332">
        <v>159.5</v>
      </c>
      <c r="S239" s="332">
        <v>159.5</v>
      </c>
      <c r="T239" s="332">
        <v>159.5</v>
      </c>
      <c r="U239" s="332">
        <v>159.5</v>
      </c>
      <c r="V239" s="332">
        <v>159.5</v>
      </c>
      <c r="W239" s="332">
        <v>159.5</v>
      </c>
      <c r="X239" s="332">
        <v>1914</v>
      </c>
      <c r="Y239" s="332">
        <f t="shared" si="60"/>
        <v>1914</v>
      </c>
      <c r="Z239" s="332"/>
      <c r="AA239" s="332"/>
      <c r="AB239" s="332"/>
      <c r="AC239" s="332"/>
      <c r="AD239" s="332"/>
      <c r="AE239" s="332"/>
      <c r="AF239" s="332"/>
      <c r="AG239" s="332"/>
      <c r="AH239" s="332"/>
      <c r="AI239" s="332"/>
      <c r="AJ239" s="332"/>
      <c r="AK239" s="332"/>
      <c r="AL239" s="332"/>
      <c r="AM239" s="332"/>
    </row>
    <row r="240" spans="2:39" s="287" customFormat="1">
      <c r="B240" s="343">
        <v>238</v>
      </c>
      <c r="C240" s="343">
        <v>692</v>
      </c>
      <c r="D240" s="345" t="s">
        <v>965</v>
      </c>
      <c r="E240" s="331" t="s">
        <v>966</v>
      </c>
      <c r="F240" s="330" t="s">
        <v>950</v>
      </c>
      <c r="G240" s="330" t="s">
        <v>324</v>
      </c>
      <c r="H240" s="332">
        <v>3050</v>
      </c>
      <c r="I240" s="329" t="s">
        <v>494</v>
      </c>
      <c r="J240" s="332">
        <v>30</v>
      </c>
      <c r="K240" s="332">
        <v>1</v>
      </c>
      <c r="L240" s="332">
        <v>76.25</v>
      </c>
      <c r="M240" s="332">
        <v>76.25</v>
      </c>
      <c r="N240" s="332">
        <v>76.25</v>
      </c>
      <c r="O240" s="332">
        <v>76.25</v>
      </c>
      <c r="P240" s="332">
        <v>76.25</v>
      </c>
      <c r="Q240" s="332">
        <v>76.25</v>
      </c>
      <c r="R240" s="332">
        <v>76.25</v>
      </c>
      <c r="S240" s="332">
        <v>76.25</v>
      </c>
      <c r="T240" s="332">
        <v>76.25</v>
      </c>
      <c r="U240" s="332">
        <v>76.25</v>
      </c>
      <c r="V240" s="332">
        <v>76.25</v>
      </c>
      <c r="W240" s="332">
        <v>76.25</v>
      </c>
      <c r="X240" s="332">
        <v>915</v>
      </c>
      <c r="Y240" s="332">
        <f t="shared" si="60"/>
        <v>915</v>
      </c>
      <c r="Z240" s="332"/>
      <c r="AA240" s="332"/>
      <c r="AB240" s="332"/>
      <c r="AC240" s="332"/>
      <c r="AD240" s="332"/>
      <c r="AE240" s="332"/>
      <c r="AF240" s="332"/>
      <c r="AG240" s="332"/>
      <c r="AH240" s="332"/>
      <c r="AI240" s="332"/>
      <c r="AJ240" s="332"/>
      <c r="AK240" s="332"/>
      <c r="AL240" s="332"/>
      <c r="AM240" s="332"/>
    </row>
    <row r="241" spans="2:39" s="287" customFormat="1">
      <c r="B241" s="343">
        <v>239</v>
      </c>
      <c r="C241" s="343">
        <v>770</v>
      </c>
      <c r="D241" s="345" t="s">
        <v>967</v>
      </c>
      <c r="E241" s="331" t="s">
        <v>968</v>
      </c>
      <c r="F241" s="330" t="s">
        <v>950</v>
      </c>
      <c r="G241" s="330" t="s">
        <v>361</v>
      </c>
      <c r="H241" s="332">
        <v>3390</v>
      </c>
      <c r="I241" s="329" t="s">
        <v>494</v>
      </c>
      <c r="J241" s="332">
        <v>30</v>
      </c>
      <c r="K241" s="332">
        <v>1</v>
      </c>
      <c r="L241" s="332">
        <v>84.75</v>
      </c>
      <c r="M241" s="332">
        <v>84.75</v>
      </c>
      <c r="N241" s="332">
        <v>84.75</v>
      </c>
      <c r="O241" s="332">
        <v>84.75</v>
      </c>
      <c r="P241" s="332">
        <v>84.75</v>
      </c>
      <c r="Q241" s="332">
        <v>84.75</v>
      </c>
      <c r="R241" s="332">
        <v>84.75</v>
      </c>
      <c r="S241" s="332">
        <v>84.75</v>
      </c>
      <c r="T241" s="332">
        <v>84.75</v>
      </c>
      <c r="U241" s="332">
        <v>84.75</v>
      </c>
      <c r="V241" s="332">
        <v>84.75</v>
      </c>
      <c r="W241" s="332">
        <v>84.75</v>
      </c>
      <c r="X241" s="332">
        <v>1017</v>
      </c>
      <c r="Y241" s="332">
        <f t="shared" si="60"/>
        <v>1017</v>
      </c>
      <c r="Z241" s="332">
        <f t="shared" si="64"/>
        <v>1017</v>
      </c>
      <c r="AA241" s="332"/>
      <c r="AB241" s="332"/>
      <c r="AC241" s="332"/>
      <c r="AD241" s="332"/>
      <c r="AE241" s="332"/>
      <c r="AF241" s="332"/>
      <c r="AG241" s="332"/>
      <c r="AH241" s="332"/>
      <c r="AI241" s="332"/>
      <c r="AJ241" s="332"/>
      <c r="AK241" s="332"/>
      <c r="AL241" s="332"/>
      <c r="AM241" s="332"/>
    </row>
    <row r="242" spans="2:39" s="287" customFormat="1">
      <c r="B242" s="343">
        <v>240</v>
      </c>
      <c r="C242" s="343">
        <v>610</v>
      </c>
      <c r="D242" s="345" t="s">
        <v>969</v>
      </c>
      <c r="E242" s="331" t="s">
        <v>970</v>
      </c>
      <c r="F242" s="330" t="s">
        <v>950</v>
      </c>
      <c r="G242" s="330" t="s">
        <v>6</v>
      </c>
      <c r="H242" s="332">
        <v>2735.2</v>
      </c>
      <c r="I242" s="329" t="s">
        <v>494</v>
      </c>
      <c r="J242" s="332">
        <v>30</v>
      </c>
      <c r="K242" s="332">
        <v>1</v>
      </c>
      <c r="L242" s="332">
        <v>68.38</v>
      </c>
      <c r="M242" s="332">
        <v>68.38</v>
      </c>
      <c r="N242" s="332"/>
      <c r="O242" s="332"/>
      <c r="P242" s="332"/>
      <c r="Q242" s="332"/>
      <c r="R242" s="332"/>
      <c r="S242" s="332"/>
      <c r="T242" s="332"/>
      <c r="U242" s="332"/>
      <c r="V242" s="332"/>
      <c r="W242" s="332"/>
      <c r="X242" s="332">
        <v>136.76</v>
      </c>
      <c r="Y242" s="332"/>
      <c r="Z242" s="332"/>
      <c r="AA242" s="332"/>
      <c r="AB242" s="332"/>
      <c r="AC242" s="332"/>
      <c r="AD242" s="332"/>
      <c r="AE242" s="332"/>
      <c r="AF242" s="332"/>
      <c r="AG242" s="332"/>
      <c r="AH242" s="332"/>
      <c r="AI242" s="332"/>
      <c r="AJ242" s="332"/>
      <c r="AK242" s="332"/>
      <c r="AL242" s="332"/>
      <c r="AM242" s="332"/>
    </row>
    <row r="243" spans="2:39" s="287" customFormat="1">
      <c r="B243" s="343">
        <v>241</v>
      </c>
      <c r="C243" s="343">
        <v>777</v>
      </c>
      <c r="D243" s="345" t="s">
        <v>971</v>
      </c>
      <c r="E243" s="331" t="s">
        <v>972</v>
      </c>
      <c r="F243" s="330" t="s">
        <v>950</v>
      </c>
      <c r="G243" s="330" t="s">
        <v>361</v>
      </c>
      <c r="H243" s="332">
        <v>4360</v>
      </c>
      <c r="I243" s="329" t="s">
        <v>494</v>
      </c>
      <c r="J243" s="332">
        <v>30</v>
      </c>
      <c r="K243" s="332">
        <v>1</v>
      </c>
      <c r="L243" s="332">
        <v>109</v>
      </c>
      <c r="M243" s="332">
        <v>109</v>
      </c>
      <c r="N243" s="332">
        <v>109</v>
      </c>
      <c r="O243" s="332">
        <v>109</v>
      </c>
      <c r="P243" s="332">
        <v>109</v>
      </c>
      <c r="Q243" s="332">
        <v>109</v>
      </c>
      <c r="R243" s="332">
        <v>109</v>
      </c>
      <c r="S243" s="332">
        <v>109</v>
      </c>
      <c r="T243" s="332">
        <v>109</v>
      </c>
      <c r="U243" s="332">
        <v>109</v>
      </c>
      <c r="V243" s="332">
        <v>109</v>
      </c>
      <c r="W243" s="332">
        <v>109</v>
      </c>
      <c r="X243" s="332">
        <v>1308</v>
      </c>
      <c r="Y243" s="332">
        <f t="shared" si="60"/>
        <v>1308</v>
      </c>
      <c r="Z243" s="332">
        <f t="shared" si="64"/>
        <v>1308</v>
      </c>
      <c r="AA243" s="332"/>
      <c r="AB243" s="332"/>
      <c r="AC243" s="332"/>
      <c r="AD243" s="332"/>
      <c r="AE243" s="332"/>
      <c r="AF243" s="332"/>
      <c r="AG243" s="332"/>
      <c r="AH243" s="332"/>
      <c r="AI243" s="332"/>
      <c r="AJ243" s="332"/>
      <c r="AK243" s="332"/>
      <c r="AL243" s="332"/>
      <c r="AM243" s="332"/>
    </row>
    <row r="244" spans="2:39" s="287" customFormat="1">
      <c r="B244" s="343">
        <v>242</v>
      </c>
      <c r="C244" s="343">
        <v>778</v>
      </c>
      <c r="D244" s="345" t="s">
        <v>973</v>
      </c>
      <c r="E244" s="331" t="s">
        <v>974</v>
      </c>
      <c r="F244" s="330" t="s">
        <v>950</v>
      </c>
      <c r="G244" s="330" t="s">
        <v>361</v>
      </c>
      <c r="H244" s="332">
        <v>2980</v>
      </c>
      <c r="I244" s="329" t="s">
        <v>494</v>
      </c>
      <c r="J244" s="332">
        <v>30</v>
      </c>
      <c r="K244" s="332">
        <v>1</v>
      </c>
      <c r="L244" s="332">
        <v>74.5</v>
      </c>
      <c r="M244" s="332">
        <v>74.5</v>
      </c>
      <c r="N244" s="332">
        <v>74.5</v>
      </c>
      <c r="O244" s="332">
        <v>74.5</v>
      </c>
      <c r="P244" s="332">
        <v>74.5</v>
      </c>
      <c r="Q244" s="332">
        <v>74.5</v>
      </c>
      <c r="R244" s="332">
        <v>74.5</v>
      </c>
      <c r="S244" s="332">
        <v>74.5</v>
      </c>
      <c r="T244" s="332">
        <v>74.5</v>
      </c>
      <c r="U244" s="332">
        <v>74.5</v>
      </c>
      <c r="V244" s="332">
        <v>74.5</v>
      </c>
      <c r="W244" s="332">
        <v>74.5</v>
      </c>
      <c r="X244" s="332">
        <v>894</v>
      </c>
      <c r="Y244" s="332">
        <f t="shared" si="60"/>
        <v>894</v>
      </c>
      <c r="Z244" s="332">
        <f t="shared" si="64"/>
        <v>894</v>
      </c>
      <c r="AA244" s="332"/>
      <c r="AB244" s="332"/>
      <c r="AC244" s="332"/>
      <c r="AD244" s="332"/>
      <c r="AE244" s="332"/>
      <c r="AF244" s="332"/>
      <c r="AG244" s="332"/>
      <c r="AH244" s="332"/>
      <c r="AI244" s="332"/>
      <c r="AJ244" s="332"/>
      <c r="AK244" s="332"/>
      <c r="AL244" s="332"/>
      <c r="AM244" s="332"/>
    </row>
    <row r="245" spans="2:39" s="287" customFormat="1">
      <c r="B245" s="343">
        <v>243</v>
      </c>
      <c r="C245" s="343">
        <v>744</v>
      </c>
      <c r="D245" s="345" t="s">
        <v>975</v>
      </c>
      <c r="E245" s="331" t="s">
        <v>976</v>
      </c>
      <c r="F245" s="330" t="s">
        <v>950</v>
      </c>
      <c r="G245" s="330" t="s">
        <v>324</v>
      </c>
      <c r="H245" s="332">
        <v>2541.36</v>
      </c>
      <c r="I245" s="329" t="s">
        <v>494</v>
      </c>
      <c r="J245" s="332">
        <v>30</v>
      </c>
      <c r="K245" s="332">
        <v>1</v>
      </c>
      <c r="L245" s="332">
        <v>63.53</v>
      </c>
      <c r="M245" s="332">
        <v>63.54</v>
      </c>
      <c r="N245" s="332">
        <v>63.53</v>
      </c>
      <c r="O245" s="332">
        <v>63.54</v>
      </c>
      <c r="P245" s="332">
        <v>63.53</v>
      </c>
      <c r="Q245" s="332">
        <v>63.54</v>
      </c>
      <c r="R245" s="332">
        <v>63.53</v>
      </c>
      <c r="S245" s="332">
        <v>63.53</v>
      </c>
      <c r="T245" s="332">
        <v>63.54</v>
      </c>
      <c r="U245" s="332">
        <v>63.53</v>
      </c>
      <c r="V245" s="332">
        <v>63.54</v>
      </c>
      <c r="W245" s="332">
        <v>63.53</v>
      </c>
      <c r="X245" s="332">
        <v>762.41</v>
      </c>
      <c r="Y245" s="332">
        <f t="shared" si="60"/>
        <v>762.41</v>
      </c>
      <c r="Z245" s="332"/>
      <c r="AA245" s="332"/>
      <c r="AB245" s="332"/>
      <c r="AC245" s="332"/>
      <c r="AD245" s="332"/>
      <c r="AE245" s="332"/>
      <c r="AF245" s="332"/>
      <c r="AG245" s="332"/>
      <c r="AH245" s="332"/>
      <c r="AI245" s="332"/>
      <c r="AJ245" s="332"/>
      <c r="AK245" s="332"/>
      <c r="AL245" s="332"/>
      <c r="AM245" s="332"/>
    </row>
    <row r="246" spans="2:39" s="287" customFormat="1">
      <c r="B246" s="343">
        <v>244</v>
      </c>
      <c r="C246" s="343">
        <v>779</v>
      </c>
      <c r="D246" s="345" t="s">
        <v>977</v>
      </c>
      <c r="E246" s="331" t="s">
        <v>978</v>
      </c>
      <c r="F246" s="330" t="s">
        <v>950</v>
      </c>
      <c r="G246" s="330" t="s">
        <v>361</v>
      </c>
      <c r="H246" s="332">
        <v>49600</v>
      </c>
      <c r="I246" s="329" t="s">
        <v>494</v>
      </c>
      <c r="J246" s="332">
        <v>30</v>
      </c>
      <c r="K246" s="332">
        <v>1</v>
      </c>
      <c r="L246" s="332">
        <v>1240</v>
      </c>
      <c r="M246" s="332">
        <v>1240</v>
      </c>
      <c r="N246" s="332">
        <v>1240</v>
      </c>
      <c r="O246" s="332">
        <v>1240</v>
      </c>
      <c r="P246" s="332">
        <v>1240</v>
      </c>
      <c r="Q246" s="332">
        <v>1240</v>
      </c>
      <c r="R246" s="332">
        <v>1240</v>
      </c>
      <c r="S246" s="332">
        <v>1240</v>
      </c>
      <c r="T246" s="332">
        <v>1240</v>
      </c>
      <c r="U246" s="332">
        <v>1240</v>
      </c>
      <c r="V246" s="332">
        <v>1240</v>
      </c>
      <c r="W246" s="332">
        <v>1240</v>
      </c>
      <c r="X246" s="332">
        <v>14880</v>
      </c>
      <c r="Y246" s="332">
        <f t="shared" si="60"/>
        <v>14880</v>
      </c>
      <c r="Z246" s="332">
        <f t="shared" si="64"/>
        <v>14880</v>
      </c>
      <c r="AA246" s="332"/>
      <c r="AB246" s="332"/>
      <c r="AC246" s="332"/>
      <c r="AD246" s="332"/>
      <c r="AE246" s="332"/>
      <c r="AF246" s="332"/>
      <c r="AG246" s="332"/>
      <c r="AH246" s="332"/>
      <c r="AI246" s="332"/>
      <c r="AJ246" s="332"/>
      <c r="AK246" s="332"/>
      <c r="AL246" s="332"/>
      <c r="AM246" s="332"/>
    </row>
    <row r="247" spans="2:39" s="287" customFormat="1">
      <c r="B247" s="343">
        <v>245</v>
      </c>
      <c r="C247" s="343">
        <v>526</v>
      </c>
      <c r="D247" s="345" t="s">
        <v>979</v>
      </c>
      <c r="E247" s="331" t="s">
        <v>980</v>
      </c>
      <c r="F247" s="330" t="s">
        <v>981</v>
      </c>
      <c r="G247" s="330" t="s">
        <v>324</v>
      </c>
      <c r="H247" s="332">
        <v>3000</v>
      </c>
      <c r="I247" s="329" t="s">
        <v>494</v>
      </c>
      <c r="J247" s="332">
        <v>14</v>
      </c>
      <c r="K247" s="332">
        <v>1</v>
      </c>
      <c r="L247" s="332">
        <v>35</v>
      </c>
      <c r="M247" s="332">
        <v>35</v>
      </c>
      <c r="N247" s="332">
        <v>35</v>
      </c>
      <c r="O247" s="332">
        <v>35</v>
      </c>
      <c r="P247" s="332">
        <v>35</v>
      </c>
      <c r="Q247" s="332">
        <v>35</v>
      </c>
      <c r="R247" s="332">
        <v>35</v>
      </c>
      <c r="S247" s="332">
        <v>35</v>
      </c>
      <c r="T247" s="332">
        <v>35</v>
      </c>
      <c r="U247" s="332">
        <v>35</v>
      </c>
      <c r="V247" s="332">
        <v>35</v>
      </c>
      <c r="W247" s="332">
        <v>35</v>
      </c>
      <c r="X247" s="332">
        <v>420</v>
      </c>
      <c r="Y247" s="332">
        <f t="shared" si="60"/>
        <v>420</v>
      </c>
      <c r="Z247" s="332"/>
      <c r="AA247" s="332"/>
      <c r="AB247" s="332"/>
      <c r="AC247" s="332"/>
      <c r="AD247" s="332"/>
      <c r="AE247" s="332"/>
      <c r="AF247" s="332"/>
      <c r="AG247" s="332"/>
      <c r="AH247" s="332"/>
      <c r="AI247" s="332"/>
      <c r="AJ247" s="332"/>
      <c r="AK247" s="332"/>
      <c r="AL247" s="332"/>
      <c r="AM247" s="332"/>
    </row>
    <row r="248" spans="2:39" s="287" customFormat="1">
      <c r="B248" s="343">
        <v>246</v>
      </c>
      <c r="C248" s="343">
        <v>702</v>
      </c>
      <c r="D248" s="345" t="s">
        <v>982</v>
      </c>
      <c r="E248" s="331" t="s">
        <v>983</v>
      </c>
      <c r="F248" s="330" t="s">
        <v>981</v>
      </c>
      <c r="G248" s="330" t="s">
        <v>362</v>
      </c>
      <c r="H248" s="332">
        <v>11815</v>
      </c>
      <c r="I248" s="329" t="s">
        <v>494</v>
      </c>
      <c r="J248" s="332">
        <v>20</v>
      </c>
      <c r="K248" s="332">
        <v>1</v>
      </c>
      <c r="L248" s="332">
        <v>196.92</v>
      </c>
      <c r="M248" s="332">
        <v>196.91</v>
      </c>
      <c r="N248" s="332">
        <v>196.92</v>
      </c>
      <c r="O248" s="332">
        <v>196.92</v>
      </c>
      <c r="P248" s="332">
        <v>196.91</v>
      </c>
      <c r="Q248" s="332">
        <v>196.92</v>
      </c>
      <c r="R248" s="332">
        <v>196.92</v>
      </c>
      <c r="S248" s="332">
        <v>196.91</v>
      </c>
      <c r="T248" s="332">
        <v>196.92</v>
      </c>
      <c r="U248" s="332">
        <v>196.92</v>
      </c>
      <c r="V248" s="332">
        <v>196.91</v>
      </c>
      <c r="W248" s="332">
        <v>196.92</v>
      </c>
      <c r="X248" s="332">
        <v>2363</v>
      </c>
      <c r="Y248" s="332">
        <f t="shared" si="60"/>
        <v>2363</v>
      </c>
      <c r="Z248" s="332">
        <f t="shared" ref="Z248:AI261" si="65">Y248</f>
        <v>2363</v>
      </c>
      <c r="AA248" s="332">
        <f t="shared" si="65"/>
        <v>2363</v>
      </c>
      <c r="AB248" s="332"/>
      <c r="AC248" s="332"/>
      <c r="AD248" s="332"/>
      <c r="AE248" s="332"/>
      <c r="AF248" s="332"/>
      <c r="AG248" s="332"/>
      <c r="AH248" s="332"/>
      <c r="AI248" s="332"/>
      <c r="AJ248" s="332"/>
      <c r="AK248" s="332"/>
      <c r="AL248" s="332"/>
      <c r="AM248" s="332"/>
    </row>
    <row r="249" spans="2:39" s="287" customFormat="1">
      <c r="B249" s="343">
        <v>247</v>
      </c>
      <c r="C249" s="343">
        <v>606</v>
      </c>
      <c r="D249" s="345" t="s">
        <v>984</v>
      </c>
      <c r="E249" s="331" t="s">
        <v>985</v>
      </c>
      <c r="F249" s="330" t="s">
        <v>981</v>
      </c>
      <c r="G249" s="330" t="s">
        <v>362</v>
      </c>
      <c r="H249" s="332">
        <v>5600</v>
      </c>
      <c r="I249" s="329" t="s">
        <v>494</v>
      </c>
      <c r="J249" s="332">
        <v>14</v>
      </c>
      <c r="K249" s="332">
        <v>1</v>
      </c>
      <c r="L249" s="332">
        <v>65.33</v>
      </c>
      <c r="M249" s="332">
        <v>65.34</v>
      </c>
      <c r="N249" s="332">
        <v>65.33</v>
      </c>
      <c r="O249" s="332">
        <v>65.33</v>
      </c>
      <c r="P249" s="332">
        <v>65.34</v>
      </c>
      <c r="Q249" s="332">
        <v>65.33</v>
      </c>
      <c r="R249" s="332">
        <v>65.33</v>
      </c>
      <c r="S249" s="332">
        <v>65.34</v>
      </c>
      <c r="T249" s="332">
        <v>65.33</v>
      </c>
      <c r="U249" s="332">
        <v>65.33</v>
      </c>
      <c r="V249" s="332">
        <v>65.34</v>
      </c>
      <c r="W249" s="332">
        <v>65.33</v>
      </c>
      <c r="X249" s="332">
        <v>784</v>
      </c>
      <c r="Y249" s="332">
        <f t="shared" si="60"/>
        <v>784</v>
      </c>
      <c r="Z249" s="332">
        <f t="shared" si="65"/>
        <v>784</v>
      </c>
      <c r="AA249" s="332">
        <f t="shared" si="65"/>
        <v>784</v>
      </c>
      <c r="AB249" s="332"/>
      <c r="AC249" s="332"/>
      <c r="AD249" s="332"/>
      <c r="AE249" s="332"/>
      <c r="AF249" s="332"/>
      <c r="AG249" s="332"/>
      <c r="AH249" s="332"/>
      <c r="AI249" s="332"/>
      <c r="AJ249" s="332"/>
      <c r="AK249" s="332"/>
      <c r="AL249" s="332"/>
      <c r="AM249" s="332"/>
    </row>
    <row r="250" spans="2:39" s="287" customFormat="1">
      <c r="B250" s="343">
        <v>248</v>
      </c>
      <c r="C250" s="343">
        <v>619</v>
      </c>
      <c r="D250" s="345" t="s">
        <v>986</v>
      </c>
      <c r="E250" s="331" t="s">
        <v>987</v>
      </c>
      <c r="F250" s="330" t="s">
        <v>988</v>
      </c>
      <c r="G250" s="330" t="s">
        <v>324</v>
      </c>
      <c r="H250" s="332">
        <v>157134.35</v>
      </c>
      <c r="I250" s="329" t="s">
        <v>494</v>
      </c>
      <c r="J250" s="332">
        <v>20</v>
      </c>
      <c r="K250" s="332">
        <v>1</v>
      </c>
      <c r="L250" s="332">
        <v>2618.91</v>
      </c>
      <c r="M250" s="332">
        <v>2618.9</v>
      </c>
      <c r="N250" s="332">
        <v>2618.91</v>
      </c>
      <c r="O250" s="332">
        <v>2618.9</v>
      </c>
      <c r="P250" s="332">
        <v>2618.91</v>
      </c>
      <c r="Q250" s="332">
        <v>2618.91</v>
      </c>
      <c r="R250" s="332">
        <v>2618.9</v>
      </c>
      <c r="S250" s="332">
        <v>2618.91</v>
      </c>
      <c r="T250" s="332">
        <v>2618.9</v>
      </c>
      <c r="U250" s="332">
        <v>2618.91</v>
      </c>
      <c r="V250" s="332">
        <v>2618.9</v>
      </c>
      <c r="W250" s="332">
        <v>2618.91</v>
      </c>
      <c r="X250" s="332">
        <v>31426.87</v>
      </c>
      <c r="Y250" s="332">
        <f t="shared" si="60"/>
        <v>31426.87</v>
      </c>
      <c r="Z250" s="332"/>
      <c r="AA250" s="332"/>
      <c r="AB250" s="332"/>
      <c r="AC250" s="332"/>
      <c r="AD250" s="332"/>
      <c r="AE250" s="332"/>
      <c r="AF250" s="332"/>
      <c r="AG250" s="332"/>
      <c r="AH250" s="332"/>
      <c r="AI250" s="332"/>
      <c r="AJ250" s="332"/>
      <c r="AK250" s="332"/>
      <c r="AL250" s="332"/>
      <c r="AM250" s="332"/>
    </row>
    <row r="251" spans="2:39" s="287" customFormat="1">
      <c r="B251" s="343">
        <v>249</v>
      </c>
      <c r="C251" s="343">
        <v>763</v>
      </c>
      <c r="D251" s="345" t="s">
        <v>989</v>
      </c>
      <c r="E251" s="331" t="s">
        <v>990</v>
      </c>
      <c r="F251" s="330" t="s">
        <v>991</v>
      </c>
      <c r="G251" s="330"/>
      <c r="H251" s="332">
        <v>1600116.15</v>
      </c>
      <c r="I251" s="329" t="s">
        <v>494</v>
      </c>
      <c r="J251" s="332">
        <v>2.5</v>
      </c>
      <c r="K251" s="332">
        <v>1</v>
      </c>
      <c r="L251" s="332">
        <v>3333.58</v>
      </c>
      <c r="M251" s="332">
        <v>3333.57</v>
      </c>
      <c r="N251" s="332">
        <v>3333.58</v>
      </c>
      <c r="O251" s="332">
        <v>3333.57</v>
      </c>
      <c r="P251" s="332">
        <v>3333.58</v>
      </c>
      <c r="Q251" s="332">
        <v>3333.57</v>
      </c>
      <c r="R251" s="332">
        <v>3333.58</v>
      </c>
      <c r="S251" s="332">
        <v>3333.57</v>
      </c>
      <c r="T251" s="332">
        <v>3333.58</v>
      </c>
      <c r="U251" s="332">
        <v>3333.57</v>
      </c>
      <c r="V251" s="332">
        <v>3333.58</v>
      </c>
      <c r="W251" s="332">
        <v>3333.57</v>
      </c>
      <c r="X251" s="332">
        <v>40002.9</v>
      </c>
      <c r="Y251" s="332">
        <f t="shared" si="60"/>
        <v>40002.9</v>
      </c>
      <c r="Z251" s="332">
        <f t="shared" si="65"/>
        <v>40002.9</v>
      </c>
      <c r="AA251" s="332">
        <f t="shared" si="65"/>
        <v>40002.9</v>
      </c>
      <c r="AB251" s="332">
        <f t="shared" si="65"/>
        <v>40002.9</v>
      </c>
      <c r="AC251" s="332">
        <f t="shared" si="65"/>
        <v>40002.9</v>
      </c>
      <c r="AD251" s="332">
        <f t="shared" si="65"/>
        <v>40002.9</v>
      </c>
      <c r="AE251" s="332">
        <f t="shared" si="65"/>
        <v>40002.9</v>
      </c>
      <c r="AF251" s="332">
        <f t="shared" si="65"/>
        <v>40002.9</v>
      </c>
      <c r="AG251" s="332">
        <f t="shared" si="65"/>
        <v>40002.9</v>
      </c>
      <c r="AH251" s="332">
        <f t="shared" si="65"/>
        <v>40002.9</v>
      </c>
      <c r="AI251" s="332">
        <f t="shared" si="65"/>
        <v>40002.9</v>
      </c>
      <c r="AJ251" s="332">
        <f t="shared" ref="AJ251" si="66">AI251</f>
        <v>40002.9</v>
      </c>
      <c r="AK251" s="332">
        <f t="shared" ref="AK251" si="67">AJ251</f>
        <v>40002.9</v>
      </c>
      <c r="AL251" s="332">
        <f t="shared" ref="AL251:AM251" si="68">AK251</f>
        <v>40002.9</v>
      </c>
      <c r="AM251" s="332">
        <f t="shared" si="68"/>
        <v>40002.9</v>
      </c>
    </row>
    <row r="252" spans="2:39" s="287" customFormat="1">
      <c r="B252" s="343">
        <v>250</v>
      </c>
      <c r="C252" s="343">
        <v>768</v>
      </c>
      <c r="D252" s="345" t="s">
        <v>992</v>
      </c>
      <c r="E252" s="331" t="s">
        <v>993</v>
      </c>
      <c r="F252" s="330" t="s">
        <v>994</v>
      </c>
      <c r="G252" s="330"/>
      <c r="H252" s="332">
        <v>135754.45000000001</v>
      </c>
      <c r="I252" s="329" t="s">
        <v>494</v>
      </c>
      <c r="J252" s="332">
        <v>4.5</v>
      </c>
      <c r="K252" s="332">
        <v>1</v>
      </c>
      <c r="L252" s="332">
        <v>509.08</v>
      </c>
      <c r="M252" s="332">
        <v>509.08</v>
      </c>
      <c r="N252" s="332">
        <v>509.08</v>
      </c>
      <c r="O252" s="332">
        <v>509.08</v>
      </c>
      <c r="P252" s="332">
        <v>509.08</v>
      </c>
      <c r="Q252" s="332">
        <v>509.08</v>
      </c>
      <c r="R252" s="332">
        <v>509.07</v>
      </c>
      <c r="S252" s="332">
        <v>509.08</v>
      </c>
      <c r="T252" s="332">
        <v>509.08</v>
      </c>
      <c r="U252" s="332">
        <v>509.08</v>
      </c>
      <c r="V252" s="332">
        <v>509.08</v>
      </c>
      <c r="W252" s="332">
        <v>509.08</v>
      </c>
      <c r="X252" s="332">
        <v>6108.95</v>
      </c>
      <c r="Y252" s="332">
        <f t="shared" si="60"/>
        <v>6108.95</v>
      </c>
      <c r="Z252" s="332">
        <f t="shared" si="65"/>
        <v>6108.95</v>
      </c>
      <c r="AA252" s="332">
        <f t="shared" si="65"/>
        <v>6108.95</v>
      </c>
      <c r="AB252" s="332">
        <f t="shared" si="65"/>
        <v>6108.95</v>
      </c>
      <c r="AC252" s="332">
        <f t="shared" si="65"/>
        <v>6108.95</v>
      </c>
      <c r="AD252" s="332">
        <f t="shared" si="65"/>
        <v>6108.95</v>
      </c>
      <c r="AE252" s="332">
        <f t="shared" si="65"/>
        <v>6108.95</v>
      </c>
      <c r="AF252" s="332">
        <f t="shared" si="65"/>
        <v>6108.95</v>
      </c>
      <c r="AG252" s="332">
        <f t="shared" si="65"/>
        <v>6108.95</v>
      </c>
      <c r="AH252" s="332">
        <f t="shared" si="65"/>
        <v>6108.95</v>
      </c>
      <c r="AI252" s="332">
        <f t="shared" si="65"/>
        <v>6108.95</v>
      </c>
      <c r="AJ252" s="332">
        <f t="shared" ref="AJ252:AJ253" si="69">AI252</f>
        <v>6108.95</v>
      </c>
      <c r="AK252" s="332">
        <f t="shared" ref="AK252:AK253" si="70">AJ252</f>
        <v>6108.95</v>
      </c>
      <c r="AL252" s="332">
        <f t="shared" ref="AL252:AM253" si="71">AK252</f>
        <v>6108.95</v>
      </c>
      <c r="AM252" s="332">
        <f t="shared" si="71"/>
        <v>6108.95</v>
      </c>
    </row>
    <row r="253" spans="2:39" s="287" customFormat="1">
      <c r="B253" s="343">
        <v>251</v>
      </c>
      <c r="C253" s="343">
        <v>767</v>
      </c>
      <c r="D253" s="345" t="s">
        <v>995</v>
      </c>
      <c r="E253" s="331" t="s">
        <v>996</v>
      </c>
      <c r="F253" s="330" t="s">
        <v>994</v>
      </c>
      <c r="G253" s="330"/>
      <c r="H253" s="332">
        <v>213725.45</v>
      </c>
      <c r="I253" s="329" t="s">
        <v>494</v>
      </c>
      <c r="J253" s="332">
        <v>4.5</v>
      </c>
      <c r="K253" s="332">
        <v>1</v>
      </c>
      <c r="L253" s="332">
        <v>801.47</v>
      </c>
      <c r="M253" s="332">
        <v>801.47</v>
      </c>
      <c r="N253" s="332">
        <v>801.47</v>
      </c>
      <c r="O253" s="332">
        <v>801.47</v>
      </c>
      <c r="P253" s="332">
        <v>801.47</v>
      </c>
      <c r="Q253" s="332">
        <v>801.48</v>
      </c>
      <c r="R253" s="332">
        <v>801.47</v>
      </c>
      <c r="S253" s="332">
        <v>801.47</v>
      </c>
      <c r="T253" s="332">
        <v>801.47</v>
      </c>
      <c r="U253" s="332">
        <v>801.47</v>
      </c>
      <c r="V253" s="332">
        <v>801.47</v>
      </c>
      <c r="W253" s="332">
        <v>801.47</v>
      </c>
      <c r="X253" s="332">
        <v>9617.65</v>
      </c>
      <c r="Y253" s="332">
        <f t="shared" si="60"/>
        <v>9617.65</v>
      </c>
      <c r="Z253" s="332">
        <f t="shared" si="65"/>
        <v>9617.65</v>
      </c>
      <c r="AA253" s="332">
        <f t="shared" si="65"/>
        <v>9617.65</v>
      </c>
      <c r="AB253" s="332">
        <f t="shared" si="65"/>
        <v>9617.65</v>
      </c>
      <c r="AC253" s="332">
        <f t="shared" si="65"/>
        <v>9617.65</v>
      </c>
      <c r="AD253" s="332">
        <f t="shared" si="65"/>
        <v>9617.65</v>
      </c>
      <c r="AE253" s="332">
        <f t="shared" si="65"/>
        <v>9617.65</v>
      </c>
      <c r="AF253" s="332">
        <f t="shared" si="65"/>
        <v>9617.65</v>
      </c>
      <c r="AG253" s="332">
        <f t="shared" si="65"/>
        <v>9617.65</v>
      </c>
      <c r="AH253" s="332">
        <f t="shared" si="65"/>
        <v>9617.65</v>
      </c>
      <c r="AI253" s="332">
        <f t="shared" si="65"/>
        <v>9617.65</v>
      </c>
      <c r="AJ253" s="332">
        <f t="shared" si="69"/>
        <v>9617.65</v>
      </c>
      <c r="AK253" s="332">
        <f t="shared" si="70"/>
        <v>9617.65</v>
      </c>
      <c r="AL253" s="332">
        <f t="shared" si="71"/>
        <v>9617.65</v>
      </c>
      <c r="AM253" s="332">
        <f t="shared" si="71"/>
        <v>9617.65</v>
      </c>
    </row>
    <row r="254" spans="2:39" s="287" customFormat="1">
      <c r="B254" s="343">
        <v>252</v>
      </c>
      <c r="C254" s="343">
        <v>769</v>
      </c>
      <c r="D254" s="345" t="s">
        <v>997</v>
      </c>
      <c r="E254" s="331" t="s">
        <v>998</v>
      </c>
      <c r="F254" s="330" t="s">
        <v>999</v>
      </c>
      <c r="G254" s="330" t="s">
        <v>365</v>
      </c>
      <c r="H254" s="332">
        <v>135754.46</v>
      </c>
      <c r="I254" s="329" t="s">
        <v>494</v>
      </c>
      <c r="J254" s="332">
        <v>14</v>
      </c>
      <c r="K254" s="332">
        <v>1</v>
      </c>
      <c r="L254" s="332">
        <v>1583.8</v>
      </c>
      <c r="M254" s="332">
        <v>1583.8</v>
      </c>
      <c r="N254" s="332">
        <v>1583.81</v>
      </c>
      <c r="O254" s="332">
        <v>1583.8</v>
      </c>
      <c r="P254" s="332">
        <v>1583.8</v>
      </c>
      <c r="Q254" s="332">
        <v>1583.8</v>
      </c>
      <c r="R254" s="332">
        <v>1583.8</v>
      </c>
      <c r="S254" s="332">
        <v>1583.8</v>
      </c>
      <c r="T254" s="332">
        <v>1583.81</v>
      </c>
      <c r="U254" s="332">
        <v>1583.8</v>
      </c>
      <c r="V254" s="332">
        <v>1583.8</v>
      </c>
      <c r="W254" s="332">
        <v>1583.8</v>
      </c>
      <c r="X254" s="332">
        <v>19005.62</v>
      </c>
      <c r="Y254" s="332">
        <f t="shared" si="60"/>
        <v>19005.62</v>
      </c>
      <c r="Z254" s="332">
        <f t="shared" si="65"/>
        <v>19005.62</v>
      </c>
      <c r="AA254" s="332">
        <f t="shared" si="65"/>
        <v>19005.62</v>
      </c>
      <c r="AB254" s="332">
        <f t="shared" si="65"/>
        <v>19005.62</v>
      </c>
      <c r="AC254" s="332">
        <f t="shared" si="65"/>
        <v>19005.62</v>
      </c>
      <c r="AD254" s="332">
        <f t="shared" si="65"/>
        <v>19005.62</v>
      </c>
      <c r="AE254" s="332"/>
      <c r="AF254" s="332"/>
      <c r="AG254" s="332"/>
      <c r="AH254" s="332"/>
      <c r="AI254" s="332"/>
      <c r="AJ254" s="332"/>
      <c r="AK254" s="332"/>
      <c r="AL254" s="332"/>
      <c r="AM254" s="332"/>
    </row>
    <row r="255" spans="2:39" s="287" customFormat="1">
      <c r="B255" s="343">
        <v>253</v>
      </c>
      <c r="C255" s="343">
        <v>764</v>
      </c>
      <c r="D255" s="345" t="s">
        <v>1000</v>
      </c>
      <c r="E255" s="331" t="s">
        <v>1001</v>
      </c>
      <c r="F255" s="330" t="s">
        <v>999</v>
      </c>
      <c r="G255" s="330" t="s">
        <v>363</v>
      </c>
      <c r="H255" s="332">
        <v>564594.94999999995</v>
      </c>
      <c r="I255" s="329" t="s">
        <v>494</v>
      </c>
      <c r="J255" s="332">
        <v>18</v>
      </c>
      <c r="K255" s="332">
        <v>1</v>
      </c>
      <c r="L255" s="332">
        <v>8468.92</v>
      </c>
      <c r="M255" s="332">
        <v>8468.93</v>
      </c>
      <c r="N255" s="332">
        <v>8468.92</v>
      </c>
      <c r="O255" s="332">
        <v>8468.93</v>
      </c>
      <c r="P255" s="332">
        <v>8468.92</v>
      </c>
      <c r="Q255" s="332">
        <v>8468.93</v>
      </c>
      <c r="R255" s="332">
        <v>8468.92</v>
      </c>
      <c r="S255" s="332">
        <v>8468.92</v>
      </c>
      <c r="T255" s="332">
        <v>8468.93</v>
      </c>
      <c r="U255" s="332">
        <v>8468.92</v>
      </c>
      <c r="V255" s="332">
        <v>8468.93</v>
      </c>
      <c r="W255" s="332">
        <v>8468.92</v>
      </c>
      <c r="X255" s="332">
        <v>101627.09</v>
      </c>
      <c r="Y255" s="332">
        <f t="shared" si="60"/>
        <v>101627.09</v>
      </c>
      <c r="Z255" s="332">
        <f t="shared" si="65"/>
        <v>101627.09</v>
      </c>
      <c r="AA255" s="332">
        <f t="shared" si="65"/>
        <v>101627.09</v>
      </c>
      <c r="AB255" s="332">
        <f t="shared" si="65"/>
        <v>101627.09</v>
      </c>
      <c r="AC255" s="332"/>
      <c r="AD255" s="332"/>
      <c r="AE255" s="332"/>
      <c r="AF255" s="332"/>
      <c r="AG255" s="332"/>
      <c r="AH255" s="332"/>
      <c r="AI255" s="332"/>
      <c r="AJ255" s="332"/>
      <c r="AK255" s="332"/>
      <c r="AL255" s="332"/>
      <c r="AM255" s="332"/>
    </row>
    <row r="256" spans="2:39" s="287" customFormat="1">
      <c r="B256" s="343">
        <v>254</v>
      </c>
      <c r="C256" s="343">
        <v>765</v>
      </c>
      <c r="D256" s="345" t="s">
        <v>1002</v>
      </c>
      <c r="E256" s="331" t="s">
        <v>1003</v>
      </c>
      <c r="F256" s="330" t="s">
        <v>1004</v>
      </c>
      <c r="G256" s="330" t="s">
        <v>365</v>
      </c>
      <c r="H256" s="332">
        <v>993435.45</v>
      </c>
      <c r="I256" s="329" t="s">
        <v>494</v>
      </c>
      <c r="J256" s="332">
        <v>14</v>
      </c>
      <c r="K256" s="332">
        <v>1</v>
      </c>
      <c r="L256" s="332">
        <v>11590.08</v>
      </c>
      <c r="M256" s="332">
        <v>11590.08</v>
      </c>
      <c r="N256" s="332">
        <v>11590.08</v>
      </c>
      <c r="O256" s="332">
        <v>11590.08</v>
      </c>
      <c r="P256" s="332">
        <v>11590.08</v>
      </c>
      <c r="Q256" s="332">
        <v>11590.08</v>
      </c>
      <c r="R256" s="332">
        <v>11590.08</v>
      </c>
      <c r="S256" s="332">
        <v>11590.08</v>
      </c>
      <c r="T256" s="332">
        <v>11590.08</v>
      </c>
      <c r="U256" s="332">
        <v>11590.08</v>
      </c>
      <c r="V256" s="332">
        <v>11590.08</v>
      </c>
      <c r="W256" s="332">
        <v>11590.08</v>
      </c>
      <c r="X256" s="332">
        <v>139080.95999999999</v>
      </c>
      <c r="Y256" s="332">
        <f t="shared" si="60"/>
        <v>139080.95999999999</v>
      </c>
      <c r="Z256" s="332">
        <f t="shared" si="65"/>
        <v>139080.95999999999</v>
      </c>
      <c r="AA256" s="332">
        <f t="shared" si="65"/>
        <v>139080.95999999999</v>
      </c>
      <c r="AB256" s="332">
        <f t="shared" si="65"/>
        <v>139080.95999999999</v>
      </c>
      <c r="AC256" s="332">
        <f t="shared" si="65"/>
        <v>139080.95999999999</v>
      </c>
      <c r="AD256" s="332">
        <f t="shared" si="65"/>
        <v>139080.95999999999</v>
      </c>
      <c r="AE256" s="332"/>
      <c r="AF256" s="332"/>
      <c r="AG256" s="332"/>
      <c r="AH256" s="332"/>
      <c r="AI256" s="332"/>
      <c r="AJ256" s="332"/>
      <c r="AK256" s="332"/>
      <c r="AL256" s="332"/>
      <c r="AM256" s="332"/>
    </row>
    <row r="257" spans="2:39" s="287" customFormat="1">
      <c r="B257" s="343">
        <v>255</v>
      </c>
      <c r="C257" s="343">
        <v>766</v>
      </c>
      <c r="D257" s="345" t="s">
        <v>1005</v>
      </c>
      <c r="E257" s="331" t="s">
        <v>1006</v>
      </c>
      <c r="F257" s="330" t="s">
        <v>1004</v>
      </c>
      <c r="G257" s="330" t="s">
        <v>366</v>
      </c>
      <c r="H257" s="332">
        <v>1968072.95</v>
      </c>
      <c r="I257" s="329" t="s">
        <v>494</v>
      </c>
      <c r="J257" s="332">
        <v>14</v>
      </c>
      <c r="K257" s="332">
        <v>1</v>
      </c>
      <c r="L257" s="332">
        <v>22960.85</v>
      </c>
      <c r="M257" s="332">
        <v>22960.85</v>
      </c>
      <c r="N257" s="332">
        <v>22960.85</v>
      </c>
      <c r="O257" s="332">
        <v>22960.85</v>
      </c>
      <c r="P257" s="332">
        <v>22960.85</v>
      </c>
      <c r="Q257" s="332">
        <v>22960.86</v>
      </c>
      <c r="R257" s="332">
        <v>22960.85</v>
      </c>
      <c r="S257" s="332">
        <v>22960.85</v>
      </c>
      <c r="T257" s="332">
        <v>22960.85</v>
      </c>
      <c r="U257" s="332">
        <v>22960.85</v>
      </c>
      <c r="V257" s="332">
        <v>22960.85</v>
      </c>
      <c r="W257" s="332">
        <v>22960.85</v>
      </c>
      <c r="X257" s="332">
        <v>275530.21000000002</v>
      </c>
      <c r="Y257" s="332">
        <f t="shared" si="60"/>
        <v>275530.21000000002</v>
      </c>
      <c r="Z257" s="332">
        <f t="shared" si="65"/>
        <v>275530.21000000002</v>
      </c>
      <c r="AA257" s="332">
        <f t="shared" si="65"/>
        <v>275530.21000000002</v>
      </c>
      <c r="AB257" s="332">
        <f t="shared" si="65"/>
        <v>275530.21000000002</v>
      </c>
      <c r="AC257" s="332">
        <f t="shared" si="65"/>
        <v>275530.21000000002</v>
      </c>
      <c r="AD257" s="332">
        <f t="shared" si="65"/>
        <v>275530.21000000002</v>
      </c>
      <c r="AE257" s="332"/>
      <c r="AF257" s="332"/>
      <c r="AG257" s="332"/>
      <c r="AH257" s="332"/>
      <c r="AI257" s="332"/>
      <c r="AJ257" s="332"/>
      <c r="AK257" s="332"/>
      <c r="AL257" s="332"/>
      <c r="AM257" s="332"/>
    </row>
    <row r="258" spans="2:39" s="287" customFormat="1">
      <c r="B258" s="343">
        <v>256</v>
      </c>
      <c r="C258" s="343">
        <v>738</v>
      </c>
      <c r="D258" s="345" t="s">
        <v>1007</v>
      </c>
      <c r="E258" s="331" t="s">
        <v>1008</v>
      </c>
      <c r="F258" s="330" t="s">
        <v>1009</v>
      </c>
      <c r="G258" s="330" t="s">
        <v>323</v>
      </c>
      <c r="H258" s="332">
        <v>6731.36</v>
      </c>
      <c r="I258" s="329" t="s">
        <v>494</v>
      </c>
      <c r="J258" s="332">
        <v>50</v>
      </c>
      <c r="K258" s="332">
        <v>1</v>
      </c>
      <c r="L258" s="332">
        <v>280.47000000000003</v>
      </c>
      <c r="M258" s="332">
        <v>280.48</v>
      </c>
      <c r="N258" s="332">
        <v>280.47000000000003</v>
      </c>
      <c r="O258" s="332">
        <v>280.47000000000003</v>
      </c>
      <c r="P258" s="332">
        <v>280.48</v>
      </c>
      <c r="Q258" s="332">
        <v>280.47000000000003</v>
      </c>
      <c r="R258" s="332">
        <v>280.47000000000003</v>
      </c>
      <c r="S258" s="332">
        <v>280.48</v>
      </c>
      <c r="T258" s="332">
        <v>280.47000000000003</v>
      </c>
      <c r="U258" s="332">
        <v>280.47000000000003</v>
      </c>
      <c r="V258" s="332">
        <v>280.48</v>
      </c>
      <c r="W258" s="332">
        <v>280.47000000000003</v>
      </c>
      <c r="X258" s="332">
        <v>3365.68</v>
      </c>
      <c r="Y258" s="332"/>
      <c r="Z258" s="332"/>
      <c r="AA258" s="332"/>
      <c r="AB258" s="332"/>
      <c r="AC258" s="332"/>
      <c r="AD258" s="332"/>
      <c r="AE258" s="332"/>
      <c r="AF258" s="332"/>
      <c r="AG258" s="332"/>
      <c r="AH258" s="332"/>
      <c r="AI258" s="332"/>
      <c r="AJ258" s="332"/>
      <c r="AK258" s="332"/>
      <c r="AL258" s="332"/>
      <c r="AM258" s="332"/>
    </row>
    <row r="259" spans="2:39" s="287" customFormat="1">
      <c r="B259" s="343">
        <v>257</v>
      </c>
      <c r="C259" s="343">
        <v>698</v>
      </c>
      <c r="D259" s="345" t="s">
        <v>1010</v>
      </c>
      <c r="E259" s="331" t="s">
        <v>1011</v>
      </c>
      <c r="F259" s="330" t="s">
        <v>1012</v>
      </c>
      <c r="G259" s="330" t="s">
        <v>323</v>
      </c>
      <c r="H259" s="332">
        <v>15900</v>
      </c>
      <c r="I259" s="329" t="s">
        <v>494</v>
      </c>
      <c r="J259" s="332">
        <v>50</v>
      </c>
      <c r="K259" s="332">
        <v>1</v>
      </c>
      <c r="L259" s="332">
        <v>662.5</v>
      </c>
      <c r="M259" s="332">
        <v>662.5</v>
      </c>
      <c r="N259" s="332">
        <v>662.5</v>
      </c>
      <c r="O259" s="332">
        <v>662.5</v>
      </c>
      <c r="P259" s="332"/>
      <c r="Q259" s="332"/>
      <c r="R259" s="332"/>
      <c r="S259" s="332"/>
      <c r="T259" s="332"/>
      <c r="U259" s="332"/>
      <c r="V259" s="332"/>
      <c r="W259" s="332"/>
      <c r="X259" s="332">
        <v>2650</v>
      </c>
      <c r="Y259" s="332"/>
      <c r="Z259" s="332"/>
      <c r="AA259" s="332"/>
      <c r="AB259" s="332"/>
      <c r="AC259" s="332"/>
      <c r="AD259" s="332"/>
      <c r="AE259" s="332"/>
      <c r="AF259" s="332"/>
      <c r="AG259" s="332"/>
      <c r="AH259" s="332"/>
      <c r="AI259" s="332"/>
      <c r="AJ259" s="332"/>
      <c r="AK259" s="332"/>
      <c r="AL259" s="332"/>
      <c r="AM259" s="332"/>
    </row>
    <row r="260" spans="2:39" s="287" customFormat="1">
      <c r="B260" s="343">
        <v>258</v>
      </c>
      <c r="C260" s="343">
        <v>737</v>
      </c>
      <c r="D260" s="345" t="s">
        <v>1013</v>
      </c>
      <c r="E260" s="331" t="s">
        <v>1014</v>
      </c>
      <c r="F260" s="330" t="s">
        <v>1012</v>
      </c>
      <c r="G260" s="330" t="s">
        <v>323</v>
      </c>
      <c r="H260" s="332">
        <v>24800</v>
      </c>
      <c r="I260" s="329" t="s">
        <v>494</v>
      </c>
      <c r="J260" s="332">
        <v>50</v>
      </c>
      <c r="K260" s="332">
        <v>1</v>
      </c>
      <c r="L260" s="332">
        <v>1033.33</v>
      </c>
      <c r="M260" s="332">
        <v>1033.3399999999999</v>
      </c>
      <c r="N260" s="332">
        <v>1033.33</v>
      </c>
      <c r="O260" s="332">
        <v>1033.33</v>
      </c>
      <c r="P260" s="332">
        <v>1033.3399999999999</v>
      </c>
      <c r="Q260" s="332">
        <v>1033.33</v>
      </c>
      <c r="R260" s="332">
        <v>1033.33</v>
      </c>
      <c r="S260" s="332">
        <v>1033.3399999999999</v>
      </c>
      <c r="T260" s="332">
        <v>1033.33</v>
      </c>
      <c r="U260" s="332">
        <v>1033.33</v>
      </c>
      <c r="V260" s="332">
        <v>1033.3399999999999</v>
      </c>
      <c r="W260" s="332">
        <v>1033.33</v>
      </c>
      <c r="X260" s="332">
        <v>12400</v>
      </c>
      <c r="Y260" s="332"/>
      <c r="Z260" s="332"/>
      <c r="AA260" s="332"/>
      <c r="AB260" s="332"/>
      <c r="AC260" s="332"/>
      <c r="AD260" s="332"/>
      <c r="AE260" s="332"/>
      <c r="AF260" s="332"/>
      <c r="AG260" s="332"/>
      <c r="AH260" s="332"/>
      <c r="AI260" s="332"/>
      <c r="AJ260" s="332"/>
      <c r="AK260" s="332"/>
      <c r="AL260" s="332"/>
      <c r="AM260" s="332"/>
    </row>
    <row r="261" spans="2:39" s="287" customFormat="1">
      <c r="B261" s="343">
        <v>259</v>
      </c>
      <c r="C261" s="343">
        <v>348</v>
      </c>
      <c r="D261" s="345" t="s">
        <v>1015</v>
      </c>
      <c r="E261" s="331" t="s">
        <v>1016</v>
      </c>
      <c r="F261" s="330" t="s">
        <v>1017</v>
      </c>
      <c r="G261" s="330" t="s">
        <v>361</v>
      </c>
      <c r="H261" s="332">
        <v>141507.39000000001</v>
      </c>
      <c r="I261" s="329" t="s">
        <v>494</v>
      </c>
      <c r="J261" s="332">
        <v>10</v>
      </c>
      <c r="K261" s="332">
        <v>1</v>
      </c>
      <c r="L261" s="332">
        <v>1179.23</v>
      </c>
      <c r="M261" s="332">
        <v>1179.23</v>
      </c>
      <c r="N261" s="332">
        <v>1179.23</v>
      </c>
      <c r="O261" s="332">
        <v>1179.22</v>
      </c>
      <c r="P261" s="332">
        <v>1179.23</v>
      </c>
      <c r="Q261" s="332">
        <v>1179.23</v>
      </c>
      <c r="R261" s="332">
        <v>1179.23</v>
      </c>
      <c r="S261" s="332">
        <v>1179.23</v>
      </c>
      <c r="T261" s="332">
        <v>1179.23</v>
      </c>
      <c r="U261" s="332">
        <v>1179.22</v>
      </c>
      <c r="V261" s="332">
        <v>1179.23</v>
      </c>
      <c r="W261" s="332">
        <v>1179.23</v>
      </c>
      <c r="X261" s="332">
        <v>14150.74</v>
      </c>
      <c r="Y261" s="332">
        <f t="shared" si="60"/>
        <v>14150.74</v>
      </c>
      <c r="Z261" s="332">
        <f t="shared" si="65"/>
        <v>14150.74</v>
      </c>
      <c r="AA261" s="332"/>
      <c r="AB261" s="332"/>
      <c r="AC261" s="332"/>
      <c r="AD261" s="332"/>
      <c r="AE261" s="332"/>
      <c r="AF261" s="332"/>
      <c r="AG261" s="332"/>
      <c r="AH261" s="332"/>
      <c r="AI261" s="332"/>
      <c r="AJ261" s="332"/>
      <c r="AK261" s="332"/>
      <c r="AL261" s="332"/>
      <c r="AM261" s="332"/>
    </row>
    <row r="262" spans="2:39" s="287" customFormat="1">
      <c r="B262" s="343">
        <v>260</v>
      </c>
      <c r="C262" s="344"/>
      <c r="D262" s="345" t="s">
        <v>4174</v>
      </c>
      <c r="E262" s="337"/>
      <c r="F262" s="338"/>
      <c r="G262" s="338"/>
      <c r="H262" s="339"/>
      <c r="I262" s="336"/>
      <c r="J262" s="340">
        <v>20</v>
      </c>
      <c r="K262" s="339"/>
      <c r="L262" s="339"/>
      <c r="M262" s="339"/>
      <c r="N262" s="339"/>
      <c r="O262" s="339"/>
      <c r="P262" s="339"/>
      <c r="Q262" s="339"/>
      <c r="R262" s="339"/>
      <c r="S262" s="339"/>
      <c r="T262" s="339"/>
      <c r="U262" s="339"/>
      <c r="V262" s="339"/>
      <c r="W262" s="339"/>
      <c r="X262" s="340"/>
      <c r="Y262" s="340"/>
      <c r="Z262" s="340"/>
      <c r="AA262" s="340">
        <f>'Projekt 1 - majątek'!G5/5</f>
        <v>302400</v>
      </c>
      <c r="AB262" s="340">
        <f>AA262</f>
        <v>302400</v>
      </c>
      <c r="AC262" s="340">
        <f t="shared" ref="AC262:AE262" si="72">AB262</f>
        <v>302400</v>
      </c>
      <c r="AD262" s="340">
        <f t="shared" si="72"/>
        <v>302400</v>
      </c>
      <c r="AE262" s="340">
        <f t="shared" si="72"/>
        <v>302400</v>
      </c>
      <c r="AF262" s="340"/>
      <c r="AG262" s="340"/>
      <c r="AH262" s="340"/>
      <c r="AI262" s="340"/>
      <c r="AJ262" s="340"/>
      <c r="AK262" s="340"/>
      <c r="AL262" s="340"/>
      <c r="AM262" s="340"/>
    </row>
    <row r="263" spans="2:39" s="287" customFormat="1" hidden="1">
      <c r="B263" s="343">
        <v>261</v>
      </c>
      <c r="C263" s="344"/>
      <c r="D263" s="345" t="s">
        <v>1066</v>
      </c>
      <c r="E263" s="337"/>
      <c r="F263" s="338"/>
      <c r="G263" s="338"/>
      <c r="H263" s="339"/>
      <c r="I263" s="336"/>
      <c r="J263" s="340">
        <v>20</v>
      </c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40"/>
      <c r="Y263" s="340"/>
      <c r="Z263" s="340"/>
      <c r="AA263" s="340"/>
      <c r="AB263" s="340">
        <f t="shared" ref="AB263:AE266" si="73">AA263</f>
        <v>0</v>
      </c>
      <c r="AC263" s="340">
        <f t="shared" si="73"/>
        <v>0</v>
      </c>
      <c r="AD263" s="340">
        <f t="shared" si="73"/>
        <v>0</v>
      </c>
      <c r="AE263" s="340">
        <f t="shared" si="73"/>
        <v>0</v>
      </c>
      <c r="AF263" s="340"/>
      <c r="AG263" s="340"/>
      <c r="AH263" s="340"/>
      <c r="AI263" s="340"/>
      <c r="AJ263" s="340"/>
      <c r="AK263" s="340"/>
      <c r="AL263" s="340"/>
      <c r="AM263" s="340"/>
    </row>
    <row r="264" spans="2:39" s="287" customFormat="1">
      <c r="B264" s="343">
        <v>262</v>
      </c>
      <c r="C264" s="344"/>
      <c r="D264" s="345" t="s">
        <v>1067</v>
      </c>
      <c r="E264" s="337"/>
      <c r="F264" s="338"/>
      <c r="G264" s="338"/>
      <c r="H264" s="339"/>
      <c r="I264" s="336"/>
      <c r="J264" s="340">
        <v>20</v>
      </c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40"/>
      <c r="Y264" s="340"/>
      <c r="Z264" s="340"/>
      <c r="AA264" s="340">
        <f>'Projekt 1 - majątek'!G7/5</f>
        <v>180000</v>
      </c>
      <c r="AB264" s="340">
        <f t="shared" si="73"/>
        <v>180000</v>
      </c>
      <c r="AC264" s="340">
        <f t="shared" si="73"/>
        <v>180000</v>
      </c>
      <c r="AD264" s="340">
        <f t="shared" si="73"/>
        <v>180000</v>
      </c>
      <c r="AE264" s="340">
        <f t="shared" si="73"/>
        <v>180000</v>
      </c>
      <c r="AF264" s="340"/>
      <c r="AG264" s="340"/>
      <c r="AH264" s="340"/>
      <c r="AI264" s="340"/>
      <c r="AJ264" s="340"/>
      <c r="AK264" s="340"/>
      <c r="AL264" s="340"/>
      <c r="AM264" s="340"/>
    </row>
    <row r="265" spans="2:39" s="287" customFormat="1">
      <c r="B265" s="343">
        <v>263</v>
      </c>
      <c r="C265" s="344"/>
      <c r="D265" s="345" t="s">
        <v>1068</v>
      </c>
      <c r="E265" s="337"/>
      <c r="F265" s="338"/>
      <c r="G265" s="338"/>
      <c r="H265" s="339"/>
      <c r="I265" s="336"/>
      <c r="J265" s="340">
        <v>20</v>
      </c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40"/>
      <c r="Y265" s="340"/>
      <c r="Z265" s="340"/>
      <c r="AA265" s="340">
        <f>'Projekt 1 - majątek'!G9/5</f>
        <v>130000</v>
      </c>
      <c r="AB265" s="340">
        <f t="shared" si="73"/>
        <v>130000</v>
      </c>
      <c r="AC265" s="340">
        <f t="shared" si="73"/>
        <v>130000</v>
      </c>
      <c r="AD265" s="340">
        <f t="shared" si="73"/>
        <v>130000</v>
      </c>
      <c r="AE265" s="340">
        <f t="shared" si="73"/>
        <v>130000</v>
      </c>
      <c r="AF265" s="340"/>
      <c r="AG265" s="340"/>
      <c r="AH265" s="340"/>
      <c r="AI265" s="340"/>
      <c r="AJ265" s="340"/>
      <c r="AK265" s="340"/>
      <c r="AL265" s="340"/>
      <c r="AM265" s="340"/>
    </row>
    <row r="266" spans="2:39" s="287" customFormat="1">
      <c r="B266" s="343">
        <v>264</v>
      </c>
      <c r="C266" s="344"/>
      <c r="D266" s="345" t="s">
        <v>1069</v>
      </c>
      <c r="E266" s="337"/>
      <c r="F266" s="338"/>
      <c r="G266" s="338"/>
      <c r="H266" s="339"/>
      <c r="I266" s="336"/>
      <c r="J266" s="340">
        <v>20</v>
      </c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40"/>
      <c r="Y266" s="340"/>
      <c r="Z266" s="340"/>
      <c r="AA266" s="340">
        <f>'Projekt 1 - majątek'!G11/5</f>
        <v>8400</v>
      </c>
      <c r="AB266" s="340">
        <f t="shared" si="73"/>
        <v>8400</v>
      </c>
      <c r="AC266" s="340">
        <f t="shared" si="73"/>
        <v>8400</v>
      </c>
      <c r="AD266" s="340">
        <f t="shared" si="73"/>
        <v>8400</v>
      </c>
      <c r="AE266" s="340">
        <f t="shared" si="73"/>
        <v>8400</v>
      </c>
      <c r="AF266" s="340"/>
      <c r="AG266" s="340"/>
      <c r="AH266" s="340"/>
      <c r="AI266" s="340"/>
      <c r="AJ266" s="340"/>
      <c r="AK266" s="340"/>
      <c r="AL266" s="340"/>
      <c r="AM266" s="340"/>
    </row>
    <row r="267" spans="2:39" s="287" customFormat="1">
      <c r="B267" s="343">
        <v>265</v>
      </c>
      <c r="C267" s="344"/>
      <c r="D267" s="345" t="s">
        <v>4115</v>
      </c>
      <c r="E267" s="337"/>
      <c r="F267" s="338"/>
      <c r="G267" s="338"/>
      <c r="H267" s="339"/>
      <c r="I267" s="336"/>
      <c r="J267" s="340">
        <v>20</v>
      </c>
      <c r="K267" s="339"/>
      <c r="L267" s="339"/>
      <c r="M267" s="339"/>
      <c r="N267" s="339"/>
      <c r="O267" s="339"/>
      <c r="P267" s="339"/>
      <c r="Q267" s="339"/>
      <c r="R267" s="339"/>
      <c r="S267" s="339"/>
      <c r="T267" s="339"/>
      <c r="U267" s="339"/>
      <c r="V267" s="339"/>
      <c r="W267" s="339"/>
      <c r="X267" s="340"/>
      <c r="Y267" s="340"/>
      <c r="Z267" s="340"/>
      <c r="AA267" s="340">
        <f>J267%*'Projekt 2-4 - majątek'!C8*1000000</f>
        <v>1038400</v>
      </c>
      <c r="AB267" s="340">
        <f>AA267</f>
        <v>1038400</v>
      </c>
      <c r="AC267" s="340">
        <f t="shared" ref="AC267:AE267" si="74">AB267</f>
        <v>1038400</v>
      </c>
      <c r="AD267" s="340">
        <f t="shared" si="74"/>
        <v>1038400</v>
      </c>
      <c r="AE267" s="340">
        <f t="shared" si="74"/>
        <v>1038400</v>
      </c>
      <c r="AF267" s="340"/>
      <c r="AG267" s="340"/>
      <c r="AH267" s="340"/>
      <c r="AI267" s="340"/>
      <c r="AJ267" s="340"/>
      <c r="AK267" s="340"/>
      <c r="AL267" s="340"/>
      <c r="AM267" s="340"/>
    </row>
    <row r="268" spans="2:39" s="287" customFormat="1">
      <c r="B268" s="343">
        <v>266</v>
      </c>
      <c r="C268" s="344"/>
      <c r="D268" s="345" t="s">
        <v>4122</v>
      </c>
      <c r="E268" s="337"/>
      <c r="F268" s="338"/>
      <c r="G268" s="338"/>
      <c r="H268" s="339"/>
      <c r="I268" s="336"/>
      <c r="J268" s="340">
        <v>20</v>
      </c>
      <c r="K268" s="339"/>
      <c r="L268" s="339"/>
      <c r="M268" s="339"/>
      <c r="N268" s="339"/>
      <c r="O268" s="339"/>
      <c r="P268" s="339"/>
      <c r="Q268" s="339"/>
      <c r="R268" s="339"/>
      <c r="S268" s="339"/>
      <c r="T268" s="339"/>
      <c r="U268" s="339"/>
      <c r="V268" s="339"/>
      <c r="W268" s="339"/>
      <c r="X268" s="340"/>
      <c r="Y268" s="340"/>
      <c r="Z268" s="340"/>
      <c r="AA268" s="340">
        <f>J268%*'Projekt 2-4 - majątek'!C11*1000000</f>
        <v>478400.00000000012</v>
      </c>
      <c r="AB268" s="340">
        <f>AA268</f>
        <v>478400.00000000012</v>
      </c>
      <c r="AC268" s="340">
        <f t="shared" ref="AC268:AE268" si="75">AB268</f>
        <v>478400.00000000012</v>
      </c>
      <c r="AD268" s="340">
        <f t="shared" si="75"/>
        <v>478400.00000000012</v>
      </c>
      <c r="AE268" s="340">
        <f t="shared" si="75"/>
        <v>478400.00000000012</v>
      </c>
      <c r="AF268" s="340"/>
      <c r="AG268" s="340"/>
      <c r="AH268" s="340"/>
      <c r="AI268" s="340"/>
      <c r="AJ268" s="340"/>
      <c r="AK268" s="340"/>
      <c r="AL268" s="340"/>
      <c r="AM268" s="340"/>
    </row>
    <row r="269" spans="2:39" s="287" customFormat="1">
      <c r="B269" s="343">
        <v>267</v>
      </c>
      <c r="C269" s="344"/>
      <c r="D269" s="345" t="s">
        <v>4120</v>
      </c>
      <c r="E269" s="337"/>
      <c r="F269" s="338"/>
      <c r="G269" s="338"/>
      <c r="H269" s="339"/>
      <c r="I269" s="336"/>
      <c r="J269" s="340">
        <v>20</v>
      </c>
      <c r="K269" s="339"/>
      <c r="L269" s="339"/>
      <c r="M269" s="339"/>
      <c r="N269" s="339"/>
      <c r="O269" s="339"/>
      <c r="P269" s="339"/>
      <c r="Q269" s="339"/>
      <c r="R269" s="339"/>
      <c r="S269" s="339"/>
      <c r="T269" s="339"/>
      <c r="U269" s="339"/>
      <c r="V269" s="339"/>
      <c r="W269" s="339"/>
      <c r="X269" s="340"/>
      <c r="Y269" s="340"/>
      <c r="Z269" s="340"/>
      <c r="AA269" s="340">
        <f>J269%*'Projekt 2-4 - majątek'!C14*1000000</f>
        <v>1438400.0000000002</v>
      </c>
      <c r="AB269" s="340">
        <f>AA269</f>
        <v>1438400.0000000002</v>
      </c>
      <c r="AC269" s="340">
        <f t="shared" ref="AC269:AE269" si="76">AB269</f>
        <v>1438400.0000000002</v>
      </c>
      <c r="AD269" s="340">
        <f t="shared" si="76"/>
        <v>1438400.0000000002</v>
      </c>
      <c r="AE269" s="340">
        <f t="shared" si="76"/>
        <v>1438400.0000000002</v>
      </c>
      <c r="AF269" s="340"/>
      <c r="AG269" s="340"/>
      <c r="AH269" s="340"/>
      <c r="AI269" s="340"/>
      <c r="AJ269" s="340"/>
      <c r="AK269" s="340"/>
      <c r="AL269" s="340"/>
      <c r="AM269" s="340"/>
    </row>
    <row r="270" spans="2:39" s="334" customFormat="1">
      <c r="X270" s="333">
        <f>SUM(X3:X269)</f>
        <v>9254361.6699999999</v>
      </c>
      <c r="Y270" s="333">
        <f t="shared" ref="Y270:AM270" si="77">SUM(Y3:Y269)</f>
        <v>8886819.7900000028</v>
      </c>
      <c r="Z270" s="333">
        <f t="shared" si="77"/>
        <v>8697338.0000000019</v>
      </c>
      <c r="AA270" s="333">
        <f t="shared" si="77"/>
        <v>11861921.08</v>
      </c>
      <c r="AB270" s="333">
        <f>SUM(AB3:AB269)</f>
        <v>10826173.640000001</v>
      </c>
      <c r="AC270" s="333">
        <f t="shared" si="77"/>
        <v>10103589.130000001</v>
      </c>
      <c r="AD270" s="333">
        <f t="shared" si="77"/>
        <v>9562901.1400000006</v>
      </c>
      <c r="AE270" s="333">
        <f t="shared" si="77"/>
        <v>9076184.0000000019</v>
      </c>
      <c r="AF270" s="333">
        <f t="shared" si="77"/>
        <v>4901965.87</v>
      </c>
      <c r="AG270" s="333">
        <f t="shared" si="77"/>
        <v>4563898.66</v>
      </c>
      <c r="AH270" s="333">
        <f t="shared" si="77"/>
        <v>4511468.16</v>
      </c>
      <c r="AI270" s="333">
        <f t="shared" si="77"/>
        <v>4505951.68</v>
      </c>
      <c r="AJ270" s="333">
        <f t="shared" si="77"/>
        <v>4437743.29</v>
      </c>
      <c r="AK270" s="333">
        <f t="shared" si="77"/>
        <v>4437743.29</v>
      </c>
      <c r="AL270" s="333">
        <f t="shared" si="77"/>
        <v>4437743.29</v>
      </c>
      <c r="AM270" s="333">
        <f t="shared" si="77"/>
        <v>4437743.29</v>
      </c>
    </row>
    <row r="272" spans="2:39">
      <c r="D272" s="341" t="s">
        <v>4069</v>
      </c>
      <c r="E272" s="270"/>
      <c r="F272" s="270"/>
      <c r="G272" s="270"/>
      <c r="H272" s="270"/>
      <c r="I272" s="270"/>
      <c r="J272" s="270"/>
      <c r="K272" s="270"/>
      <c r="L272" s="270"/>
      <c r="M272" s="270"/>
      <c r="N272" s="270"/>
      <c r="O272" s="270"/>
      <c r="P272" s="270"/>
      <c r="Q272" s="270"/>
      <c r="R272" s="270"/>
      <c r="S272" s="270"/>
      <c r="T272" s="270"/>
      <c r="U272" s="270"/>
      <c r="V272" s="270"/>
      <c r="W272" s="270"/>
      <c r="X272" s="335">
        <f>SUM(X262:X269)*30%</f>
        <v>0</v>
      </c>
      <c r="Y272" s="335">
        <f t="shared" ref="Y272:AM272" si="78">SUM(Y262:Y269)*30%</f>
        <v>0</v>
      </c>
      <c r="Z272" s="335">
        <f t="shared" si="78"/>
        <v>0</v>
      </c>
      <c r="AA272" s="335">
        <f>SUM(AA262:AA269)*30%</f>
        <v>1072800</v>
      </c>
      <c r="AB272" s="335">
        <f t="shared" si="78"/>
        <v>1072800</v>
      </c>
      <c r="AC272" s="335">
        <f t="shared" si="78"/>
        <v>1072800</v>
      </c>
      <c r="AD272" s="335">
        <f t="shared" si="78"/>
        <v>1072800</v>
      </c>
      <c r="AE272" s="335">
        <f t="shared" si="78"/>
        <v>1072800</v>
      </c>
      <c r="AF272" s="335">
        <f t="shared" si="78"/>
        <v>0</v>
      </c>
      <c r="AG272" s="335">
        <f t="shared" si="78"/>
        <v>0</v>
      </c>
      <c r="AH272" s="335">
        <f t="shared" si="78"/>
        <v>0</v>
      </c>
      <c r="AI272" s="335">
        <f t="shared" si="78"/>
        <v>0</v>
      </c>
      <c r="AJ272" s="335">
        <f t="shared" si="78"/>
        <v>0</v>
      </c>
      <c r="AK272" s="335">
        <f t="shared" si="78"/>
        <v>0</v>
      </c>
      <c r="AL272" s="335">
        <f t="shared" si="78"/>
        <v>0</v>
      </c>
      <c r="AM272" s="335">
        <f t="shared" si="78"/>
        <v>0</v>
      </c>
    </row>
    <row r="273" spans="4:39">
      <c r="D273" s="342" t="s">
        <v>4149</v>
      </c>
      <c r="E273" s="270"/>
      <c r="F273" s="270"/>
      <c r="G273" s="270"/>
      <c r="H273" s="270"/>
      <c r="I273" s="270"/>
      <c r="J273" s="270"/>
      <c r="K273" s="270"/>
      <c r="L273" s="270"/>
      <c r="M273" s="270"/>
      <c r="N273" s="270"/>
      <c r="O273" s="270"/>
      <c r="P273" s="270"/>
      <c r="Q273" s="270"/>
      <c r="R273" s="270"/>
      <c r="S273" s="270"/>
      <c r="T273" s="270"/>
      <c r="U273" s="270"/>
      <c r="V273" s="270"/>
      <c r="W273" s="270"/>
      <c r="X273" s="270"/>
      <c r="Y273" s="270"/>
      <c r="Z273" s="270"/>
      <c r="AA273" s="335">
        <f>SUM(AA262:AA266)*30%</f>
        <v>186240</v>
      </c>
      <c r="AB273" s="335">
        <f t="shared" ref="AB273:AJ273" si="79">SUM(AB262:AB266)*30%</f>
        <v>186240</v>
      </c>
      <c r="AC273" s="335">
        <f t="shared" si="79"/>
        <v>186240</v>
      </c>
      <c r="AD273" s="335">
        <f t="shared" si="79"/>
        <v>186240</v>
      </c>
      <c r="AE273" s="335">
        <f t="shared" si="79"/>
        <v>186240</v>
      </c>
      <c r="AF273" s="335">
        <f t="shared" si="79"/>
        <v>0</v>
      </c>
      <c r="AG273" s="335">
        <f t="shared" si="79"/>
        <v>0</v>
      </c>
      <c r="AH273" s="335">
        <f t="shared" si="79"/>
        <v>0</v>
      </c>
      <c r="AI273" s="335">
        <f t="shared" si="79"/>
        <v>0</v>
      </c>
      <c r="AJ273" s="335">
        <f t="shared" si="79"/>
        <v>0</v>
      </c>
      <c r="AK273" s="270"/>
      <c r="AL273" s="270"/>
      <c r="AM273" s="270"/>
    </row>
    <row r="274" spans="4:39">
      <c r="D274" s="342" t="s">
        <v>4199</v>
      </c>
      <c r="E274" s="270"/>
      <c r="F274" s="270"/>
      <c r="G274" s="270"/>
      <c r="H274" s="270"/>
      <c r="I274" s="270"/>
      <c r="J274" s="270"/>
      <c r="K274" s="270"/>
      <c r="L274" s="270"/>
      <c r="M274" s="270"/>
      <c r="N274" s="270"/>
      <c r="O274" s="270"/>
      <c r="P274" s="270"/>
      <c r="Q274" s="270"/>
      <c r="R274" s="270"/>
      <c r="S274" s="270"/>
      <c r="T274" s="270"/>
      <c r="U274" s="270"/>
      <c r="V274" s="270"/>
      <c r="W274" s="270"/>
      <c r="X274" s="270"/>
      <c r="Y274" s="270"/>
      <c r="Z274" s="270"/>
      <c r="AA274" s="335">
        <f>SUM(AA267:AA269)*30%</f>
        <v>886560</v>
      </c>
      <c r="AB274" s="335">
        <f t="shared" ref="AB274:AJ274" si="80">SUM(AB267:AB269)*30%</f>
        <v>886560</v>
      </c>
      <c r="AC274" s="335">
        <f t="shared" si="80"/>
        <v>886560</v>
      </c>
      <c r="AD274" s="335">
        <f t="shared" si="80"/>
        <v>886560</v>
      </c>
      <c r="AE274" s="335">
        <f t="shared" si="80"/>
        <v>886560</v>
      </c>
      <c r="AF274" s="335">
        <f t="shared" si="80"/>
        <v>0</v>
      </c>
      <c r="AG274" s="335">
        <f t="shared" si="80"/>
        <v>0</v>
      </c>
      <c r="AH274" s="335">
        <f t="shared" si="80"/>
        <v>0</v>
      </c>
      <c r="AI274" s="335">
        <f t="shared" si="80"/>
        <v>0</v>
      </c>
      <c r="AJ274" s="335">
        <f t="shared" si="80"/>
        <v>0</v>
      </c>
      <c r="AK274" s="270"/>
      <c r="AL274" s="270"/>
      <c r="AM274" s="270"/>
    </row>
    <row r="276" spans="4:39">
      <c r="D276" s="342" t="s">
        <v>4150</v>
      </c>
      <c r="E276" s="270"/>
      <c r="F276" s="270"/>
      <c r="G276" s="270"/>
      <c r="H276" s="270"/>
      <c r="I276" s="270"/>
      <c r="J276" s="270"/>
      <c r="K276" s="270"/>
      <c r="L276" s="270"/>
      <c r="M276" s="270"/>
      <c r="N276" s="270"/>
      <c r="O276" s="270"/>
      <c r="P276" s="270"/>
      <c r="Q276" s="270"/>
      <c r="R276" s="270"/>
      <c r="S276" s="270"/>
      <c r="T276" s="270"/>
      <c r="U276" s="270"/>
      <c r="V276" s="270"/>
      <c r="W276" s="270"/>
      <c r="X276" s="270"/>
      <c r="Y276" s="270"/>
      <c r="Z276" s="270"/>
      <c r="AA276" s="335">
        <f>AA268*0.3</f>
        <v>143520.00000000003</v>
      </c>
      <c r="AB276" s="335">
        <f t="shared" ref="AB276:AE276" si="81">AB268*0.3</f>
        <v>143520.00000000003</v>
      </c>
      <c r="AC276" s="335">
        <f t="shared" si="81"/>
        <v>143520.00000000003</v>
      </c>
      <c r="AD276" s="335">
        <f t="shared" si="81"/>
        <v>143520.00000000003</v>
      </c>
      <c r="AE276" s="335">
        <f t="shared" si="81"/>
        <v>143520.00000000003</v>
      </c>
    </row>
  </sheetData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BW92"/>
  <sheetViews>
    <sheetView topLeftCell="A55" zoomScale="90" zoomScaleNormal="90" workbookViewId="0">
      <pane xSplit="7" topLeftCell="AT1" activePane="topRight" state="frozen"/>
      <selection pane="topRight" activeCell="AZ88" sqref="AZ88"/>
    </sheetView>
  </sheetViews>
  <sheetFormatPr defaultColWidth="8.85546875" defaultRowHeight="12.75" outlineLevelCol="1"/>
  <cols>
    <col min="1" max="1" width="6.140625" style="287" customWidth="1"/>
    <col min="2" max="2" width="32.7109375" style="287" bestFit="1" customWidth="1"/>
    <col min="3" max="3" width="9.28515625" style="287" customWidth="1"/>
    <col min="4" max="4" width="9" style="287" customWidth="1"/>
    <col min="5" max="5" width="14" style="287" customWidth="1"/>
    <col min="6" max="6" width="13.7109375" style="287" bestFit="1" customWidth="1"/>
    <col min="7" max="7" width="24.42578125" style="287" bestFit="1" customWidth="1"/>
    <col min="8" max="8" width="12.42578125" style="287" bestFit="1" customWidth="1"/>
    <col min="9" max="9" width="11.28515625" style="287" hidden="1" customWidth="1" outlineLevel="1"/>
    <col min="10" max="15" width="11" style="287" hidden="1" customWidth="1" outlineLevel="1"/>
    <col min="16" max="16" width="12.42578125" style="287" hidden="1" customWidth="1" outlineLevel="1"/>
    <col min="17" max="17" width="11.28515625" style="287" bestFit="1" customWidth="1" outlineLevel="1" collapsed="1"/>
    <col min="18" max="21" width="11.28515625" style="287" bestFit="1" customWidth="1" outlineLevel="1"/>
    <col min="22" max="22" width="11.42578125" style="287" bestFit="1" customWidth="1" outlineLevel="1"/>
    <col min="23" max="27" width="11.28515625" style="287" bestFit="1" customWidth="1" outlineLevel="1"/>
    <col min="28" max="28" width="13" style="287" bestFit="1" customWidth="1" outlineLevel="1"/>
    <col min="29" max="29" width="13.28515625" style="287" bestFit="1" customWidth="1" outlineLevel="1" collapsed="1"/>
    <col min="30" max="40" width="13.28515625" style="287" bestFit="1" customWidth="1" outlineLevel="1"/>
    <col min="41" max="51" width="11.85546875" style="287" bestFit="1" customWidth="1" outlineLevel="1"/>
    <col min="52" max="52" width="13" style="287" bestFit="1" customWidth="1" outlineLevel="1"/>
    <col min="53" max="69" width="11.85546875" style="287" bestFit="1" customWidth="1" outlineLevel="1"/>
    <col min="70" max="70" width="11.42578125" style="287" bestFit="1" customWidth="1" outlineLevel="1"/>
    <col min="71" max="71" width="10.7109375" style="287" bestFit="1" customWidth="1" outlineLevel="1"/>
    <col min="72" max="74" width="10.7109375" style="287" bestFit="1" customWidth="1"/>
    <col min="75" max="75" width="11.7109375" style="287" bestFit="1" customWidth="1"/>
    <col min="76" max="16384" width="8.85546875" style="287"/>
  </cols>
  <sheetData>
    <row r="1" spans="1:75" s="277" customFormat="1" ht="26.25" thickBot="1">
      <c r="A1" s="275" t="s">
        <v>426</v>
      </c>
      <c r="B1" s="275" t="s">
        <v>427</v>
      </c>
      <c r="C1" s="275" t="s">
        <v>428</v>
      </c>
      <c r="D1" s="275" t="s">
        <v>429</v>
      </c>
      <c r="E1" s="275" t="s">
        <v>430</v>
      </c>
      <c r="F1" s="275" t="s">
        <v>431</v>
      </c>
      <c r="G1" s="275" t="s">
        <v>432</v>
      </c>
      <c r="H1" s="275"/>
      <c r="I1" s="276">
        <v>43586</v>
      </c>
      <c r="J1" s="276">
        <v>43617</v>
      </c>
      <c r="K1" s="276">
        <v>43647</v>
      </c>
      <c r="L1" s="276">
        <v>43678</v>
      </c>
      <c r="M1" s="276">
        <v>43709</v>
      </c>
      <c r="N1" s="276">
        <v>43739</v>
      </c>
      <c r="O1" s="276">
        <v>43770</v>
      </c>
      <c r="P1" s="276">
        <v>43800</v>
      </c>
      <c r="Q1" s="276">
        <v>43831</v>
      </c>
      <c r="R1" s="276">
        <v>43862</v>
      </c>
      <c r="S1" s="276">
        <v>43891</v>
      </c>
      <c r="T1" s="276">
        <v>43922</v>
      </c>
      <c r="U1" s="276">
        <v>43952</v>
      </c>
      <c r="V1" s="276">
        <v>43983</v>
      </c>
      <c r="W1" s="276">
        <v>44013</v>
      </c>
      <c r="X1" s="276">
        <v>44044</v>
      </c>
      <c r="Y1" s="276">
        <v>44075</v>
      </c>
      <c r="Z1" s="276">
        <v>44105</v>
      </c>
      <c r="AA1" s="276">
        <v>44136</v>
      </c>
      <c r="AB1" s="276">
        <v>44166</v>
      </c>
      <c r="AC1" s="276">
        <v>44197</v>
      </c>
      <c r="AD1" s="276">
        <v>44228</v>
      </c>
      <c r="AE1" s="276">
        <v>44256</v>
      </c>
      <c r="AF1" s="276">
        <v>44287</v>
      </c>
      <c r="AG1" s="276">
        <v>44317</v>
      </c>
      <c r="AH1" s="276">
        <v>44348</v>
      </c>
      <c r="AI1" s="276">
        <v>44378</v>
      </c>
      <c r="AJ1" s="276">
        <v>44409</v>
      </c>
      <c r="AK1" s="276">
        <v>44440</v>
      </c>
      <c r="AL1" s="276">
        <v>44470</v>
      </c>
      <c r="AM1" s="276">
        <v>44501</v>
      </c>
      <c r="AN1" s="276">
        <v>44531</v>
      </c>
      <c r="AO1" s="276">
        <v>44562</v>
      </c>
      <c r="AP1" s="276">
        <v>44593</v>
      </c>
      <c r="AQ1" s="276">
        <v>44621</v>
      </c>
      <c r="AR1" s="276">
        <v>44652</v>
      </c>
      <c r="AS1" s="276">
        <v>44682</v>
      </c>
      <c r="AT1" s="276">
        <v>44713</v>
      </c>
      <c r="AU1" s="276">
        <v>44743</v>
      </c>
      <c r="AV1" s="276">
        <v>44774</v>
      </c>
      <c r="AW1" s="276">
        <v>44805</v>
      </c>
      <c r="AX1" s="276">
        <v>44835</v>
      </c>
      <c r="AY1" s="276">
        <v>44866</v>
      </c>
      <c r="AZ1" s="276">
        <v>44896</v>
      </c>
      <c r="BA1" s="276">
        <v>44927</v>
      </c>
      <c r="BB1" s="276">
        <v>44958</v>
      </c>
      <c r="BC1" s="276">
        <v>44986</v>
      </c>
      <c r="BD1" s="276">
        <v>45017</v>
      </c>
      <c r="BE1" s="276">
        <v>45047</v>
      </c>
      <c r="BF1" s="276">
        <v>45078</v>
      </c>
      <c r="BG1" s="276">
        <v>45108</v>
      </c>
      <c r="BH1" s="276">
        <v>45139</v>
      </c>
      <c r="BI1" s="276">
        <v>45170</v>
      </c>
      <c r="BJ1" s="276">
        <v>45200</v>
      </c>
      <c r="BK1" s="276">
        <v>45231</v>
      </c>
      <c r="BL1" s="276">
        <v>45261</v>
      </c>
      <c r="BM1" s="276">
        <v>45292</v>
      </c>
      <c r="BN1" s="276">
        <v>45323</v>
      </c>
      <c r="BO1" s="276">
        <v>45352</v>
      </c>
      <c r="BP1" s="276">
        <v>45383</v>
      </c>
      <c r="BQ1" s="276">
        <v>45413</v>
      </c>
      <c r="BR1" s="276">
        <v>45444</v>
      </c>
      <c r="BS1" s="276">
        <v>45474</v>
      </c>
      <c r="BT1" s="276">
        <v>45505</v>
      </c>
      <c r="BU1" s="276">
        <v>45536</v>
      </c>
      <c r="BV1" s="276">
        <v>45566</v>
      </c>
      <c r="BW1" s="276">
        <v>45597</v>
      </c>
    </row>
    <row r="2" spans="1:75">
      <c r="A2" s="278" t="s">
        <v>285</v>
      </c>
      <c r="B2" s="279" t="s">
        <v>433</v>
      </c>
      <c r="C2" s="280" t="s">
        <v>434</v>
      </c>
      <c r="D2" s="281" t="s">
        <v>435</v>
      </c>
      <c r="E2" s="280" t="s">
        <v>436</v>
      </c>
      <c r="F2" s="281">
        <v>298066</v>
      </c>
      <c r="G2" s="282">
        <v>380325.2</v>
      </c>
      <c r="H2" s="283" t="s">
        <v>437</v>
      </c>
      <c r="I2" s="283"/>
      <c r="J2" s="283"/>
      <c r="K2" s="283"/>
      <c r="L2" s="283"/>
      <c r="M2" s="284">
        <v>38032.519999999997</v>
      </c>
      <c r="N2" s="284">
        <v>9227.77</v>
      </c>
      <c r="O2" s="284">
        <v>9253.07</v>
      </c>
      <c r="P2" s="284">
        <v>9278.44</v>
      </c>
      <c r="Q2" s="284">
        <v>9303.8799999999992</v>
      </c>
      <c r="R2" s="284">
        <v>9329.39</v>
      </c>
      <c r="S2" s="284">
        <v>9354.9699999999993</v>
      </c>
      <c r="T2" s="284">
        <v>9380.61</v>
      </c>
      <c r="U2" s="284">
        <v>9406.33</v>
      </c>
      <c r="V2" s="284">
        <v>9432.1200000000008</v>
      </c>
      <c r="W2" s="284">
        <v>9457.98</v>
      </c>
      <c r="X2" s="284">
        <v>9483.91</v>
      </c>
      <c r="Y2" s="284">
        <v>9509.92</v>
      </c>
      <c r="Z2" s="284">
        <v>9535.99</v>
      </c>
      <c r="AA2" s="284">
        <v>9562.1299999999992</v>
      </c>
      <c r="AB2" s="284">
        <v>9588.35</v>
      </c>
      <c r="AC2" s="284">
        <v>9614.64</v>
      </c>
      <c r="AD2" s="284">
        <v>9641</v>
      </c>
      <c r="AE2" s="284">
        <v>9667.43</v>
      </c>
      <c r="AF2" s="284">
        <v>9693.94</v>
      </c>
      <c r="AG2" s="284">
        <v>9720.51</v>
      </c>
      <c r="AH2" s="284">
        <v>9747.16</v>
      </c>
      <c r="AI2" s="284">
        <v>9773.89</v>
      </c>
      <c r="AJ2" s="284">
        <v>9800.68</v>
      </c>
      <c r="AK2" s="284">
        <v>9827.5499999999993</v>
      </c>
      <c r="AL2" s="284">
        <v>9854.5</v>
      </c>
      <c r="AM2" s="284">
        <v>9881.52</v>
      </c>
      <c r="AN2" s="284">
        <v>9908.61</v>
      </c>
      <c r="AO2" s="284">
        <v>9935.77</v>
      </c>
      <c r="AP2" s="284">
        <v>9963.02</v>
      </c>
      <c r="AQ2" s="284">
        <v>9990.33</v>
      </c>
      <c r="AR2" s="284">
        <v>10017.719999999999</v>
      </c>
      <c r="AS2" s="284">
        <v>10045.19</v>
      </c>
      <c r="AT2" s="284">
        <v>10072.73</v>
      </c>
      <c r="AU2" s="284">
        <v>10100.34</v>
      </c>
      <c r="AV2" s="284">
        <v>10128.040000000001</v>
      </c>
      <c r="AW2" s="284">
        <v>3803.25</v>
      </c>
      <c r="AX2" s="285"/>
      <c r="AY2" s="285"/>
      <c r="AZ2" s="285"/>
      <c r="BA2" s="285"/>
      <c r="BB2" s="285"/>
      <c r="BC2" s="285"/>
      <c r="BD2" s="285"/>
      <c r="BE2" s="285"/>
      <c r="BF2" s="285"/>
      <c r="BG2" s="285"/>
      <c r="BH2" s="285"/>
      <c r="BI2" s="285"/>
      <c r="BJ2" s="285"/>
      <c r="BK2" s="285"/>
      <c r="BL2" s="285"/>
      <c r="BM2" s="285"/>
      <c r="BN2" s="285"/>
      <c r="BO2" s="285"/>
      <c r="BP2" s="285"/>
      <c r="BQ2" s="285"/>
      <c r="BR2" s="285"/>
      <c r="BS2" s="284"/>
      <c r="BT2" s="284"/>
      <c r="BU2" s="284"/>
      <c r="BV2" s="284"/>
      <c r="BW2" s="286"/>
    </row>
    <row r="3" spans="1:75">
      <c r="A3" s="288"/>
      <c r="B3" s="289"/>
      <c r="C3" s="290"/>
      <c r="D3" s="290"/>
      <c r="E3" s="290"/>
      <c r="F3" s="290"/>
      <c r="G3" s="291"/>
      <c r="H3" s="292" t="s">
        <v>438</v>
      </c>
      <c r="I3" s="292"/>
      <c r="J3" s="292"/>
      <c r="K3" s="292"/>
      <c r="L3" s="292"/>
      <c r="M3" s="293">
        <f>G2-M2</f>
        <v>342292.68</v>
      </c>
      <c r="N3" s="293">
        <f>M3-N2</f>
        <v>333064.90999999997</v>
      </c>
      <c r="O3" s="293">
        <f t="shared" ref="O3:AW3" si="0">N3-O2</f>
        <v>323811.83999999997</v>
      </c>
      <c r="P3" s="293">
        <f t="shared" si="0"/>
        <v>314533.39999999997</v>
      </c>
      <c r="Q3" s="293">
        <f t="shared" si="0"/>
        <v>305229.51999999996</v>
      </c>
      <c r="R3" s="293">
        <f t="shared" si="0"/>
        <v>295900.12999999995</v>
      </c>
      <c r="S3" s="293">
        <f t="shared" si="0"/>
        <v>286545.15999999997</v>
      </c>
      <c r="T3" s="293">
        <f t="shared" si="0"/>
        <v>277164.55</v>
      </c>
      <c r="U3" s="293">
        <f t="shared" si="0"/>
        <v>267758.21999999997</v>
      </c>
      <c r="V3" s="293">
        <f t="shared" si="0"/>
        <v>258326.09999999998</v>
      </c>
      <c r="W3" s="293">
        <f t="shared" si="0"/>
        <v>248868.11999999997</v>
      </c>
      <c r="X3" s="293">
        <f t="shared" si="0"/>
        <v>239384.20999999996</v>
      </c>
      <c r="Y3" s="293">
        <f t="shared" si="0"/>
        <v>229874.28999999995</v>
      </c>
      <c r="Z3" s="293">
        <f t="shared" si="0"/>
        <v>220338.29999999996</v>
      </c>
      <c r="AA3" s="293">
        <f t="shared" si="0"/>
        <v>210776.16999999995</v>
      </c>
      <c r="AB3" s="293">
        <f t="shared" si="0"/>
        <v>201187.81999999995</v>
      </c>
      <c r="AC3" s="293">
        <f t="shared" si="0"/>
        <v>191573.17999999993</v>
      </c>
      <c r="AD3" s="293">
        <f t="shared" si="0"/>
        <v>181932.17999999993</v>
      </c>
      <c r="AE3" s="293">
        <f t="shared" si="0"/>
        <v>172264.74999999994</v>
      </c>
      <c r="AF3" s="293">
        <f t="shared" si="0"/>
        <v>162570.80999999994</v>
      </c>
      <c r="AG3" s="293">
        <f t="shared" si="0"/>
        <v>152850.29999999993</v>
      </c>
      <c r="AH3" s="293">
        <f t="shared" si="0"/>
        <v>143103.13999999993</v>
      </c>
      <c r="AI3" s="293">
        <f t="shared" si="0"/>
        <v>133329.24999999994</v>
      </c>
      <c r="AJ3" s="293">
        <f t="shared" si="0"/>
        <v>123528.56999999995</v>
      </c>
      <c r="AK3" s="293">
        <f t="shared" si="0"/>
        <v>113701.01999999995</v>
      </c>
      <c r="AL3" s="293">
        <f t="shared" si="0"/>
        <v>103846.51999999995</v>
      </c>
      <c r="AM3" s="293">
        <f t="shared" si="0"/>
        <v>93964.999999999942</v>
      </c>
      <c r="AN3" s="293">
        <f t="shared" si="0"/>
        <v>84056.389999999941</v>
      </c>
      <c r="AO3" s="293">
        <f t="shared" si="0"/>
        <v>74120.619999999937</v>
      </c>
      <c r="AP3" s="293">
        <f t="shared" si="0"/>
        <v>64157.599999999933</v>
      </c>
      <c r="AQ3" s="293">
        <f t="shared" si="0"/>
        <v>54167.269999999931</v>
      </c>
      <c r="AR3" s="293">
        <f t="shared" si="0"/>
        <v>44149.54999999993</v>
      </c>
      <c r="AS3" s="293">
        <f t="shared" si="0"/>
        <v>34104.359999999928</v>
      </c>
      <c r="AT3" s="293">
        <f t="shared" si="0"/>
        <v>24031.629999999928</v>
      </c>
      <c r="AU3" s="293">
        <f t="shared" si="0"/>
        <v>13931.289999999928</v>
      </c>
      <c r="AV3" s="293">
        <f t="shared" si="0"/>
        <v>3803.2499999999272</v>
      </c>
      <c r="AW3" s="293">
        <f t="shared" si="0"/>
        <v>-7.2759576141834259E-11</v>
      </c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4"/>
      <c r="BS3" s="293"/>
      <c r="BT3" s="293"/>
      <c r="BU3" s="293"/>
      <c r="BV3" s="293"/>
      <c r="BW3" s="295"/>
    </row>
    <row r="4" spans="1:75">
      <c r="A4" s="288"/>
      <c r="B4" s="289">
        <v>201187.82</v>
      </c>
      <c r="C4" s="290"/>
      <c r="D4" s="290"/>
      <c r="E4" s="290"/>
      <c r="F4" s="290"/>
      <c r="G4" s="291"/>
      <c r="H4" s="292" t="s">
        <v>439</v>
      </c>
      <c r="I4" s="292"/>
      <c r="J4" s="292"/>
      <c r="K4" s="292"/>
      <c r="L4" s="292"/>
      <c r="M4" s="293">
        <v>38032.519999999997</v>
      </c>
      <c r="N4" s="293">
        <v>10166.23</v>
      </c>
      <c r="O4" s="293">
        <v>10166.23</v>
      </c>
      <c r="P4" s="293">
        <v>10166.23</v>
      </c>
      <c r="Q4" s="293">
        <v>10166.23</v>
      </c>
      <c r="R4" s="293">
        <v>10166.23</v>
      </c>
      <c r="S4" s="293">
        <v>10166.23</v>
      </c>
      <c r="T4" s="293">
        <v>10166.23</v>
      </c>
      <c r="U4" s="293">
        <v>10166.23</v>
      </c>
      <c r="V4" s="293">
        <v>10166.23</v>
      </c>
      <c r="W4" s="293">
        <v>10166.23</v>
      </c>
      <c r="X4" s="293">
        <v>10166.23</v>
      </c>
      <c r="Y4" s="293">
        <v>10166.23</v>
      </c>
      <c r="Z4" s="293">
        <v>10166.23</v>
      </c>
      <c r="AA4" s="293">
        <v>10166.23</v>
      </c>
      <c r="AB4" s="293">
        <v>10166.23</v>
      </c>
      <c r="AC4" s="293">
        <v>10166.23</v>
      </c>
      <c r="AD4" s="293">
        <v>10166.23</v>
      </c>
      <c r="AE4" s="293">
        <v>10166.23</v>
      </c>
      <c r="AF4" s="293">
        <v>10166.23</v>
      </c>
      <c r="AG4" s="293">
        <v>10166.23</v>
      </c>
      <c r="AH4" s="293">
        <v>10166.23</v>
      </c>
      <c r="AI4" s="293">
        <v>10166.23</v>
      </c>
      <c r="AJ4" s="293">
        <v>10166.23</v>
      </c>
      <c r="AK4" s="293">
        <v>10166.23</v>
      </c>
      <c r="AL4" s="293">
        <v>10166.23</v>
      </c>
      <c r="AM4" s="293">
        <v>10166.23</v>
      </c>
      <c r="AN4" s="293">
        <v>10166.23</v>
      </c>
      <c r="AO4" s="293">
        <v>10166.23</v>
      </c>
      <c r="AP4" s="293">
        <v>10166.23</v>
      </c>
      <c r="AQ4" s="293">
        <v>10166.23</v>
      </c>
      <c r="AR4" s="293">
        <v>10166.23</v>
      </c>
      <c r="AS4" s="293">
        <v>10166.23</v>
      </c>
      <c r="AT4" s="293">
        <v>10166.23</v>
      </c>
      <c r="AU4" s="293">
        <v>10166.23</v>
      </c>
      <c r="AV4" s="293">
        <v>10166.23</v>
      </c>
      <c r="AW4" s="293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3"/>
      <c r="BT4" s="293"/>
      <c r="BU4" s="293"/>
      <c r="BV4" s="293"/>
      <c r="BW4" s="295"/>
    </row>
    <row r="5" spans="1:75">
      <c r="A5" s="288"/>
      <c r="B5" s="289"/>
      <c r="C5" s="290"/>
      <c r="D5" s="290"/>
      <c r="E5" s="290"/>
      <c r="F5" s="290"/>
      <c r="G5" s="291"/>
      <c r="H5" s="292" t="s">
        <v>440</v>
      </c>
      <c r="I5" s="292"/>
      <c r="J5" s="292"/>
      <c r="K5" s="292"/>
      <c r="L5" s="292"/>
      <c r="M5" s="293">
        <f>M4-M2</f>
        <v>0</v>
      </c>
      <c r="N5" s="293">
        <f t="shared" ref="N5:AV5" si="1">N4-N2</f>
        <v>938.45999999999913</v>
      </c>
      <c r="O5" s="293">
        <f t="shared" si="1"/>
        <v>913.15999999999985</v>
      </c>
      <c r="P5" s="293">
        <f t="shared" si="1"/>
        <v>887.78999999999905</v>
      </c>
      <c r="Q5" s="293">
        <f t="shared" si="1"/>
        <v>862.35000000000036</v>
      </c>
      <c r="R5" s="293">
        <f t="shared" si="1"/>
        <v>836.84000000000015</v>
      </c>
      <c r="S5" s="293">
        <f t="shared" si="1"/>
        <v>811.26000000000022</v>
      </c>
      <c r="T5" s="293">
        <f t="shared" si="1"/>
        <v>785.61999999999898</v>
      </c>
      <c r="U5" s="293">
        <f t="shared" si="1"/>
        <v>759.89999999999964</v>
      </c>
      <c r="V5" s="293">
        <f t="shared" si="1"/>
        <v>734.10999999999876</v>
      </c>
      <c r="W5" s="293">
        <f t="shared" si="1"/>
        <v>708.25</v>
      </c>
      <c r="X5" s="293">
        <f t="shared" si="1"/>
        <v>682.31999999999971</v>
      </c>
      <c r="Y5" s="293">
        <f t="shared" si="1"/>
        <v>656.30999999999949</v>
      </c>
      <c r="Z5" s="293">
        <f t="shared" si="1"/>
        <v>630.23999999999978</v>
      </c>
      <c r="AA5" s="293">
        <f t="shared" si="1"/>
        <v>604.10000000000036</v>
      </c>
      <c r="AB5" s="293">
        <f t="shared" si="1"/>
        <v>577.8799999999992</v>
      </c>
      <c r="AC5" s="293">
        <f t="shared" si="1"/>
        <v>551.59000000000015</v>
      </c>
      <c r="AD5" s="293">
        <f t="shared" si="1"/>
        <v>525.22999999999956</v>
      </c>
      <c r="AE5" s="293">
        <f t="shared" si="1"/>
        <v>498.79999999999927</v>
      </c>
      <c r="AF5" s="293">
        <f t="shared" si="1"/>
        <v>472.28999999999905</v>
      </c>
      <c r="AG5" s="293">
        <f t="shared" si="1"/>
        <v>445.71999999999935</v>
      </c>
      <c r="AH5" s="293">
        <f t="shared" si="1"/>
        <v>419.06999999999971</v>
      </c>
      <c r="AI5" s="293">
        <f t="shared" si="1"/>
        <v>392.34000000000015</v>
      </c>
      <c r="AJ5" s="293">
        <f t="shared" si="1"/>
        <v>365.54999999999927</v>
      </c>
      <c r="AK5" s="293">
        <f t="shared" si="1"/>
        <v>338.68000000000029</v>
      </c>
      <c r="AL5" s="293">
        <f t="shared" si="1"/>
        <v>311.72999999999956</v>
      </c>
      <c r="AM5" s="293">
        <f t="shared" si="1"/>
        <v>284.70999999999913</v>
      </c>
      <c r="AN5" s="293">
        <f t="shared" si="1"/>
        <v>257.61999999999898</v>
      </c>
      <c r="AO5" s="293">
        <f t="shared" si="1"/>
        <v>230.45999999999913</v>
      </c>
      <c r="AP5" s="293">
        <f t="shared" si="1"/>
        <v>203.20999999999913</v>
      </c>
      <c r="AQ5" s="293">
        <f t="shared" si="1"/>
        <v>175.89999999999964</v>
      </c>
      <c r="AR5" s="293">
        <f t="shared" si="1"/>
        <v>148.51000000000022</v>
      </c>
      <c r="AS5" s="293">
        <f t="shared" si="1"/>
        <v>121.03999999999905</v>
      </c>
      <c r="AT5" s="293">
        <f t="shared" si="1"/>
        <v>93.5</v>
      </c>
      <c r="AU5" s="293">
        <f t="shared" si="1"/>
        <v>65.889999999999418</v>
      </c>
      <c r="AV5" s="293">
        <f t="shared" si="1"/>
        <v>38.18999999999869</v>
      </c>
      <c r="AW5" s="293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3"/>
      <c r="BT5" s="293"/>
      <c r="BU5" s="293"/>
      <c r="BV5" s="293"/>
      <c r="BW5" s="295"/>
    </row>
    <row r="6" spans="1:75">
      <c r="A6" s="288"/>
      <c r="B6" s="289"/>
      <c r="C6" s="290"/>
      <c r="D6" s="290"/>
      <c r="E6" s="290"/>
      <c r="F6" s="290"/>
      <c r="G6" s="291"/>
      <c r="H6" s="292" t="s">
        <v>441</v>
      </c>
      <c r="I6" s="292"/>
      <c r="J6" s="292"/>
      <c r="K6" s="292"/>
      <c r="L6" s="292"/>
      <c r="M6" s="293">
        <f>M4-M5</f>
        <v>38032.519999999997</v>
      </c>
      <c r="N6" s="293">
        <f t="shared" ref="N6:AV6" si="2">N4-N5</f>
        <v>9227.77</v>
      </c>
      <c r="O6" s="293">
        <f t="shared" si="2"/>
        <v>9253.07</v>
      </c>
      <c r="P6" s="293">
        <f t="shared" si="2"/>
        <v>9278.44</v>
      </c>
      <c r="Q6" s="293">
        <f t="shared" si="2"/>
        <v>9303.8799999999992</v>
      </c>
      <c r="R6" s="293">
        <f t="shared" si="2"/>
        <v>9329.39</v>
      </c>
      <c r="S6" s="293">
        <f t="shared" si="2"/>
        <v>9354.9699999999993</v>
      </c>
      <c r="T6" s="293">
        <f t="shared" si="2"/>
        <v>9380.61</v>
      </c>
      <c r="U6" s="293">
        <f t="shared" si="2"/>
        <v>9406.33</v>
      </c>
      <c r="V6" s="293">
        <f t="shared" si="2"/>
        <v>9432.1200000000008</v>
      </c>
      <c r="W6" s="293">
        <f t="shared" si="2"/>
        <v>9457.98</v>
      </c>
      <c r="X6" s="293">
        <f t="shared" si="2"/>
        <v>9483.91</v>
      </c>
      <c r="Y6" s="293">
        <f t="shared" si="2"/>
        <v>9509.92</v>
      </c>
      <c r="Z6" s="293">
        <f t="shared" si="2"/>
        <v>9535.99</v>
      </c>
      <c r="AA6" s="293">
        <f t="shared" si="2"/>
        <v>9562.1299999999992</v>
      </c>
      <c r="AB6" s="293">
        <f t="shared" si="2"/>
        <v>9588.35</v>
      </c>
      <c r="AC6" s="293">
        <f t="shared" si="2"/>
        <v>9614.64</v>
      </c>
      <c r="AD6" s="293">
        <f t="shared" si="2"/>
        <v>9641</v>
      </c>
      <c r="AE6" s="293">
        <f t="shared" si="2"/>
        <v>9667.43</v>
      </c>
      <c r="AF6" s="293">
        <f t="shared" si="2"/>
        <v>9693.94</v>
      </c>
      <c r="AG6" s="293">
        <f t="shared" si="2"/>
        <v>9720.51</v>
      </c>
      <c r="AH6" s="293">
        <f t="shared" si="2"/>
        <v>9747.16</v>
      </c>
      <c r="AI6" s="293">
        <f t="shared" si="2"/>
        <v>9773.89</v>
      </c>
      <c r="AJ6" s="293">
        <f t="shared" si="2"/>
        <v>9800.68</v>
      </c>
      <c r="AK6" s="293">
        <f t="shared" si="2"/>
        <v>9827.5499999999993</v>
      </c>
      <c r="AL6" s="293">
        <f t="shared" si="2"/>
        <v>9854.5</v>
      </c>
      <c r="AM6" s="293">
        <f t="shared" si="2"/>
        <v>9881.52</v>
      </c>
      <c r="AN6" s="293">
        <f t="shared" si="2"/>
        <v>9908.61</v>
      </c>
      <c r="AO6" s="293">
        <f t="shared" si="2"/>
        <v>9935.77</v>
      </c>
      <c r="AP6" s="293">
        <f t="shared" si="2"/>
        <v>9963.02</v>
      </c>
      <c r="AQ6" s="293">
        <f t="shared" si="2"/>
        <v>9990.33</v>
      </c>
      <c r="AR6" s="293">
        <f t="shared" si="2"/>
        <v>10017.719999999999</v>
      </c>
      <c r="AS6" s="293">
        <f t="shared" si="2"/>
        <v>10045.19</v>
      </c>
      <c r="AT6" s="293">
        <f t="shared" si="2"/>
        <v>10072.73</v>
      </c>
      <c r="AU6" s="293">
        <f t="shared" si="2"/>
        <v>10100.34</v>
      </c>
      <c r="AV6" s="293">
        <f t="shared" si="2"/>
        <v>10128.040000000001</v>
      </c>
      <c r="AW6" s="293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  <c r="BJ6" s="294"/>
      <c r="BK6" s="294"/>
      <c r="BL6" s="294"/>
      <c r="BM6" s="294"/>
      <c r="BN6" s="294"/>
      <c r="BO6" s="294"/>
      <c r="BP6" s="294"/>
      <c r="BQ6" s="294"/>
      <c r="BR6" s="294"/>
      <c r="BS6" s="293"/>
      <c r="BT6" s="293"/>
      <c r="BU6" s="293"/>
      <c r="BV6" s="293"/>
      <c r="BW6" s="295"/>
    </row>
    <row r="7" spans="1:75">
      <c r="A7" s="288"/>
      <c r="B7" s="289"/>
      <c r="C7" s="290"/>
      <c r="D7" s="290"/>
      <c r="E7" s="290"/>
      <c r="F7" s="290"/>
      <c r="G7" s="291"/>
      <c r="H7" s="292" t="s">
        <v>412</v>
      </c>
      <c r="I7" s="292"/>
      <c r="J7" s="292"/>
      <c r="K7" s="292"/>
      <c r="L7" s="292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  <c r="BJ7" s="294"/>
      <c r="BK7" s="294"/>
      <c r="BL7" s="294"/>
      <c r="BM7" s="294"/>
      <c r="BN7" s="294"/>
      <c r="BO7" s="294"/>
      <c r="BP7" s="294"/>
      <c r="BQ7" s="294"/>
      <c r="BR7" s="294"/>
      <c r="BS7" s="294"/>
      <c r="BT7" s="294"/>
      <c r="BU7" s="294"/>
      <c r="BV7" s="294"/>
      <c r="BW7" s="295"/>
    </row>
    <row r="8" spans="1:75" ht="13.5" thickBot="1">
      <c r="A8" s="296"/>
      <c r="B8" s="297"/>
      <c r="C8" s="298"/>
      <c r="D8" s="298"/>
      <c r="E8" s="298"/>
      <c r="F8" s="298"/>
      <c r="G8" s="299"/>
      <c r="H8" s="300" t="s">
        <v>442</v>
      </c>
      <c r="I8" s="300"/>
      <c r="J8" s="300"/>
      <c r="K8" s="300"/>
      <c r="L8" s="300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  <c r="AO8" s="301">
        <f t="shared" ref="AO8:AW8" si="3">AO7-AO3</f>
        <v>-74120.619999999937</v>
      </c>
      <c r="AP8" s="301">
        <f t="shared" si="3"/>
        <v>-64157.599999999933</v>
      </c>
      <c r="AQ8" s="301">
        <f t="shared" si="3"/>
        <v>-54167.269999999931</v>
      </c>
      <c r="AR8" s="301">
        <f t="shared" si="3"/>
        <v>-44149.54999999993</v>
      </c>
      <c r="AS8" s="301">
        <f t="shared" si="3"/>
        <v>-34104.359999999928</v>
      </c>
      <c r="AT8" s="301">
        <f t="shared" si="3"/>
        <v>-24031.629999999928</v>
      </c>
      <c r="AU8" s="301">
        <f t="shared" si="3"/>
        <v>-13931.289999999928</v>
      </c>
      <c r="AV8" s="301">
        <f t="shared" si="3"/>
        <v>-3803.2499999999272</v>
      </c>
      <c r="AW8" s="301">
        <f t="shared" si="3"/>
        <v>7.2759576141834259E-11</v>
      </c>
      <c r="AX8" s="302"/>
      <c r="AY8" s="302"/>
      <c r="AZ8" s="302"/>
      <c r="BA8" s="302"/>
      <c r="BB8" s="302"/>
      <c r="BC8" s="302"/>
      <c r="BD8" s="302"/>
      <c r="BE8" s="302"/>
      <c r="BF8" s="302"/>
      <c r="BG8" s="302"/>
      <c r="BH8" s="302"/>
      <c r="BI8" s="302"/>
      <c r="BJ8" s="302"/>
      <c r="BK8" s="302"/>
      <c r="BL8" s="302"/>
      <c r="BM8" s="302"/>
      <c r="BN8" s="302"/>
      <c r="BO8" s="302"/>
      <c r="BP8" s="302"/>
      <c r="BQ8" s="302"/>
      <c r="BR8" s="302"/>
      <c r="BS8" s="301"/>
      <c r="BT8" s="301"/>
      <c r="BU8" s="301"/>
      <c r="BV8" s="301"/>
      <c r="BW8" s="303"/>
    </row>
    <row r="9" spans="1:75">
      <c r="A9" s="278" t="s">
        <v>286</v>
      </c>
      <c r="B9" s="279" t="s">
        <v>433</v>
      </c>
      <c r="C9" s="280" t="s">
        <v>443</v>
      </c>
      <c r="D9" s="281" t="s">
        <v>444</v>
      </c>
      <c r="E9" s="280" t="s">
        <v>436</v>
      </c>
      <c r="F9" s="281">
        <v>315289</v>
      </c>
      <c r="G9" s="282">
        <v>164800</v>
      </c>
      <c r="H9" s="283" t="s">
        <v>437</v>
      </c>
      <c r="I9" s="283"/>
      <c r="J9" s="283"/>
      <c r="K9" s="283"/>
      <c r="L9" s="283"/>
      <c r="M9" s="284"/>
      <c r="N9" s="284"/>
      <c r="O9" s="284"/>
      <c r="P9" s="284"/>
      <c r="Q9" s="284"/>
      <c r="R9" s="284"/>
      <c r="S9" s="284"/>
      <c r="T9" s="284"/>
      <c r="U9" s="284">
        <v>16480</v>
      </c>
      <c r="V9" s="284">
        <v>4929.1400000000003</v>
      </c>
      <c r="W9" s="284">
        <v>4942.12</v>
      </c>
      <c r="X9" s="284">
        <v>4955.13</v>
      </c>
      <c r="Y9" s="284">
        <v>4968.18</v>
      </c>
      <c r="Z9" s="284">
        <v>4981.26</v>
      </c>
      <c r="AA9" s="284">
        <v>4994.38</v>
      </c>
      <c r="AB9" s="284">
        <v>5007.53</v>
      </c>
      <c r="AC9" s="284">
        <v>5020.72</v>
      </c>
      <c r="AD9" s="284">
        <v>5033.9399999999996</v>
      </c>
      <c r="AE9" s="284">
        <v>5047.2</v>
      </c>
      <c r="AF9" s="284">
        <v>5060.49</v>
      </c>
      <c r="AG9" s="284">
        <v>5073.82</v>
      </c>
      <c r="AH9" s="284">
        <v>5087.18</v>
      </c>
      <c r="AI9" s="284">
        <v>5100.57</v>
      </c>
      <c r="AJ9" s="284">
        <v>5114</v>
      </c>
      <c r="AK9" s="284">
        <v>5127.47</v>
      </c>
      <c r="AL9" s="284">
        <v>5140.97</v>
      </c>
      <c r="AM9" s="284">
        <v>5154.51</v>
      </c>
      <c r="AN9" s="284">
        <v>5168.09</v>
      </c>
      <c r="AO9" s="284">
        <v>5181.7</v>
      </c>
      <c r="AP9" s="284">
        <v>5195.34</v>
      </c>
      <c r="AQ9" s="284">
        <v>5209.0200000000004</v>
      </c>
      <c r="AR9" s="284">
        <v>5222.74</v>
      </c>
      <c r="AS9" s="284">
        <v>5236.5</v>
      </c>
      <c r="AT9" s="284">
        <v>26368</v>
      </c>
      <c r="AU9" s="284"/>
      <c r="AV9" s="284"/>
      <c r="AW9" s="284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5"/>
      <c r="BO9" s="285"/>
      <c r="BP9" s="285"/>
      <c r="BQ9" s="285"/>
      <c r="BR9" s="285"/>
      <c r="BS9" s="284"/>
      <c r="BT9" s="284"/>
      <c r="BU9" s="284"/>
      <c r="BV9" s="284"/>
      <c r="BW9" s="286"/>
    </row>
    <row r="10" spans="1:75">
      <c r="A10" s="288"/>
      <c r="B10" s="289"/>
      <c r="C10" s="290"/>
      <c r="D10" s="290"/>
      <c r="E10" s="290"/>
      <c r="F10" s="290"/>
      <c r="G10" s="291"/>
      <c r="H10" s="292" t="s">
        <v>438</v>
      </c>
      <c r="I10" s="292"/>
      <c r="J10" s="292"/>
      <c r="K10" s="292"/>
      <c r="L10" s="292"/>
      <c r="M10" s="293"/>
      <c r="N10" s="293"/>
      <c r="O10" s="293"/>
      <c r="P10" s="293"/>
      <c r="Q10" s="293"/>
      <c r="R10" s="293"/>
      <c r="S10" s="293"/>
      <c r="T10" s="293"/>
      <c r="U10" s="293">
        <f>G9-U9</f>
        <v>148320</v>
      </c>
      <c r="V10" s="293">
        <f>U10-V9</f>
        <v>143390.85999999999</v>
      </c>
      <c r="W10" s="293">
        <f>V10-W9</f>
        <v>138448.74</v>
      </c>
      <c r="X10" s="293">
        <f t="shared" ref="X10:AL10" si="4">W10-X9</f>
        <v>133493.60999999999</v>
      </c>
      <c r="Y10" s="293">
        <f t="shared" si="4"/>
        <v>128525.43</v>
      </c>
      <c r="Z10" s="293">
        <f t="shared" si="4"/>
        <v>123544.17</v>
      </c>
      <c r="AA10" s="293">
        <f t="shared" si="4"/>
        <v>118549.79</v>
      </c>
      <c r="AB10" s="293">
        <f t="shared" si="4"/>
        <v>113542.26</v>
      </c>
      <c r="AC10" s="293">
        <f t="shared" si="4"/>
        <v>108521.54</v>
      </c>
      <c r="AD10" s="293">
        <f t="shared" si="4"/>
        <v>103487.59999999999</v>
      </c>
      <c r="AE10" s="293">
        <f t="shared" si="4"/>
        <v>98440.4</v>
      </c>
      <c r="AF10" s="293">
        <f t="shared" si="4"/>
        <v>93379.909999999989</v>
      </c>
      <c r="AG10" s="293">
        <f t="shared" si="4"/>
        <v>88306.09</v>
      </c>
      <c r="AH10" s="293">
        <f t="shared" si="4"/>
        <v>83218.91</v>
      </c>
      <c r="AI10" s="293">
        <f t="shared" si="4"/>
        <v>78118.34</v>
      </c>
      <c r="AJ10" s="293">
        <f t="shared" si="4"/>
        <v>73004.34</v>
      </c>
      <c r="AK10" s="293">
        <f t="shared" si="4"/>
        <v>67876.87</v>
      </c>
      <c r="AL10" s="293">
        <f t="shared" si="4"/>
        <v>62735.899999999994</v>
      </c>
      <c r="AM10" s="293">
        <f>AL10-AM9</f>
        <v>57581.389999999992</v>
      </c>
      <c r="AN10" s="293">
        <f t="shared" ref="AN10:AT10" si="5">AM10-AN9</f>
        <v>52413.299999999988</v>
      </c>
      <c r="AO10" s="293">
        <f t="shared" si="5"/>
        <v>47231.599999999991</v>
      </c>
      <c r="AP10" s="293">
        <f t="shared" si="5"/>
        <v>42036.259999999995</v>
      </c>
      <c r="AQ10" s="293">
        <f t="shared" si="5"/>
        <v>36827.239999999991</v>
      </c>
      <c r="AR10" s="293">
        <f t="shared" si="5"/>
        <v>31604.499999999993</v>
      </c>
      <c r="AS10" s="293">
        <f t="shared" si="5"/>
        <v>26367.999999999993</v>
      </c>
      <c r="AT10" s="293">
        <f t="shared" si="5"/>
        <v>0</v>
      </c>
      <c r="AU10" s="293"/>
      <c r="AV10" s="293"/>
      <c r="AW10" s="293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  <c r="BM10" s="294"/>
      <c r="BN10" s="294"/>
      <c r="BO10" s="294"/>
      <c r="BP10" s="294"/>
      <c r="BQ10" s="294"/>
      <c r="BR10" s="294"/>
      <c r="BS10" s="293"/>
      <c r="BT10" s="293"/>
      <c r="BU10" s="293"/>
      <c r="BV10" s="293"/>
      <c r="BW10" s="295"/>
    </row>
    <row r="11" spans="1:75">
      <c r="A11" s="288"/>
      <c r="B11" s="289">
        <v>113542.26</v>
      </c>
      <c r="C11" s="290"/>
      <c r="D11" s="290"/>
      <c r="E11" s="290"/>
      <c r="F11" s="290"/>
      <c r="G11" s="291"/>
      <c r="H11" s="292" t="s">
        <v>439</v>
      </c>
      <c r="I11" s="292"/>
      <c r="J11" s="292"/>
      <c r="K11" s="292"/>
      <c r="L11" s="292"/>
      <c r="M11" s="293"/>
      <c r="N11" s="293"/>
      <c r="O11" s="293"/>
      <c r="P11" s="293"/>
      <c r="Q11" s="293"/>
      <c r="R11" s="293"/>
      <c r="S11" s="293"/>
      <c r="T11" s="293"/>
      <c r="U11" s="293">
        <v>16480</v>
      </c>
      <c r="V11" s="293">
        <v>5329.59</v>
      </c>
      <c r="W11" s="293">
        <v>5329.59</v>
      </c>
      <c r="X11" s="293">
        <v>5329.59</v>
      </c>
      <c r="Y11" s="293">
        <v>5329.59</v>
      </c>
      <c r="Z11" s="293">
        <v>5329.59</v>
      </c>
      <c r="AA11" s="293">
        <v>5329.59</v>
      </c>
      <c r="AB11" s="293">
        <v>5329.59</v>
      </c>
      <c r="AC11" s="293">
        <v>5329.59</v>
      </c>
      <c r="AD11" s="293">
        <v>5329.59</v>
      </c>
      <c r="AE11" s="293">
        <v>5329.59</v>
      </c>
      <c r="AF11" s="293">
        <v>5329.59</v>
      </c>
      <c r="AG11" s="293">
        <v>5329.59</v>
      </c>
      <c r="AH11" s="293">
        <v>5329.59</v>
      </c>
      <c r="AI11" s="293">
        <v>5329.59</v>
      </c>
      <c r="AJ11" s="293">
        <v>5329.59</v>
      </c>
      <c r="AK11" s="293">
        <v>5329.59</v>
      </c>
      <c r="AL11" s="293">
        <v>5329.59</v>
      </c>
      <c r="AM11" s="293">
        <v>5329.59</v>
      </c>
      <c r="AN11" s="293">
        <v>5329.59</v>
      </c>
      <c r="AO11" s="293">
        <v>5329.59</v>
      </c>
      <c r="AP11" s="293">
        <v>5329.59</v>
      </c>
      <c r="AQ11" s="293">
        <v>5329.59</v>
      </c>
      <c r="AR11" s="293">
        <v>5329.59</v>
      </c>
      <c r="AS11" s="293">
        <v>5329.59</v>
      </c>
      <c r="AT11" s="293"/>
      <c r="AU11" s="293"/>
      <c r="AV11" s="293"/>
      <c r="AW11" s="293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  <c r="BK11" s="294"/>
      <c r="BL11" s="294"/>
      <c r="BM11" s="294"/>
      <c r="BN11" s="294"/>
      <c r="BO11" s="294"/>
      <c r="BP11" s="294"/>
      <c r="BQ11" s="294"/>
      <c r="BR11" s="294"/>
      <c r="BS11" s="293"/>
      <c r="BT11" s="293"/>
      <c r="BU11" s="293"/>
      <c r="BV11" s="293"/>
      <c r="BW11" s="295"/>
    </row>
    <row r="12" spans="1:75">
      <c r="A12" s="288"/>
      <c r="B12" s="289"/>
      <c r="C12" s="290"/>
      <c r="D12" s="290"/>
      <c r="E12" s="290"/>
      <c r="F12" s="290"/>
      <c r="G12" s="291"/>
      <c r="H12" s="292" t="s">
        <v>440</v>
      </c>
      <c r="I12" s="292"/>
      <c r="J12" s="292"/>
      <c r="K12" s="292"/>
      <c r="L12" s="292"/>
      <c r="M12" s="293"/>
      <c r="N12" s="293"/>
      <c r="O12" s="293"/>
      <c r="P12" s="293"/>
      <c r="Q12" s="293"/>
      <c r="R12" s="293"/>
      <c r="S12" s="293"/>
      <c r="T12" s="293"/>
      <c r="U12" s="293">
        <f>U11-U9</f>
        <v>0</v>
      </c>
      <c r="V12" s="293">
        <f t="shared" ref="V12:AS12" si="6">V11-V9</f>
        <v>400.44999999999982</v>
      </c>
      <c r="W12" s="293">
        <f t="shared" si="6"/>
        <v>387.47000000000025</v>
      </c>
      <c r="X12" s="293">
        <f t="shared" si="6"/>
        <v>374.46000000000004</v>
      </c>
      <c r="Y12" s="293">
        <f t="shared" si="6"/>
        <v>361.40999999999985</v>
      </c>
      <c r="Z12" s="293">
        <f t="shared" si="6"/>
        <v>348.32999999999993</v>
      </c>
      <c r="AA12" s="293">
        <f t="shared" si="6"/>
        <v>335.21000000000004</v>
      </c>
      <c r="AB12" s="293">
        <f t="shared" si="6"/>
        <v>322.0600000000004</v>
      </c>
      <c r="AC12" s="293">
        <f t="shared" si="6"/>
        <v>308.86999999999989</v>
      </c>
      <c r="AD12" s="293">
        <f t="shared" si="6"/>
        <v>295.65000000000055</v>
      </c>
      <c r="AE12" s="293">
        <f t="shared" si="6"/>
        <v>282.39000000000033</v>
      </c>
      <c r="AF12" s="293">
        <f t="shared" si="6"/>
        <v>269.10000000000036</v>
      </c>
      <c r="AG12" s="293">
        <f t="shared" si="6"/>
        <v>255.77000000000044</v>
      </c>
      <c r="AH12" s="293">
        <f t="shared" si="6"/>
        <v>242.40999999999985</v>
      </c>
      <c r="AI12" s="293">
        <f t="shared" si="6"/>
        <v>229.02000000000044</v>
      </c>
      <c r="AJ12" s="293">
        <f t="shared" si="6"/>
        <v>215.59000000000015</v>
      </c>
      <c r="AK12" s="293">
        <f t="shared" si="6"/>
        <v>202.11999999999989</v>
      </c>
      <c r="AL12" s="293">
        <f t="shared" si="6"/>
        <v>188.61999999999989</v>
      </c>
      <c r="AM12" s="293">
        <f t="shared" si="6"/>
        <v>175.07999999999993</v>
      </c>
      <c r="AN12" s="293">
        <f t="shared" si="6"/>
        <v>161.5</v>
      </c>
      <c r="AO12" s="293">
        <f t="shared" si="6"/>
        <v>147.89000000000033</v>
      </c>
      <c r="AP12" s="293">
        <f t="shared" si="6"/>
        <v>134.25</v>
      </c>
      <c r="AQ12" s="293">
        <f t="shared" si="6"/>
        <v>120.56999999999971</v>
      </c>
      <c r="AR12" s="293">
        <f t="shared" si="6"/>
        <v>106.85000000000036</v>
      </c>
      <c r="AS12" s="293">
        <f t="shared" si="6"/>
        <v>93.090000000000146</v>
      </c>
      <c r="AT12" s="293"/>
      <c r="AU12" s="293"/>
      <c r="AV12" s="293"/>
      <c r="AW12" s="293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4"/>
      <c r="BI12" s="294"/>
      <c r="BJ12" s="294"/>
      <c r="BK12" s="294"/>
      <c r="BL12" s="294"/>
      <c r="BM12" s="294"/>
      <c r="BN12" s="294"/>
      <c r="BO12" s="294"/>
      <c r="BP12" s="294"/>
      <c r="BQ12" s="294"/>
      <c r="BR12" s="294"/>
      <c r="BS12" s="293"/>
      <c r="BT12" s="293"/>
      <c r="BU12" s="293"/>
      <c r="BV12" s="293"/>
      <c r="BW12" s="295"/>
    </row>
    <row r="13" spans="1:75">
      <c r="A13" s="288"/>
      <c r="B13" s="289"/>
      <c r="C13" s="290"/>
      <c r="D13" s="290"/>
      <c r="E13" s="290"/>
      <c r="F13" s="290"/>
      <c r="G13" s="291"/>
      <c r="H13" s="292" t="s">
        <v>441</v>
      </c>
      <c r="I13" s="292"/>
      <c r="J13" s="292"/>
      <c r="K13" s="292"/>
      <c r="L13" s="292"/>
      <c r="M13" s="293"/>
      <c r="N13" s="293"/>
      <c r="O13" s="293"/>
      <c r="P13" s="293"/>
      <c r="Q13" s="293"/>
      <c r="R13" s="293"/>
      <c r="S13" s="293"/>
      <c r="T13" s="293"/>
      <c r="U13" s="293">
        <f>U11-U12</f>
        <v>16480</v>
      </c>
      <c r="V13" s="293">
        <f t="shared" ref="V13:AS13" si="7">V11-V12</f>
        <v>4929.1400000000003</v>
      </c>
      <c r="W13" s="293">
        <f t="shared" si="7"/>
        <v>4942.12</v>
      </c>
      <c r="X13" s="293">
        <f t="shared" si="7"/>
        <v>4955.13</v>
      </c>
      <c r="Y13" s="293">
        <f t="shared" si="7"/>
        <v>4968.18</v>
      </c>
      <c r="Z13" s="293">
        <f t="shared" si="7"/>
        <v>4981.26</v>
      </c>
      <c r="AA13" s="293">
        <f t="shared" si="7"/>
        <v>4994.38</v>
      </c>
      <c r="AB13" s="293">
        <f t="shared" si="7"/>
        <v>5007.53</v>
      </c>
      <c r="AC13" s="293">
        <f t="shared" si="7"/>
        <v>5020.72</v>
      </c>
      <c r="AD13" s="293">
        <f t="shared" si="7"/>
        <v>5033.9399999999996</v>
      </c>
      <c r="AE13" s="293">
        <f t="shared" si="7"/>
        <v>5047.2</v>
      </c>
      <c r="AF13" s="293">
        <f t="shared" si="7"/>
        <v>5060.49</v>
      </c>
      <c r="AG13" s="293">
        <f t="shared" si="7"/>
        <v>5073.82</v>
      </c>
      <c r="AH13" s="293">
        <f t="shared" si="7"/>
        <v>5087.18</v>
      </c>
      <c r="AI13" s="293">
        <f t="shared" si="7"/>
        <v>5100.57</v>
      </c>
      <c r="AJ13" s="293">
        <f t="shared" si="7"/>
        <v>5114</v>
      </c>
      <c r="AK13" s="293">
        <f t="shared" si="7"/>
        <v>5127.47</v>
      </c>
      <c r="AL13" s="293">
        <f t="shared" si="7"/>
        <v>5140.97</v>
      </c>
      <c r="AM13" s="293">
        <f t="shared" si="7"/>
        <v>5154.51</v>
      </c>
      <c r="AN13" s="293">
        <f t="shared" si="7"/>
        <v>5168.09</v>
      </c>
      <c r="AO13" s="293">
        <f t="shared" si="7"/>
        <v>5181.7</v>
      </c>
      <c r="AP13" s="293">
        <f t="shared" si="7"/>
        <v>5195.34</v>
      </c>
      <c r="AQ13" s="293">
        <f t="shared" si="7"/>
        <v>5209.0200000000004</v>
      </c>
      <c r="AR13" s="293">
        <f t="shared" si="7"/>
        <v>5222.74</v>
      </c>
      <c r="AS13" s="293">
        <f t="shared" si="7"/>
        <v>5236.5</v>
      </c>
      <c r="AT13" s="293"/>
      <c r="AU13" s="293"/>
      <c r="AV13" s="293"/>
      <c r="AW13" s="293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4"/>
      <c r="BM13" s="294"/>
      <c r="BN13" s="294"/>
      <c r="BO13" s="294"/>
      <c r="BP13" s="294"/>
      <c r="BQ13" s="294"/>
      <c r="BR13" s="294"/>
      <c r="BS13" s="293"/>
      <c r="BT13" s="293"/>
      <c r="BU13" s="293"/>
      <c r="BV13" s="293"/>
      <c r="BW13" s="295"/>
    </row>
    <row r="14" spans="1:75">
      <c r="A14" s="288"/>
      <c r="B14" s="289"/>
      <c r="C14" s="290"/>
      <c r="D14" s="290"/>
      <c r="E14" s="290"/>
      <c r="F14" s="290"/>
      <c r="G14" s="291"/>
      <c r="H14" s="292" t="s">
        <v>412</v>
      </c>
      <c r="I14" s="292"/>
      <c r="J14" s="292"/>
      <c r="K14" s="292"/>
      <c r="L14" s="292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294"/>
      <c r="BN14" s="294"/>
      <c r="BO14" s="294"/>
      <c r="BP14" s="294"/>
      <c r="BQ14" s="294"/>
      <c r="BR14" s="294"/>
      <c r="BS14" s="294"/>
      <c r="BT14" s="294"/>
      <c r="BU14" s="294"/>
      <c r="BV14" s="294"/>
      <c r="BW14" s="295"/>
    </row>
    <row r="15" spans="1:75" ht="13.5" thickBot="1">
      <c r="A15" s="296"/>
      <c r="B15" s="297"/>
      <c r="C15" s="298"/>
      <c r="D15" s="298"/>
      <c r="E15" s="298"/>
      <c r="F15" s="298"/>
      <c r="G15" s="299"/>
      <c r="H15" s="300" t="s">
        <v>442</v>
      </c>
      <c r="I15" s="300"/>
      <c r="J15" s="300"/>
      <c r="K15" s="300"/>
      <c r="L15" s="300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  <c r="AF15" s="301"/>
      <c r="AG15" s="301"/>
      <c r="AH15" s="301"/>
      <c r="AI15" s="301"/>
      <c r="AJ15" s="301"/>
      <c r="AK15" s="301"/>
      <c r="AL15" s="301"/>
      <c r="AM15" s="301"/>
      <c r="AN15" s="301"/>
      <c r="AO15" s="301">
        <f t="shared" ref="AO15:AT15" si="8">AO14-AO10</f>
        <v>-47231.599999999991</v>
      </c>
      <c r="AP15" s="301">
        <f t="shared" si="8"/>
        <v>-42036.259999999995</v>
      </c>
      <c r="AQ15" s="301">
        <f t="shared" si="8"/>
        <v>-36827.239999999991</v>
      </c>
      <c r="AR15" s="301">
        <f t="shared" si="8"/>
        <v>-31604.499999999993</v>
      </c>
      <c r="AS15" s="301">
        <f t="shared" si="8"/>
        <v>-26367.999999999993</v>
      </c>
      <c r="AT15" s="301">
        <f t="shared" si="8"/>
        <v>0</v>
      </c>
      <c r="AU15" s="301"/>
      <c r="AV15" s="301"/>
      <c r="AW15" s="301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1"/>
      <c r="BT15" s="301"/>
      <c r="BU15" s="301"/>
      <c r="BV15" s="301"/>
      <c r="BW15" s="303"/>
    </row>
    <row r="16" spans="1:75">
      <c r="A16" s="278" t="s">
        <v>288</v>
      </c>
      <c r="B16" s="279" t="s">
        <v>445</v>
      </c>
      <c r="C16" s="280"/>
      <c r="D16" s="281" t="s">
        <v>446</v>
      </c>
      <c r="E16" s="280" t="s">
        <v>436</v>
      </c>
      <c r="F16" s="281">
        <v>316083</v>
      </c>
      <c r="G16" s="282">
        <v>642900</v>
      </c>
      <c r="H16" s="304" t="s">
        <v>437</v>
      </c>
      <c r="I16" s="283"/>
      <c r="J16" s="283"/>
      <c r="K16" s="283"/>
      <c r="L16" s="283"/>
      <c r="M16" s="284"/>
      <c r="N16" s="284"/>
      <c r="O16" s="284"/>
      <c r="P16" s="284"/>
      <c r="Q16" s="284"/>
      <c r="R16" s="284"/>
      <c r="S16" s="284"/>
      <c r="T16" s="284"/>
      <c r="U16" s="284"/>
      <c r="V16" s="284">
        <v>64290</v>
      </c>
      <c r="W16" s="284">
        <v>10134.4</v>
      </c>
      <c r="X16" s="284">
        <v>10158.23</v>
      </c>
      <c r="Y16" s="284">
        <v>10182.11</v>
      </c>
      <c r="Z16" s="284">
        <v>10206.040000000001</v>
      </c>
      <c r="AA16" s="284">
        <v>10230.040000000001</v>
      </c>
      <c r="AB16" s="284">
        <v>10254.09</v>
      </c>
      <c r="AC16" s="284">
        <v>10278.19</v>
      </c>
      <c r="AD16" s="284">
        <v>10302.35</v>
      </c>
      <c r="AE16" s="284">
        <v>10326.57</v>
      </c>
      <c r="AF16" s="284">
        <v>10350.85</v>
      </c>
      <c r="AG16" s="284">
        <v>10375.18</v>
      </c>
      <c r="AH16" s="284">
        <v>10399.57</v>
      </c>
      <c r="AI16" s="284">
        <v>10424.02</v>
      </c>
      <c r="AJ16" s="284">
        <v>10448.52</v>
      </c>
      <c r="AK16" s="284">
        <v>10473.09</v>
      </c>
      <c r="AL16" s="284">
        <v>10497.71</v>
      </c>
      <c r="AM16" s="284">
        <v>10522.39</v>
      </c>
      <c r="AN16" s="284">
        <v>10547.12</v>
      </c>
      <c r="AO16" s="284">
        <v>10571.92</v>
      </c>
      <c r="AP16" s="284">
        <v>10596.77</v>
      </c>
      <c r="AQ16" s="284">
        <v>10621.68</v>
      </c>
      <c r="AR16" s="284">
        <v>10646.65</v>
      </c>
      <c r="AS16" s="284">
        <v>10671.68</v>
      </c>
      <c r="AT16" s="284">
        <v>10696.77</v>
      </c>
      <c r="AU16" s="284">
        <v>10721.91</v>
      </c>
      <c r="AV16" s="284">
        <v>10747.12</v>
      </c>
      <c r="AW16" s="284">
        <v>10772.38</v>
      </c>
      <c r="AX16" s="284">
        <v>10797.71</v>
      </c>
      <c r="AY16" s="284">
        <v>10823.09</v>
      </c>
      <c r="AZ16" s="284">
        <v>10848.54</v>
      </c>
      <c r="BA16" s="284">
        <v>10874.04</v>
      </c>
      <c r="BB16" s="284">
        <v>10899.6</v>
      </c>
      <c r="BC16" s="284">
        <v>10925.22</v>
      </c>
      <c r="BD16" s="284">
        <v>10950.91</v>
      </c>
      <c r="BE16" s="284">
        <v>10976.65</v>
      </c>
      <c r="BF16" s="284">
        <v>11002.46</v>
      </c>
      <c r="BG16" s="284">
        <v>11028.32</v>
      </c>
      <c r="BH16" s="284">
        <v>11054.25</v>
      </c>
      <c r="BI16" s="284">
        <v>11080.23</v>
      </c>
      <c r="BJ16" s="284">
        <v>11106.28</v>
      </c>
      <c r="BK16" s="284">
        <v>11132.39</v>
      </c>
      <c r="BL16" s="284">
        <v>11158.56</v>
      </c>
      <c r="BM16" s="284">
        <v>11184.79</v>
      </c>
      <c r="BN16" s="284">
        <v>11211.09</v>
      </c>
      <c r="BO16" s="284">
        <v>11237.44</v>
      </c>
      <c r="BP16" s="284">
        <v>11263.86</v>
      </c>
      <c r="BQ16" s="284">
        <v>11290.34</v>
      </c>
      <c r="BR16" s="284">
        <v>11316.88</v>
      </c>
      <c r="BS16" s="284">
        <v>64290</v>
      </c>
      <c r="BT16" s="284"/>
      <c r="BU16" s="284"/>
      <c r="BV16" s="284"/>
      <c r="BW16" s="286"/>
    </row>
    <row r="17" spans="1:75">
      <c r="A17" s="288"/>
      <c r="B17" s="289"/>
      <c r="C17" s="290"/>
      <c r="D17" s="290"/>
      <c r="E17" s="290"/>
      <c r="F17" s="290"/>
      <c r="G17" s="291"/>
      <c r="H17" s="305" t="s">
        <v>438</v>
      </c>
      <c r="I17" s="292"/>
      <c r="J17" s="292"/>
      <c r="K17" s="292"/>
      <c r="L17" s="292"/>
      <c r="M17" s="293"/>
      <c r="N17" s="293"/>
      <c r="O17" s="293"/>
      <c r="P17" s="293"/>
      <c r="Q17" s="293"/>
      <c r="R17" s="293"/>
      <c r="S17" s="293"/>
      <c r="T17" s="293"/>
      <c r="U17" s="293"/>
      <c r="V17" s="293">
        <f>G16-V16</f>
        <v>578610</v>
      </c>
      <c r="W17" s="293">
        <f>V17-W16</f>
        <v>568475.6</v>
      </c>
      <c r="X17" s="293">
        <f t="shared" ref="X17:AL17" si="9">W17-X16</f>
        <v>558317.37</v>
      </c>
      <c r="Y17" s="293">
        <f t="shared" si="9"/>
        <v>548135.26</v>
      </c>
      <c r="Z17" s="293">
        <f t="shared" si="9"/>
        <v>537929.22</v>
      </c>
      <c r="AA17" s="293">
        <f t="shared" si="9"/>
        <v>527699.17999999993</v>
      </c>
      <c r="AB17" s="293">
        <f t="shared" si="9"/>
        <v>517445.08999999991</v>
      </c>
      <c r="AC17" s="293">
        <f t="shared" si="9"/>
        <v>507166.89999999991</v>
      </c>
      <c r="AD17" s="293">
        <f t="shared" si="9"/>
        <v>496864.54999999993</v>
      </c>
      <c r="AE17" s="293">
        <f t="shared" si="9"/>
        <v>486537.97999999992</v>
      </c>
      <c r="AF17" s="293">
        <f t="shared" si="9"/>
        <v>476187.12999999995</v>
      </c>
      <c r="AG17" s="293">
        <f t="shared" si="9"/>
        <v>465811.94999999995</v>
      </c>
      <c r="AH17" s="293">
        <f t="shared" si="9"/>
        <v>455412.37999999995</v>
      </c>
      <c r="AI17" s="293">
        <f t="shared" si="9"/>
        <v>444988.35999999993</v>
      </c>
      <c r="AJ17" s="293">
        <f t="shared" si="9"/>
        <v>434539.83999999991</v>
      </c>
      <c r="AK17" s="293">
        <f t="shared" si="9"/>
        <v>424066.74999999988</v>
      </c>
      <c r="AL17" s="293">
        <f t="shared" si="9"/>
        <v>413569.03999999986</v>
      </c>
      <c r="AM17" s="293">
        <f>AL17-AM16</f>
        <v>403046.64999999985</v>
      </c>
      <c r="AN17" s="293">
        <f t="shared" ref="AN17:BS17" si="10">AM17-AN16</f>
        <v>392499.52999999985</v>
      </c>
      <c r="AO17" s="293">
        <f t="shared" si="10"/>
        <v>381927.60999999987</v>
      </c>
      <c r="AP17" s="293">
        <f t="shared" si="10"/>
        <v>371330.83999999985</v>
      </c>
      <c r="AQ17" s="293">
        <f t="shared" si="10"/>
        <v>360709.15999999986</v>
      </c>
      <c r="AR17" s="293">
        <f t="shared" si="10"/>
        <v>350062.50999999983</v>
      </c>
      <c r="AS17" s="293">
        <f t="shared" si="10"/>
        <v>339390.82999999984</v>
      </c>
      <c r="AT17" s="293">
        <f t="shared" si="10"/>
        <v>328694.05999999982</v>
      </c>
      <c r="AU17" s="293">
        <f t="shared" si="10"/>
        <v>317972.14999999985</v>
      </c>
      <c r="AV17" s="293">
        <f t="shared" si="10"/>
        <v>307225.02999999985</v>
      </c>
      <c r="AW17" s="293">
        <f t="shared" si="10"/>
        <v>296452.64999999985</v>
      </c>
      <c r="AX17" s="293">
        <f t="shared" si="10"/>
        <v>285654.93999999983</v>
      </c>
      <c r="AY17" s="293">
        <f t="shared" si="10"/>
        <v>274831.8499999998</v>
      </c>
      <c r="AZ17" s="293">
        <f t="shared" si="10"/>
        <v>263983.30999999982</v>
      </c>
      <c r="BA17" s="293">
        <f t="shared" si="10"/>
        <v>253109.26999999981</v>
      </c>
      <c r="BB17" s="293">
        <f t="shared" si="10"/>
        <v>242209.66999999981</v>
      </c>
      <c r="BC17" s="293">
        <f t="shared" si="10"/>
        <v>231284.44999999981</v>
      </c>
      <c r="BD17" s="293">
        <f t="shared" si="10"/>
        <v>220333.5399999998</v>
      </c>
      <c r="BE17" s="293">
        <f t="shared" si="10"/>
        <v>209356.88999999981</v>
      </c>
      <c r="BF17" s="293">
        <f t="shared" si="10"/>
        <v>198354.42999999982</v>
      </c>
      <c r="BG17" s="293">
        <f t="shared" si="10"/>
        <v>187326.10999999981</v>
      </c>
      <c r="BH17" s="293">
        <f t="shared" si="10"/>
        <v>176271.85999999981</v>
      </c>
      <c r="BI17" s="293">
        <f t="shared" si="10"/>
        <v>165191.6299999998</v>
      </c>
      <c r="BJ17" s="293">
        <f t="shared" si="10"/>
        <v>154085.3499999998</v>
      </c>
      <c r="BK17" s="293">
        <f t="shared" si="10"/>
        <v>142952.95999999979</v>
      </c>
      <c r="BL17" s="293">
        <f t="shared" si="10"/>
        <v>131794.39999999979</v>
      </c>
      <c r="BM17" s="293">
        <f t="shared" si="10"/>
        <v>120609.60999999978</v>
      </c>
      <c r="BN17" s="293">
        <f t="shared" si="10"/>
        <v>109398.51999999979</v>
      </c>
      <c r="BO17" s="293">
        <f t="shared" si="10"/>
        <v>98161.079999999783</v>
      </c>
      <c r="BP17" s="293">
        <f t="shared" si="10"/>
        <v>86897.219999999783</v>
      </c>
      <c r="BQ17" s="293">
        <f t="shared" si="10"/>
        <v>75606.879999999786</v>
      </c>
      <c r="BR17" s="293">
        <f t="shared" si="10"/>
        <v>64289.999999999789</v>
      </c>
      <c r="BS17" s="293">
        <f t="shared" si="10"/>
        <v>-2.1100277081131935E-10</v>
      </c>
      <c r="BT17" s="293"/>
      <c r="BU17" s="293"/>
      <c r="BV17" s="293"/>
      <c r="BW17" s="295"/>
    </row>
    <row r="18" spans="1:75">
      <c r="A18" s="288"/>
      <c r="B18" s="289">
        <v>517236.6</v>
      </c>
      <c r="C18" s="290"/>
      <c r="D18" s="290"/>
      <c r="E18" s="290"/>
      <c r="F18" s="290"/>
      <c r="G18" s="291"/>
      <c r="H18" s="292" t="s">
        <v>439</v>
      </c>
      <c r="I18" s="292"/>
      <c r="J18" s="292"/>
      <c r="K18" s="292"/>
      <c r="L18" s="292"/>
      <c r="M18" s="293"/>
      <c r="N18" s="293"/>
      <c r="O18" s="293"/>
      <c r="P18" s="293"/>
      <c r="Q18" s="293"/>
      <c r="R18" s="293"/>
      <c r="S18" s="293"/>
      <c r="T18" s="293"/>
      <c r="U18" s="293"/>
      <c r="V18" s="293">
        <v>64290</v>
      </c>
      <c r="W18" s="293">
        <v>11494.62</v>
      </c>
      <c r="X18" s="293">
        <v>11494.62</v>
      </c>
      <c r="Y18" s="293">
        <v>11494.62</v>
      </c>
      <c r="Z18" s="293">
        <v>11494.62</v>
      </c>
      <c r="AA18" s="293">
        <v>11494.62</v>
      </c>
      <c r="AB18" s="293">
        <v>11494.62</v>
      </c>
      <c r="AC18" s="293">
        <v>11494.62</v>
      </c>
      <c r="AD18" s="293">
        <v>11494.62</v>
      </c>
      <c r="AE18" s="293">
        <v>11494.62</v>
      </c>
      <c r="AF18" s="293">
        <v>11494.62</v>
      </c>
      <c r="AG18" s="293">
        <v>11494.62</v>
      </c>
      <c r="AH18" s="293">
        <v>11494.62</v>
      </c>
      <c r="AI18" s="293">
        <v>11494.62</v>
      </c>
      <c r="AJ18" s="293">
        <v>11494.62</v>
      </c>
      <c r="AK18" s="293">
        <v>11494.62</v>
      </c>
      <c r="AL18" s="293">
        <v>11494.62</v>
      </c>
      <c r="AM18" s="293">
        <v>11494.62</v>
      </c>
      <c r="AN18" s="293">
        <v>11494.62</v>
      </c>
      <c r="AO18" s="293">
        <v>11494.62</v>
      </c>
      <c r="AP18" s="293">
        <v>11494.62</v>
      </c>
      <c r="AQ18" s="293">
        <v>11494.62</v>
      </c>
      <c r="AR18" s="293">
        <v>11494.62</v>
      </c>
      <c r="AS18" s="293">
        <v>11494.62</v>
      </c>
      <c r="AT18" s="293">
        <v>11494.62</v>
      </c>
      <c r="AU18" s="293">
        <v>11494.62</v>
      </c>
      <c r="AV18" s="293">
        <v>11494.62</v>
      </c>
      <c r="AW18" s="293">
        <v>11494.62</v>
      </c>
      <c r="AX18" s="293">
        <v>11494.62</v>
      </c>
      <c r="AY18" s="293">
        <v>11494.62</v>
      </c>
      <c r="AZ18" s="293">
        <v>11494.62</v>
      </c>
      <c r="BA18" s="293">
        <v>11494.62</v>
      </c>
      <c r="BB18" s="293">
        <v>11494.62</v>
      </c>
      <c r="BC18" s="293">
        <v>11494.62</v>
      </c>
      <c r="BD18" s="293">
        <v>11494.62</v>
      </c>
      <c r="BE18" s="293">
        <v>11494.62</v>
      </c>
      <c r="BF18" s="293">
        <v>11494.62</v>
      </c>
      <c r="BG18" s="293">
        <v>11494.62</v>
      </c>
      <c r="BH18" s="293">
        <v>11494.62</v>
      </c>
      <c r="BI18" s="293">
        <v>11494.62</v>
      </c>
      <c r="BJ18" s="293">
        <v>11494.62</v>
      </c>
      <c r="BK18" s="293">
        <v>11494.62</v>
      </c>
      <c r="BL18" s="293">
        <v>11494.62</v>
      </c>
      <c r="BM18" s="293">
        <v>11494.62</v>
      </c>
      <c r="BN18" s="293">
        <v>11494.62</v>
      </c>
      <c r="BO18" s="293">
        <v>11494.62</v>
      </c>
      <c r="BP18" s="293">
        <v>11494.62</v>
      </c>
      <c r="BQ18" s="293">
        <v>11494.62</v>
      </c>
      <c r="BR18" s="293">
        <v>11494.62</v>
      </c>
      <c r="BS18" s="293"/>
      <c r="BT18" s="293"/>
      <c r="BU18" s="293"/>
      <c r="BV18" s="293"/>
      <c r="BW18" s="295"/>
    </row>
    <row r="19" spans="1:75">
      <c r="A19" s="288"/>
      <c r="B19" s="289"/>
      <c r="C19" s="290"/>
      <c r="D19" s="290"/>
      <c r="E19" s="290"/>
      <c r="F19" s="290"/>
      <c r="G19" s="291"/>
      <c r="H19" s="292" t="s">
        <v>440</v>
      </c>
      <c r="I19" s="292"/>
      <c r="J19" s="292"/>
      <c r="K19" s="292"/>
      <c r="L19" s="292"/>
      <c r="M19" s="293"/>
      <c r="N19" s="293"/>
      <c r="O19" s="293"/>
      <c r="P19" s="293"/>
      <c r="Q19" s="293"/>
      <c r="R19" s="293"/>
      <c r="S19" s="293"/>
      <c r="T19" s="293"/>
      <c r="U19" s="293"/>
      <c r="V19" s="293">
        <f>V18-V16</f>
        <v>0</v>
      </c>
      <c r="W19" s="293">
        <f t="shared" ref="W19:BR19" si="11">W18-W16</f>
        <v>1360.2200000000012</v>
      </c>
      <c r="X19" s="293">
        <f t="shared" si="11"/>
        <v>1336.3900000000012</v>
      </c>
      <c r="Y19" s="293">
        <f t="shared" si="11"/>
        <v>1312.5100000000002</v>
      </c>
      <c r="Z19" s="293">
        <f t="shared" si="11"/>
        <v>1288.58</v>
      </c>
      <c r="AA19" s="293">
        <f t="shared" si="11"/>
        <v>1264.58</v>
      </c>
      <c r="AB19" s="293">
        <f t="shared" si="11"/>
        <v>1240.5300000000007</v>
      </c>
      <c r="AC19" s="293">
        <f t="shared" si="11"/>
        <v>1216.4300000000003</v>
      </c>
      <c r="AD19" s="293">
        <f t="shared" si="11"/>
        <v>1192.2700000000004</v>
      </c>
      <c r="AE19" s="293">
        <f t="shared" si="11"/>
        <v>1168.0500000000011</v>
      </c>
      <c r="AF19" s="293">
        <f t="shared" si="11"/>
        <v>1143.7700000000004</v>
      </c>
      <c r="AG19" s="293">
        <f t="shared" si="11"/>
        <v>1119.4400000000005</v>
      </c>
      <c r="AH19" s="293">
        <f t="shared" si="11"/>
        <v>1095.0500000000011</v>
      </c>
      <c r="AI19" s="293">
        <f t="shared" si="11"/>
        <v>1070.6000000000004</v>
      </c>
      <c r="AJ19" s="293">
        <f t="shared" si="11"/>
        <v>1046.1000000000004</v>
      </c>
      <c r="AK19" s="293">
        <f t="shared" si="11"/>
        <v>1021.5300000000007</v>
      </c>
      <c r="AL19" s="293">
        <f t="shared" si="11"/>
        <v>996.91000000000167</v>
      </c>
      <c r="AM19" s="293">
        <f t="shared" si="11"/>
        <v>972.23000000000138</v>
      </c>
      <c r="AN19" s="293">
        <f t="shared" si="11"/>
        <v>947.5</v>
      </c>
      <c r="AO19" s="293">
        <f t="shared" si="11"/>
        <v>922.70000000000073</v>
      </c>
      <c r="AP19" s="293">
        <f t="shared" si="11"/>
        <v>897.85000000000036</v>
      </c>
      <c r="AQ19" s="293">
        <f t="shared" si="11"/>
        <v>872.94000000000051</v>
      </c>
      <c r="AR19" s="293">
        <f t="shared" si="11"/>
        <v>847.97000000000116</v>
      </c>
      <c r="AS19" s="293">
        <f t="shared" si="11"/>
        <v>822.94000000000051</v>
      </c>
      <c r="AT19" s="293">
        <f t="shared" si="11"/>
        <v>797.85000000000036</v>
      </c>
      <c r="AU19" s="293">
        <f t="shared" si="11"/>
        <v>772.71000000000095</v>
      </c>
      <c r="AV19" s="293">
        <f t="shared" si="11"/>
        <v>747.5</v>
      </c>
      <c r="AW19" s="293">
        <f t="shared" si="11"/>
        <v>722.2400000000016</v>
      </c>
      <c r="AX19" s="293">
        <f t="shared" si="11"/>
        <v>696.91000000000167</v>
      </c>
      <c r="AY19" s="293">
        <f t="shared" si="11"/>
        <v>671.53000000000065</v>
      </c>
      <c r="AZ19" s="293">
        <f t="shared" si="11"/>
        <v>646.07999999999993</v>
      </c>
      <c r="BA19" s="293">
        <f t="shared" si="11"/>
        <v>620.57999999999993</v>
      </c>
      <c r="BB19" s="293">
        <f t="shared" si="11"/>
        <v>595.02000000000044</v>
      </c>
      <c r="BC19" s="293">
        <f t="shared" si="11"/>
        <v>569.40000000000146</v>
      </c>
      <c r="BD19" s="293">
        <f t="shared" si="11"/>
        <v>543.71000000000095</v>
      </c>
      <c r="BE19" s="293">
        <f t="shared" si="11"/>
        <v>517.97000000000116</v>
      </c>
      <c r="BF19" s="293">
        <f t="shared" si="11"/>
        <v>492.16000000000167</v>
      </c>
      <c r="BG19" s="293">
        <f t="shared" si="11"/>
        <v>466.30000000000109</v>
      </c>
      <c r="BH19" s="293">
        <f t="shared" si="11"/>
        <v>440.3700000000008</v>
      </c>
      <c r="BI19" s="293">
        <f t="shared" si="11"/>
        <v>414.39000000000124</v>
      </c>
      <c r="BJ19" s="293">
        <f t="shared" si="11"/>
        <v>388.34000000000015</v>
      </c>
      <c r="BK19" s="293">
        <f t="shared" si="11"/>
        <v>362.23000000000138</v>
      </c>
      <c r="BL19" s="293">
        <f t="shared" si="11"/>
        <v>336.06000000000131</v>
      </c>
      <c r="BM19" s="293">
        <f t="shared" si="11"/>
        <v>309.82999999999993</v>
      </c>
      <c r="BN19" s="293">
        <f t="shared" si="11"/>
        <v>283.53000000000065</v>
      </c>
      <c r="BO19" s="293">
        <f t="shared" si="11"/>
        <v>257.18000000000029</v>
      </c>
      <c r="BP19" s="293">
        <f t="shared" si="11"/>
        <v>230.76000000000022</v>
      </c>
      <c r="BQ19" s="293">
        <f t="shared" si="11"/>
        <v>204.28000000000065</v>
      </c>
      <c r="BR19" s="293">
        <f t="shared" si="11"/>
        <v>177.7400000000016</v>
      </c>
      <c r="BS19" s="293"/>
      <c r="BT19" s="293"/>
      <c r="BU19" s="293"/>
      <c r="BV19" s="293"/>
      <c r="BW19" s="295"/>
    </row>
    <row r="20" spans="1:75">
      <c r="A20" s="288"/>
      <c r="B20" s="289"/>
      <c r="C20" s="290"/>
      <c r="D20" s="290"/>
      <c r="E20" s="290"/>
      <c r="F20" s="290"/>
      <c r="G20" s="291"/>
      <c r="H20" s="292" t="s">
        <v>441</v>
      </c>
      <c r="I20" s="292"/>
      <c r="J20" s="292"/>
      <c r="K20" s="292"/>
      <c r="L20" s="292"/>
      <c r="M20" s="293"/>
      <c r="N20" s="293"/>
      <c r="O20" s="293"/>
      <c r="P20" s="293"/>
      <c r="Q20" s="293"/>
      <c r="R20" s="293"/>
      <c r="S20" s="293"/>
      <c r="T20" s="293"/>
      <c r="U20" s="293"/>
      <c r="V20" s="293">
        <f>V18-V19</f>
        <v>64290</v>
      </c>
      <c r="W20" s="293">
        <f t="shared" ref="W20:BR20" si="12">W18-W19</f>
        <v>10134.4</v>
      </c>
      <c r="X20" s="293">
        <f t="shared" si="12"/>
        <v>10158.23</v>
      </c>
      <c r="Y20" s="293">
        <f t="shared" si="12"/>
        <v>10182.11</v>
      </c>
      <c r="Z20" s="293">
        <f t="shared" si="12"/>
        <v>10206.040000000001</v>
      </c>
      <c r="AA20" s="293">
        <f t="shared" si="12"/>
        <v>10230.040000000001</v>
      </c>
      <c r="AB20" s="293">
        <f t="shared" si="12"/>
        <v>10254.09</v>
      </c>
      <c r="AC20" s="293">
        <f t="shared" si="12"/>
        <v>10278.19</v>
      </c>
      <c r="AD20" s="293">
        <f t="shared" si="12"/>
        <v>10302.35</v>
      </c>
      <c r="AE20" s="293">
        <f t="shared" si="12"/>
        <v>10326.57</v>
      </c>
      <c r="AF20" s="293">
        <f t="shared" si="12"/>
        <v>10350.85</v>
      </c>
      <c r="AG20" s="293">
        <f t="shared" si="12"/>
        <v>10375.18</v>
      </c>
      <c r="AH20" s="293">
        <f t="shared" si="12"/>
        <v>10399.57</v>
      </c>
      <c r="AI20" s="293">
        <f t="shared" si="12"/>
        <v>10424.02</v>
      </c>
      <c r="AJ20" s="293">
        <f t="shared" si="12"/>
        <v>10448.52</v>
      </c>
      <c r="AK20" s="293">
        <f t="shared" si="12"/>
        <v>10473.09</v>
      </c>
      <c r="AL20" s="293">
        <f t="shared" si="12"/>
        <v>10497.71</v>
      </c>
      <c r="AM20" s="293">
        <f t="shared" si="12"/>
        <v>10522.39</v>
      </c>
      <c r="AN20" s="293">
        <f t="shared" si="12"/>
        <v>10547.12</v>
      </c>
      <c r="AO20" s="293">
        <f t="shared" si="12"/>
        <v>10571.92</v>
      </c>
      <c r="AP20" s="293">
        <f t="shared" si="12"/>
        <v>10596.77</v>
      </c>
      <c r="AQ20" s="293">
        <f t="shared" si="12"/>
        <v>10621.68</v>
      </c>
      <c r="AR20" s="293">
        <f t="shared" si="12"/>
        <v>10646.65</v>
      </c>
      <c r="AS20" s="293">
        <f t="shared" si="12"/>
        <v>10671.68</v>
      </c>
      <c r="AT20" s="293">
        <f t="shared" si="12"/>
        <v>10696.77</v>
      </c>
      <c r="AU20" s="293">
        <f t="shared" si="12"/>
        <v>10721.91</v>
      </c>
      <c r="AV20" s="293">
        <f t="shared" si="12"/>
        <v>10747.12</v>
      </c>
      <c r="AW20" s="293">
        <f t="shared" si="12"/>
        <v>10772.38</v>
      </c>
      <c r="AX20" s="293">
        <f t="shared" si="12"/>
        <v>10797.71</v>
      </c>
      <c r="AY20" s="293">
        <f t="shared" si="12"/>
        <v>10823.09</v>
      </c>
      <c r="AZ20" s="293">
        <f t="shared" si="12"/>
        <v>10848.54</v>
      </c>
      <c r="BA20" s="293">
        <f t="shared" si="12"/>
        <v>10874.04</v>
      </c>
      <c r="BB20" s="293">
        <f t="shared" si="12"/>
        <v>10899.6</v>
      </c>
      <c r="BC20" s="293">
        <f t="shared" si="12"/>
        <v>10925.22</v>
      </c>
      <c r="BD20" s="293">
        <f t="shared" si="12"/>
        <v>10950.91</v>
      </c>
      <c r="BE20" s="293">
        <f t="shared" si="12"/>
        <v>10976.65</v>
      </c>
      <c r="BF20" s="293">
        <f t="shared" si="12"/>
        <v>11002.46</v>
      </c>
      <c r="BG20" s="293">
        <f t="shared" si="12"/>
        <v>11028.32</v>
      </c>
      <c r="BH20" s="293">
        <f t="shared" si="12"/>
        <v>11054.25</v>
      </c>
      <c r="BI20" s="293">
        <f t="shared" si="12"/>
        <v>11080.23</v>
      </c>
      <c r="BJ20" s="293">
        <f t="shared" si="12"/>
        <v>11106.28</v>
      </c>
      <c r="BK20" s="293">
        <f t="shared" si="12"/>
        <v>11132.39</v>
      </c>
      <c r="BL20" s="293">
        <f t="shared" si="12"/>
        <v>11158.56</v>
      </c>
      <c r="BM20" s="293">
        <f t="shared" si="12"/>
        <v>11184.79</v>
      </c>
      <c r="BN20" s="293">
        <f t="shared" si="12"/>
        <v>11211.09</v>
      </c>
      <c r="BO20" s="293">
        <f t="shared" si="12"/>
        <v>11237.44</v>
      </c>
      <c r="BP20" s="293">
        <f t="shared" si="12"/>
        <v>11263.86</v>
      </c>
      <c r="BQ20" s="293">
        <f t="shared" si="12"/>
        <v>11290.34</v>
      </c>
      <c r="BR20" s="293">
        <f t="shared" si="12"/>
        <v>11316.88</v>
      </c>
      <c r="BS20" s="293"/>
      <c r="BT20" s="293"/>
      <c r="BU20" s="293"/>
      <c r="BV20" s="293"/>
      <c r="BW20" s="295"/>
    </row>
    <row r="21" spans="1:75">
      <c r="A21" s="288"/>
      <c r="B21" s="289"/>
      <c r="C21" s="290"/>
      <c r="D21" s="290"/>
      <c r="E21" s="290"/>
      <c r="F21" s="290"/>
      <c r="G21" s="291"/>
      <c r="H21" s="305" t="s">
        <v>412</v>
      </c>
      <c r="I21" s="292"/>
      <c r="J21" s="292"/>
      <c r="K21" s="292"/>
      <c r="L21" s="292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4"/>
      <c r="AY21" s="294"/>
      <c r="AZ21" s="294"/>
      <c r="BA21" s="294"/>
      <c r="BB21" s="294"/>
      <c r="BC21" s="294"/>
      <c r="BD21" s="294"/>
      <c r="BE21" s="294"/>
      <c r="BF21" s="294"/>
      <c r="BG21" s="294"/>
      <c r="BH21" s="294"/>
      <c r="BI21" s="294"/>
      <c r="BJ21" s="294"/>
      <c r="BK21" s="294"/>
      <c r="BL21" s="294"/>
      <c r="BM21" s="294"/>
      <c r="BN21" s="294"/>
      <c r="BO21" s="294"/>
      <c r="BP21" s="294"/>
      <c r="BQ21" s="294"/>
      <c r="BR21" s="294"/>
      <c r="BS21" s="294"/>
      <c r="BT21" s="294"/>
      <c r="BU21" s="294"/>
      <c r="BV21" s="294"/>
      <c r="BW21" s="295"/>
    </row>
    <row r="22" spans="1:75" ht="13.5" thickBot="1">
      <c r="A22" s="296"/>
      <c r="B22" s="297"/>
      <c r="C22" s="298"/>
      <c r="D22" s="298"/>
      <c r="E22" s="298"/>
      <c r="F22" s="298"/>
      <c r="G22" s="299"/>
      <c r="H22" s="306" t="s">
        <v>442</v>
      </c>
      <c r="I22" s="300"/>
      <c r="J22" s="300"/>
      <c r="K22" s="300"/>
      <c r="L22" s="300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>
        <f t="shared" ref="AO22:AW22" si="13">AO21-AO17</f>
        <v>-381927.60999999987</v>
      </c>
      <c r="AP22" s="301">
        <f t="shared" si="13"/>
        <v>-371330.83999999985</v>
      </c>
      <c r="AQ22" s="301">
        <f t="shared" si="13"/>
        <v>-360709.15999999986</v>
      </c>
      <c r="AR22" s="301">
        <f t="shared" si="13"/>
        <v>-350062.50999999983</v>
      </c>
      <c r="AS22" s="301">
        <f t="shared" si="13"/>
        <v>-339390.82999999984</v>
      </c>
      <c r="AT22" s="301">
        <f t="shared" si="13"/>
        <v>-328694.05999999982</v>
      </c>
      <c r="AU22" s="301">
        <f t="shared" si="13"/>
        <v>-317972.14999999985</v>
      </c>
      <c r="AV22" s="301">
        <f t="shared" si="13"/>
        <v>-307225.02999999985</v>
      </c>
      <c r="AW22" s="301">
        <f t="shared" si="13"/>
        <v>-296452.64999999985</v>
      </c>
      <c r="AX22" s="301">
        <f>AX21-AX17</f>
        <v>-285654.93999999983</v>
      </c>
      <c r="AY22" s="301">
        <f t="shared" ref="AY22:BS22" si="14">AY21-AY17</f>
        <v>-274831.8499999998</v>
      </c>
      <c r="AZ22" s="301">
        <f t="shared" si="14"/>
        <v>-263983.30999999982</v>
      </c>
      <c r="BA22" s="301">
        <f t="shared" si="14"/>
        <v>-253109.26999999981</v>
      </c>
      <c r="BB22" s="301">
        <f t="shared" si="14"/>
        <v>-242209.66999999981</v>
      </c>
      <c r="BC22" s="301">
        <f t="shared" si="14"/>
        <v>-231284.44999999981</v>
      </c>
      <c r="BD22" s="301">
        <f t="shared" si="14"/>
        <v>-220333.5399999998</v>
      </c>
      <c r="BE22" s="301">
        <f t="shared" si="14"/>
        <v>-209356.88999999981</v>
      </c>
      <c r="BF22" s="301">
        <f t="shared" si="14"/>
        <v>-198354.42999999982</v>
      </c>
      <c r="BG22" s="301">
        <f t="shared" si="14"/>
        <v>-187326.10999999981</v>
      </c>
      <c r="BH22" s="301">
        <f t="shared" si="14"/>
        <v>-176271.85999999981</v>
      </c>
      <c r="BI22" s="301">
        <f t="shared" si="14"/>
        <v>-165191.6299999998</v>
      </c>
      <c r="BJ22" s="301">
        <f t="shared" si="14"/>
        <v>-154085.3499999998</v>
      </c>
      <c r="BK22" s="301">
        <f t="shared" si="14"/>
        <v>-142952.95999999979</v>
      </c>
      <c r="BL22" s="301">
        <f t="shared" si="14"/>
        <v>-131794.39999999979</v>
      </c>
      <c r="BM22" s="301">
        <f t="shared" si="14"/>
        <v>-120609.60999999978</v>
      </c>
      <c r="BN22" s="301">
        <f t="shared" si="14"/>
        <v>-109398.51999999979</v>
      </c>
      <c r="BO22" s="301">
        <f t="shared" si="14"/>
        <v>-98161.079999999783</v>
      </c>
      <c r="BP22" s="301">
        <f t="shared" si="14"/>
        <v>-86897.219999999783</v>
      </c>
      <c r="BQ22" s="301">
        <f t="shared" si="14"/>
        <v>-75606.879999999786</v>
      </c>
      <c r="BR22" s="301">
        <f t="shared" si="14"/>
        <v>-64289.999999999789</v>
      </c>
      <c r="BS22" s="301">
        <f t="shared" si="14"/>
        <v>2.1100277081131935E-10</v>
      </c>
      <c r="BT22" s="301"/>
      <c r="BU22" s="301"/>
      <c r="BV22" s="301"/>
      <c r="BW22" s="303"/>
    </row>
    <row r="23" spans="1:75">
      <c r="A23" s="278" t="s">
        <v>290</v>
      </c>
      <c r="B23" s="279" t="s">
        <v>447</v>
      </c>
      <c r="C23" s="280"/>
      <c r="D23" s="281" t="s">
        <v>448</v>
      </c>
      <c r="E23" s="280" t="s">
        <v>449</v>
      </c>
      <c r="F23" s="281">
        <v>76851</v>
      </c>
      <c r="G23" s="282">
        <v>1027160</v>
      </c>
      <c r="H23" s="304" t="s">
        <v>437</v>
      </c>
      <c r="I23" s="283"/>
      <c r="J23" s="284">
        <v>51358</v>
      </c>
      <c r="K23" s="284">
        <v>14460.77</v>
      </c>
      <c r="L23" s="284">
        <v>14521.32</v>
      </c>
      <c r="M23" s="284">
        <v>14582.12</v>
      </c>
      <c r="N23" s="284">
        <v>14643.18</v>
      </c>
      <c r="O23" s="284">
        <v>14704.49</v>
      </c>
      <c r="P23" s="284">
        <v>14766.06</v>
      </c>
      <c r="Q23" s="284">
        <v>14827.88</v>
      </c>
      <c r="R23" s="284">
        <v>14889.97</v>
      </c>
      <c r="S23" s="284">
        <v>14952.31</v>
      </c>
      <c r="T23" s="284">
        <v>15014.92</v>
      </c>
      <c r="U23" s="284">
        <v>15077.79</v>
      </c>
      <c r="V23" s="284">
        <v>15140.92</v>
      </c>
      <c r="W23" s="284">
        <v>15204.31</v>
      </c>
      <c r="X23" s="284">
        <v>15267.97</v>
      </c>
      <c r="Y23" s="284">
        <v>15331.9</v>
      </c>
      <c r="Z23" s="284">
        <v>15396.1</v>
      </c>
      <c r="AA23" s="284">
        <v>15460.56</v>
      </c>
      <c r="AB23" s="284">
        <v>15525.29</v>
      </c>
      <c r="AC23" s="284">
        <v>15590.3</v>
      </c>
      <c r="AD23" s="284">
        <v>15655.58</v>
      </c>
      <c r="AE23" s="284">
        <v>15721.13</v>
      </c>
      <c r="AF23" s="284">
        <v>15786.95</v>
      </c>
      <c r="AG23" s="284">
        <v>15853.05</v>
      </c>
      <c r="AH23" s="284">
        <v>15919.43</v>
      </c>
      <c r="AI23" s="284">
        <v>15986.08</v>
      </c>
      <c r="AJ23" s="284">
        <v>16053.02</v>
      </c>
      <c r="AK23" s="284">
        <v>16120.23</v>
      </c>
      <c r="AL23" s="284">
        <v>16187.73</v>
      </c>
      <c r="AM23" s="284">
        <v>16255.51</v>
      </c>
      <c r="AN23" s="284">
        <v>16323.57</v>
      </c>
      <c r="AO23" s="284">
        <v>16391.919999999998</v>
      </c>
      <c r="AP23" s="284">
        <v>16460.55</v>
      </c>
      <c r="AQ23" s="284">
        <v>16529.47</v>
      </c>
      <c r="AR23" s="284">
        <v>16598.68</v>
      </c>
      <c r="AS23" s="284">
        <v>16668.18</v>
      </c>
      <c r="AT23" s="284">
        <v>16737.97</v>
      </c>
      <c r="AU23" s="284">
        <v>16808.05</v>
      </c>
      <c r="AV23" s="284">
        <v>16878.43</v>
      </c>
      <c r="AW23" s="284">
        <v>16949.099999999999</v>
      </c>
      <c r="AX23" s="284">
        <v>17020.060000000001</v>
      </c>
      <c r="AY23" s="284">
        <v>17091.330000000002</v>
      </c>
      <c r="AZ23" s="284">
        <v>17162.89</v>
      </c>
      <c r="BA23" s="284">
        <v>17234.75</v>
      </c>
      <c r="BB23" s="284">
        <v>17306.91</v>
      </c>
      <c r="BC23" s="284">
        <v>17379.38</v>
      </c>
      <c r="BD23" s="284">
        <v>17452.14</v>
      </c>
      <c r="BE23" s="284">
        <v>17525.22</v>
      </c>
      <c r="BF23" s="284">
        <v>17598.599999999999</v>
      </c>
      <c r="BG23" s="284">
        <v>17672.28</v>
      </c>
      <c r="BH23" s="284">
        <v>17746.28</v>
      </c>
      <c r="BI23" s="284">
        <v>17820.580000000002</v>
      </c>
      <c r="BJ23" s="284">
        <v>17895.2</v>
      </c>
      <c r="BK23" s="284">
        <v>17970.12</v>
      </c>
      <c r="BL23" s="284">
        <v>18045.36</v>
      </c>
      <c r="BM23" s="284">
        <v>18120.919999999998</v>
      </c>
      <c r="BN23" s="284">
        <v>18196.79</v>
      </c>
      <c r="BO23" s="284">
        <v>18272.98</v>
      </c>
      <c r="BP23" s="284">
        <v>18349.490000000002</v>
      </c>
      <c r="BQ23" s="284">
        <v>18426.32</v>
      </c>
      <c r="BR23" s="284">
        <v>10271.61</v>
      </c>
      <c r="BS23" s="284"/>
      <c r="BT23" s="284"/>
      <c r="BU23" s="284"/>
      <c r="BV23" s="284"/>
      <c r="BW23" s="286"/>
    </row>
    <row r="24" spans="1:75">
      <c r="A24" s="288"/>
      <c r="B24" s="289"/>
      <c r="C24" s="290"/>
      <c r="D24" s="290"/>
      <c r="E24" s="290"/>
      <c r="F24" s="290"/>
      <c r="G24" s="291"/>
      <c r="H24" s="305" t="s">
        <v>438</v>
      </c>
      <c r="I24" s="292"/>
      <c r="J24" s="293">
        <f>G23-J23</f>
        <v>975802</v>
      </c>
      <c r="K24" s="293">
        <f>J24-K23</f>
        <v>961341.23</v>
      </c>
      <c r="L24" s="293">
        <f t="shared" ref="L24:P24" si="15">K24-L23</f>
        <v>946819.91</v>
      </c>
      <c r="M24" s="293">
        <f t="shared" si="15"/>
        <v>932237.79</v>
      </c>
      <c r="N24" s="293">
        <f t="shared" si="15"/>
        <v>917594.61</v>
      </c>
      <c r="O24" s="293">
        <f t="shared" si="15"/>
        <v>902890.12</v>
      </c>
      <c r="P24" s="293">
        <f t="shared" si="15"/>
        <v>888124.05999999994</v>
      </c>
      <c r="Q24" s="293">
        <f>P24-Q23</f>
        <v>873296.17999999993</v>
      </c>
      <c r="R24" s="293">
        <f t="shared" ref="R24:V24" si="16">Q24-R23</f>
        <v>858406.21</v>
      </c>
      <c r="S24" s="293">
        <f t="shared" si="16"/>
        <v>843453.89999999991</v>
      </c>
      <c r="T24" s="293">
        <f t="shared" si="16"/>
        <v>828438.97999999986</v>
      </c>
      <c r="U24" s="293">
        <f t="shared" si="16"/>
        <v>813361.18999999983</v>
      </c>
      <c r="V24" s="293">
        <f t="shared" si="16"/>
        <v>798220.26999999979</v>
      </c>
      <c r="W24" s="293">
        <f>V24-W23</f>
        <v>783015.95999999973</v>
      </c>
      <c r="X24" s="293">
        <f t="shared" ref="X24:AL24" si="17">W24-X23</f>
        <v>767747.98999999976</v>
      </c>
      <c r="Y24" s="293">
        <f t="shared" si="17"/>
        <v>752416.08999999973</v>
      </c>
      <c r="Z24" s="293">
        <f t="shared" si="17"/>
        <v>737019.98999999976</v>
      </c>
      <c r="AA24" s="293">
        <f t="shared" si="17"/>
        <v>721559.4299999997</v>
      </c>
      <c r="AB24" s="293">
        <f t="shared" si="17"/>
        <v>706034.13999999966</v>
      </c>
      <c r="AC24" s="293">
        <f t="shared" si="17"/>
        <v>690443.83999999962</v>
      </c>
      <c r="AD24" s="293">
        <f t="shared" si="17"/>
        <v>674788.25999999966</v>
      </c>
      <c r="AE24" s="293">
        <f t="shared" si="17"/>
        <v>659067.12999999966</v>
      </c>
      <c r="AF24" s="293">
        <f t="shared" si="17"/>
        <v>643280.1799999997</v>
      </c>
      <c r="AG24" s="293">
        <f t="shared" si="17"/>
        <v>627427.12999999966</v>
      </c>
      <c r="AH24" s="293">
        <f t="shared" si="17"/>
        <v>611507.6999999996</v>
      </c>
      <c r="AI24" s="293">
        <f t="shared" si="17"/>
        <v>595521.61999999965</v>
      </c>
      <c r="AJ24" s="293">
        <f t="shared" si="17"/>
        <v>579468.59999999963</v>
      </c>
      <c r="AK24" s="293">
        <f t="shared" si="17"/>
        <v>563348.36999999965</v>
      </c>
      <c r="AL24" s="293">
        <f t="shared" si="17"/>
        <v>547160.63999999966</v>
      </c>
      <c r="AM24" s="293">
        <f>AL24-AM23</f>
        <v>530905.12999999966</v>
      </c>
      <c r="AN24" s="293">
        <f t="shared" ref="AN24:BR24" si="18">AM24-AN23</f>
        <v>514581.55999999965</v>
      </c>
      <c r="AO24" s="293">
        <f t="shared" si="18"/>
        <v>498189.63999999966</v>
      </c>
      <c r="AP24" s="293">
        <f t="shared" si="18"/>
        <v>481729.08999999968</v>
      </c>
      <c r="AQ24" s="293">
        <f t="shared" si="18"/>
        <v>465199.61999999965</v>
      </c>
      <c r="AR24" s="293">
        <f t="shared" si="18"/>
        <v>448600.93999999965</v>
      </c>
      <c r="AS24" s="293">
        <f t="shared" si="18"/>
        <v>431932.75999999966</v>
      </c>
      <c r="AT24" s="293">
        <f t="shared" si="18"/>
        <v>415194.78999999969</v>
      </c>
      <c r="AU24" s="293">
        <f t="shared" si="18"/>
        <v>398386.7399999997</v>
      </c>
      <c r="AV24" s="293">
        <f t="shared" si="18"/>
        <v>381508.30999999971</v>
      </c>
      <c r="AW24" s="293">
        <f t="shared" si="18"/>
        <v>364559.20999999973</v>
      </c>
      <c r="AX24" s="293">
        <f t="shared" si="18"/>
        <v>347539.14999999973</v>
      </c>
      <c r="AY24" s="293">
        <f t="shared" si="18"/>
        <v>330447.81999999972</v>
      </c>
      <c r="AZ24" s="293">
        <f t="shared" si="18"/>
        <v>313284.9299999997</v>
      </c>
      <c r="BA24" s="293">
        <f t="shared" si="18"/>
        <v>296050.1799999997</v>
      </c>
      <c r="BB24" s="293">
        <f t="shared" si="18"/>
        <v>278743.26999999973</v>
      </c>
      <c r="BC24" s="293">
        <f t="shared" si="18"/>
        <v>261363.88999999972</v>
      </c>
      <c r="BD24" s="293">
        <f t="shared" si="18"/>
        <v>243911.74999999971</v>
      </c>
      <c r="BE24" s="293">
        <f t="shared" si="18"/>
        <v>226386.52999999971</v>
      </c>
      <c r="BF24" s="293">
        <f t="shared" si="18"/>
        <v>208787.9299999997</v>
      </c>
      <c r="BG24" s="293">
        <f t="shared" si="18"/>
        <v>191115.6499999997</v>
      </c>
      <c r="BH24" s="293">
        <f t="shared" si="18"/>
        <v>173369.3699999997</v>
      </c>
      <c r="BI24" s="293">
        <f t="shared" si="18"/>
        <v>155548.78999999969</v>
      </c>
      <c r="BJ24" s="293">
        <f t="shared" si="18"/>
        <v>137653.58999999968</v>
      </c>
      <c r="BK24" s="293">
        <f t="shared" si="18"/>
        <v>119683.46999999968</v>
      </c>
      <c r="BL24" s="293">
        <f t="shared" si="18"/>
        <v>101638.10999999968</v>
      </c>
      <c r="BM24" s="293">
        <f t="shared" si="18"/>
        <v>83517.189999999682</v>
      </c>
      <c r="BN24" s="293">
        <f t="shared" si="18"/>
        <v>65320.399999999681</v>
      </c>
      <c r="BO24" s="293">
        <f t="shared" si="18"/>
        <v>47047.419999999678</v>
      </c>
      <c r="BP24" s="293">
        <f t="shared" si="18"/>
        <v>28697.929999999677</v>
      </c>
      <c r="BQ24" s="293">
        <f t="shared" si="18"/>
        <v>10271.609999999677</v>
      </c>
      <c r="BR24" s="293">
        <f t="shared" si="18"/>
        <v>-3.2378011383116245E-10</v>
      </c>
      <c r="BS24" s="293"/>
      <c r="BT24" s="293"/>
      <c r="BU24" s="293"/>
      <c r="BV24" s="293"/>
      <c r="BW24" s="295"/>
    </row>
    <row r="25" spans="1:75">
      <c r="A25" s="288"/>
      <c r="B25" s="289">
        <v>706142.18</v>
      </c>
      <c r="C25" s="290"/>
      <c r="D25" s="290"/>
      <c r="E25" s="290"/>
      <c r="F25" s="290"/>
      <c r="G25" s="291"/>
      <c r="H25" s="292" t="s">
        <v>439</v>
      </c>
      <c r="I25" s="292"/>
      <c r="J25" s="293">
        <v>51358</v>
      </c>
      <c r="K25" s="293">
        <v>18546.490000000002</v>
      </c>
      <c r="L25" s="293">
        <v>18546.490000000002</v>
      </c>
      <c r="M25" s="293">
        <v>18546.490000000002</v>
      </c>
      <c r="N25" s="293">
        <v>18546.490000000002</v>
      </c>
      <c r="O25" s="293">
        <v>18546.490000000002</v>
      </c>
      <c r="P25" s="293">
        <v>18546.490000000002</v>
      </c>
      <c r="Q25" s="293">
        <v>18546.490000000002</v>
      </c>
      <c r="R25" s="293">
        <v>18546.490000000002</v>
      </c>
      <c r="S25" s="293">
        <v>18546.490000000002</v>
      </c>
      <c r="T25" s="293">
        <v>18546.490000000002</v>
      </c>
      <c r="U25" s="293">
        <v>18546.490000000002</v>
      </c>
      <c r="V25" s="293">
        <v>18546.490000000002</v>
      </c>
      <c r="W25" s="293">
        <v>18546.490000000002</v>
      </c>
      <c r="X25" s="293">
        <v>18546.490000000002</v>
      </c>
      <c r="Y25" s="293">
        <v>18546.490000000002</v>
      </c>
      <c r="Z25" s="293">
        <v>18546.490000000002</v>
      </c>
      <c r="AA25" s="293">
        <v>18546.490000000002</v>
      </c>
      <c r="AB25" s="293">
        <v>18546.490000000002</v>
      </c>
      <c r="AC25" s="293">
        <v>18546.490000000002</v>
      </c>
      <c r="AD25" s="293">
        <v>18546.490000000002</v>
      </c>
      <c r="AE25" s="293">
        <v>18546.490000000002</v>
      </c>
      <c r="AF25" s="293">
        <v>18546.490000000002</v>
      </c>
      <c r="AG25" s="293">
        <v>18546.490000000002</v>
      </c>
      <c r="AH25" s="293">
        <v>18546.490000000002</v>
      </c>
      <c r="AI25" s="293">
        <v>18546.490000000002</v>
      </c>
      <c r="AJ25" s="293">
        <v>18546.490000000002</v>
      </c>
      <c r="AK25" s="293">
        <v>18546.490000000002</v>
      </c>
      <c r="AL25" s="293">
        <v>18546.490000000002</v>
      </c>
      <c r="AM25" s="293">
        <v>18546.490000000002</v>
      </c>
      <c r="AN25" s="293">
        <v>18546.490000000002</v>
      </c>
      <c r="AO25" s="293">
        <v>18546.490000000002</v>
      </c>
      <c r="AP25" s="293">
        <v>18546.490000000002</v>
      </c>
      <c r="AQ25" s="293">
        <v>18546.490000000002</v>
      </c>
      <c r="AR25" s="293">
        <v>18546.490000000002</v>
      </c>
      <c r="AS25" s="293">
        <v>18546.490000000002</v>
      </c>
      <c r="AT25" s="293">
        <v>18546.490000000002</v>
      </c>
      <c r="AU25" s="293">
        <v>18546.490000000002</v>
      </c>
      <c r="AV25" s="293">
        <v>18546.490000000002</v>
      </c>
      <c r="AW25" s="293">
        <v>18546.490000000002</v>
      </c>
      <c r="AX25" s="293">
        <v>18546.490000000002</v>
      </c>
      <c r="AY25" s="293">
        <v>18546.490000000002</v>
      </c>
      <c r="AZ25" s="293">
        <v>18546.490000000002</v>
      </c>
      <c r="BA25" s="293">
        <v>18546.490000000002</v>
      </c>
      <c r="BB25" s="293">
        <v>18546.490000000002</v>
      </c>
      <c r="BC25" s="293">
        <v>18546.490000000002</v>
      </c>
      <c r="BD25" s="293">
        <v>18546.490000000002</v>
      </c>
      <c r="BE25" s="293">
        <v>18546.490000000002</v>
      </c>
      <c r="BF25" s="293">
        <v>18546.490000000002</v>
      </c>
      <c r="BG25" s="293">
        <v>18546.490000000002</v>
      </c>
      <c r="BH25" s="293">
        <v>18546.490000000002</v>
      </c>
      <c r="BI25" s="293">
        <v>18546.490000000002</v>
      </c>
      <c r="BJ25" s="293">
        <v>18546.490000000002</v>
      </c>
      <c r="BK25" s="293">
        <v>18546.490000000002</v>
      </c>
      <c r="BL25" s="293">
        <v>18546.490000000002</v>
      </c>
      <c r="BM25" s="293">
        <v>18546.490000000002</v>
      </c>
      <c r="BN25" s="293">
        <v>18546.490000000002</v>
      </c>
      <c r="BO25" s="293">
        <v>18546.490000000002</v>
      </c>
      <c r="BP25" s="293">
        <v>18546.490000000002</v>
      </c>
      <c r="BQ25" s="293">
        <v>18546.490000000002</v>
      </c>
      <c r="BR25" s="293"/>
      <c r="BS25" s="293"/>
      <c r="BT25" s="293"/>
      <c r="BU25" s="293"/>
      <c r="BV25" s="293"/>
      <c r="BW25" s="295"/>
    </row>
    <row r="26" spans="1:75">
      <c r="A26" s="288"/>
      <c r="B26" s="289"/>
      <c r="C26" s="290"/>
      <c r="D26" s="290"/>
      <c r="E26" s="290"/>
      <c r="F26" s="290"/>
      <c r="G26" s="291"/>
      <c r="H26" s="292" t="s">
        <v>440</v>
      </c>
      <c r="I26" s="292"/>
      <c r="J26" s="293">
        <f>J25-J23</f>
        <v>0</v>
      </c>
      <c r="K26" s="293">
        <f t="shared" ref="K26:BQ26" si="19">K25-K23</f>
        <v>4085.7200000000012</v>
      </c>
      <c r="L26" s="293">
        <f t="shared" si="19"/>
        <v>4025.1700000000019</v>
      </c>
      <c r="M26" s="293">
        <f t="shared" si="19"/>
        <v>3964.3700000000008</v>
      </c>
      <c r="N26" s="293">
        <f t="shared" si="19"/>
        <v>3903.3100000000013</v>
      </c>
      <c r="O26" s="293">
        <f t="shared" si="19"/>
        <v>3842.0000000000018</v>
      </c>
      <c r="P26" s="293">
        <f t="shared" si="19"/>
        <v>3780.4300000000021</v>
      </c>
      <c r="Q26" s="293">
        <f t="shared" si="19"/>
        <v>3718.6100000000024</v>
      </c>
      <c r="R26" s="293">
        <f t="shared" si="19"/>
        <v>3656.5200000000023</v>
      </c>
      <c r="S26" s="293">
        <f t="shared" si="19"/>
        <v>3594.1800000000021</v>
      </c>
      <c r="T26" s="293">
        <f t="shared" si="19"/>
        <v>3531.5700000000015</v>
      </c>
      <c r="U26" s="293">
        <f t="shared" si="19"/>
        <v>3468.7000000000007</v>
      </c>
      <c r="V26" s="293">
        <f t="shared" si="19"/>
        <v>3405.5700000000015</v>
      </c>
      <c r="W26" s="293">
        <f t="shared" si="19"/>
        <v>3342.1800000000021</v>
      </c>
      <c r="X26" s="293">
        <f t="shared" si="19"/>
        <v>3278.5200000000023</v>
      </c>
      <c r="Y26" s="293">
        <f t="shared" si="19"/>
        <v>3214.590000000002</v>
      </c>
      <c r="Z26" s="293">
        <f t="shared" si="19"/>
        <v>3150.3900000000012</v>
      </c>
      <c r="AA26" s="293">
        <f t="shared" si="19"/>
        <v>3085.9300000000021</v>
      </c>
      <c r="AB26" s="293">
        <f t="shared" si="19"/>
        <v>3021.2000000000007</v>
      </c>
      <c r="AC26" s="293">
        <f t="shared" si="19"/>
        <v>2956.1900000000023</v>
      </c>
      <c r="AD26" s="293">
        <f t="shared" si="19"/>
        <v>2890.9100000000017</v>
      </c>
      <c r="AE26" s="293">
        <f t="shared" si="19"/>
        <v>2825.3600000000024</v>
      </c>
      <c r="AF26" s="293">
        <f t="shared" si="19"/>
        <v>2759.5400000000009</v>
      </c>
      <c r="AG26" s="293">
        <f t="shared" si="19"/>
        <v>2693.4400000000023</v>
      </c>
      <c r="AH26" s="293">
        <f t="shared" si="19"/>
        <v>2627.0600000000013</v>
      </c>
      <c r="AI26" s="293">
        <f t="shared" si="19"/>
        <v>2560.4100000000017</v>
      </c>
      <c r="AJ26" s="293">
        <f t="shared" si="19"/>
        <v>2493.4700000000012</v>
      </c>
      <c r="AK26" s="293">
        <f t="shared" si="19"/>
        <v>2426.260000000002</v>
      </c>
      <c r="AL26" s="293">
        <f t="shared" si="19"/>
        <v>2358.760000000002</v>
      </c>
      <c r="AM26" s="293">
        <f t="shared" si="19"/>
        <v>2290.9800000000014</v>
      </c>
      <c r="AN26" s="293">
        <f t="shared" si="19"/>
        <v>2222.9200000000019</v>
      </c>
      <c r="AO26" s="293">
        <f t="shared" si="19"/>
        <v>2154.5700000000033</v>
      </c>
      <c r="AP26" s="293">
        <f t="shared" si="19"/>
        <v>2085.9400000000023</v>
      </c>
      <c r="AQ26" s="293">
        <f t="shared" si="19"/>
        <v>2017.0200000000004</v>
      </c>
      <c r="AR26" s="293">
        <f t="shared" si="19"/>
        <v>1947.8100000000013</v>
      </c>
      <c r="AS26" s="293">
        <f t="shared" si="19"/>
        <v>1878.3100000000013</v>
      </c>
      <c r="AT26" s="293">
        <f t="shared" si="19"/>
        <v>1808.5200000000004</v>
      </c>
      <c r="AU26" s="293">
        <f t="shared" si="19"/>
        <v>1738.4400000000023</v>
      </c>
      <c r="AV26" s="293">
        <f t="shared" si="19"/>
        <v>1668.0600000000013</v>
      </c>
      <c r="AW26" s="293">
        <f t="shared" si="19"/>
        <v>1597.3900000000031</v>
      </c>
      <c r="AX26" s="293">
        <f t="shared" si="19"/>
        <v>1526.4300000000003</v>
      </c>
      <c r="AY26" s="293">
        <f t="shared" si="19"/>
        <v>1455.1599999999999</v>
      </c>
      <c r="AZ26" s="293">
        <f t="shared" si="19"/>
        <v>1383.6000000000022</v>
      </c>
      <c r="BA26" s="293">
        <f t="shared" si="19"/>
        <v>1311.7400000000016</v>
      </c>
      <c r="BB26" s="293">
        <f t="shared" si="19"/>
        <v>1239.5800000000017</v>
      </c>
      <c r="BC26" s="293">
        <f t="shared" si="19"/>
        <v>1167.1100000000006</v>
      </c>
      <c r="BD26" s="293">
        <f t="shared" si="19"/>
        <v>1094.3500000000022</v>
      </c>
      <c r="BE26" s="293">
        <f t="shared" si="19"/>
        <v>1021.2700000000004</v>
      </c>
      <c r="BF26" s="293">
        <f t="shared" si="19"/>
        <v>947.89000000000306</v>
      </c>
      <c r="BG26" s="293">
        <f t="shared" si="19"/>
        <v>874.21000000000276</v>
      </c>
      <c r="BH26" s="293">
        <f t="shared" si="19"/>
        <v>800.21000000000276</v>
      </c>
      <c r="BI26" s="293">
        <f t="shared" si="19"/>
        <v>725.90999999999985</v>
      </c>
      <c r="BJ26" s="293">
        <f t="shared" si="19"/>
        <v>651.29000000000087</v>
      </c>
      <c r="BK26" s="293">
        <f t="shared" si="19"/>
        <v>576.37000000000262</v>
      </c>
      <c r="BL26" s="293">
        <f t="shared" si="19"/>
        <v>501.13000000000102</v>
      </c>
      <c r="BM26" s="293">
        <f t="shared" si="19"/>
        <v>425.57000000000335</v>
      </c>
      <c r="BN26" s="293">
        <f t="shared" si="19"/>
        <v>349.70000000000073</v>
      </c>
      <c r="BO26" s="293">
        <f t="shared" si="19"/>
        <v>273.51000000000204</v>
      </c>
      <c r="BP26" s="293">
        <f t="shared" si="19"/>
        <v>197</v>
      </c>
      <c r="BQ26" s="293">
        <f t="shared" si="19"/>
        <v>120.17000000000189</v>
      </c>
      <c r="BR26" s="293"/>
      <c r="BS26" s="293"/>
      <c r="BT26" s="293"/>
      <c r="BU26" s="293"/>
      <c r="BV26" s="293"/>
      <c r="BW26" s="295"/>
    </row>
    <row r="27" spans="1:75">
      <c r="A27" s="288"/>
      <c r="B27" s="289"/>
      <c r="C27" s="290"/>
      <c r="D27" s="290"/>
      <c r="E27" s="290"/>
      <c r="F27" s="290"/>
      <c r="G27" s="291"/>
      <c r="H27" s="292" t="s">
        <v>441</v>
      </c>
      <c r="I27" s="292"/>
      <c r="J27" s="293">
        <f>J25-J26</f>
        <v>51358</v>
      </c>
      <c r="K27" s="293">
        <f t="shared" ref="K27:BQ27" si="20">K25-K26</f>
        <v>14460.77</v>
      </c>
      <c r="L27" s="293">
        <f t="shared" si="20"/>
        <v>14521.32</v>
      </c>
      <c r="M27" s="293">
        <f t="shared" si="20"/>
        <v>14582.12</v>
      </c>
      <c r="N27" s="293">
        <f t="shared" si="20"/>
        <v>14643.18</v>
      </c>
      <c r="O27" s="293">
        <f t="shared" si="20"/>
        <v>14704.49</v>
      </c>
      <c r="P27" s="293">
        <f t="shared" si="20"/>
        <v>14766.06</v>
      </c>
      <c r="Q27" s="293">
        <f t="shared" si="20"/>
        <v>14827.88</v>
      </c>
      <c r="R27" s="293">
        <f t="shared" si="20"/>
        <v>14889.97</v>
      </c>
      <c r="S27" s="293">
        <f t="shared" si="20"/>
        <v>14952.31</v>
      </c>
      <c r="T27" s="293">
        <f t="shared" si="20"/>
        <v>15014.92</v>
      </c>
      <c r="U27" s="293">
        <f t="shared" si="20"/>
        <v>15077.79</v>
      </c>
      <c r="V27" s="293">
        <f t="shared" si="20"/>
        <v>15140.92</v>
      </c>
      <c r="W27" s="293">
        <f t="shared" si="20"/>
        <v>15204.31</v>
      </c>
      <c r="X27" s="293">
        <f t="shared" si="20"/>
        <v>15267.97</v>
      </c>
      <c r="Y27" s="293">
        <f t="shared" si="20"/>
        <v>15331.9</v>
      </c>
      <c r="Z27" s="293">
        <f t="shared" si="20"/>
        <v>15396.1</v>
      </c>
      <c r="AA27" s="293">
        <f t="shared" si="20"/>
        <v>15460.56</v>
      </c>
      <c r="AB27" s="293">
        <f t="shared" si="20"/>
        <v>15525.29</v>
      </c>
      <c r="AC27" s="293">
        <f t="shared" si="20"/>
        <v>15590.3</v>
      </c>
      <c r="AD27" s="293">
        <f t="shared" si="20"/>
        <v>15655.58</v>
      </c>
      <c r="AE27" s="293">
        <f t="shared" si="20"/>
        <v>15721.13</v>
      </c>
      <c r="AF27" s="293">
        <f t="shared" si="20"/>
        <v>15786.95</v>
      </c>
      <c r="AG27" s="293">
        <f t="shared" si="20"/>
        <v>15853.05</v>
      </c>
      <c r="AH27" s="293">
        <f t="shared" si="20"/>
        <v>15919.43</v>
      </c>
      <c r="AI27" s="293">
        <f t="shared" si="20"/>
        <v>15986.08</v>
      </c>
      <c r="AJ27" s="293">
        <f t="shared" si="20"/>
        <v>16053.02</v>
      </c>
      <c r="AK27" s="293">
        <f t="shared" si="20"/>
        <v>16120.23</v>
      </c>
      <c r="AL27" s="293">
        <f t="shared" si="20"/>
        <v>16187.73</v>
      </c>
      <c r="AM27" s="293">
        <f t="shared" si="20"/>
        <v>16255.51</v>
      </c>
      <c r="AN27" s="293">
        <f t="shared" si="20"/>
        <v>16323.57</v>
      </c>
      <c r="AO27" s="293">
        <f t="shared" si="20"/>
        <v>16391.919999999998</v>
      </c>
      <c r="AP27" s="293">
        <f t="shared" si="20"/>
        <v>16460.55</v>
      </c>
      <c r="AQ27" s="293">
        <f t="shared" si="20"/>
        <v>16529.47</v>
      </c>
      <c r="AR27" s="293">
        <f t="shared" si="20"/>
        <v>16598.68</v>
      </c>
      <c r="AS27" s="293">
        <f t="shared" si="20"/>
        <v>16668.18</v>
      </c>
      <c r="AT27" s="293">
        <f t="shared" si="20"/>
        <v>16737.97</v>
      </c>
      <c r="AU27" s="293">
        <f t="shared" si="20"/>
        <v>16808.05</v>
      </c>
      <c r="AV27" s="293">
        <f t="shared" si="20"/>
        <v>16878.43</v>
      </c>
      <c r="AW27" s="293">
        <f t="shared" si="20"/>
        <v>16949.099999999999</v>
      </c>
      <c r="AX27" s="293">
        <f t="shared" si="20"/>
        <v>17020.060000000001</v>
      </c>
      <c r="AY27" s="293">
        <f t="shared" si="20"/>
        <v>17091.330000000002</v>
      </c>
      <c r="AZ27" s="293">
        <f t="shared" si="20"/>
        <v>17162.89</v>
      </c>
      <c r="BA27" s="293">
        <f t="shared" si="20"/>
        <v>17234.75</v>
      </c>
      <c r="BB27" s="293">
        <f t="shared" si="20"/>
        <v>17306.91</v>
      </c>
      <c r="BC27" s="293">
        <f t="shared" si="20"/>
        <v>17379.38</v>
      </c>
      <c r="BD27" s="293">
        <f t="shared" si="20"/>
        <v>17452.14</v>
      </c>
      <c r="BE27" s="293">
        <f t="shared" si="20"/>
        <v>17525.22</v>
      </c>
      <c r="BF27" s="293">
        <f t="shared" si="20"/>
        <v>17598.599999999999</v>
      </c>
      <c r="BG27" s="293">
        <f t="shared" si="20"/>
        <v>17672.28</v>
      </c>
      <c r="BH27" s="293">
        <f t="shared" si="20"/>
        <v>17746.28</v>
      </c>
      <c r="BI27" s="293">
        <f t="shared" si="20"/>
        <v>17820.580000000002</v>
      </c>
      <c r="BJ27" s="293">
        <f t="shared" si="20"/>
        <v>17895.2</v>
      </c>
      <c r="BK27" s="293">
        <f t="shared" si="20"/>
        <v>17970.12</v>
      </c>
      <c r="BL27" s="293">
        <f t="shared" si="20"/>
        <v>18045.36</v>
      </c>
      <c r="BM27" s="293">
        <f t="shared" si="20"/>
        <v>18120.919999999998</v>
      </c>
      <c r="BN27" s="293">
        <f t="shared" si="20"/>
        <v>18196.79</v>
      </c>
      <c r="BO27" s="293">
        <f t="shared" si="20"/>
        <v>18272.98</v>
      </c>
      <c r="BP27" s="293">
        <f t="shared" si="20"/>
        <v>18349.490000000002</v>
      </c>
      <c r="BQ27" s="293">
        <f t="shared" si="20"/>
        <v>18426.32</v>
      </c>
      <c r="BR27" s="293"/>
      <c r="BS27" s="293"/>
      <c r="BT27" s="293"/>
      <c r="BU27" s="293"/>
      <c r="BV27" s="293"/>
      <c r="BW27" s="295"/>
    </row>
    <row r="28" spans="1:75">
      <c r="A28" s="288"/>
      <c r="B28" s="289"/>
      <c r="C28" s="290"/>
      <c r="D28" s="290"/>
      <c r="E28" s="290"/>
      <c r="F28" s="290"/>
      <c r="G28" s="291"/>
      <c r="H28" s="305" t="s">
        <v>412</v>
      </c>
      <c r="I28" s="292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4"/>
      <c r="AY28" s="294"/>
      <c r="AZ28" s="294"/>
      <c r="BA28" s="294"/>
      <c r="BB28" s="294"/>
      <c r="BC28" s="294"/>
      <c r="BD28" s="294"/>
      <c r="BE28" s="294"/>
      <c r="BF28" s="294"/>
      <c r="BG28" s="294"/>
      <c r="BH28" s="294"/>
      <c r="BI28" s="294"/>
      <c r="BJ28" s="294"/>
      <c r="BK28" s="294"/>
      <c r="BL28" s="294"/>
      <c r="BM28" s="294"/>
      <c r="BN28" s="294"/>
      <c r="BO28" s="294"/>
      <c r="BP28" s="294"/>
      <c r="BQ28" s="294"/>
      <c r="BR28" s="294"/>
      <c r="BS28" s="294"/>
      <c r="BT28" s="294"/>
      <c r="BU28" s="294"/>
      <c r="BV28" s="294"/>
      <c r="BW28" s="295"/>
    </row>
    <row r="29" spans="1:75" ht="13.5" thickBot="1">
      <c r="A29" s="296"/>
      <c r="B29" s="297"/>
      <c r="C29" s="298"/>
      <c r="D29" s="298"/>
      <c r="E29" s="298"/>
      <c r="F29" s="298"/>
      <c r="G29" s="299"/>
      <c r="H29" s="306" t="s">
        <v>442</v>
      </c>
      <c r="I29" s="300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301"/>
      <c r="AG29" s="301"/>
      <c r="AH29" s="301"/>
      <c r="AI29" s="301"/>
      <c r="AJ29" s="301"/>
      <c r="AK29" s="301"/>
      <c r="AL29" s="301"/>
      <c r="AM29" s="301"/>
      <c r="AN29" s="301"/>
      <c r="AO29" s="301">
        <f t="shared" ref="AO29:AW29" si="21">AO28-AO24</f>
        <v>-498189.63999999966</v>
      </c>
      <c r="AP29" s="301">
        <f t="shared" si="21"/>
        <v>-481729.08999999968</v>
      </c>
      <c r="AQ29" s="301">
        <f t="shared" si="21"/>
        <v>-465199.61999999965</v>
      </c>
      <c r="AR29" s="301">
        <f t="shared" si="21"/>
        <v>-448600.93999999965</v>
      </c>
      <c r="AS29" s="301">
        <f t="shared" si="21"/>
        <v>-431932.75999999966</v>
      </c>
      <c r="AT29" s="301">
        <f t="shared" si="21"/>
        <v>-415194.78999999969</v>
      </c>
      <c r="AU29" s="301">
        <f t="shared" si="21"/>
        <v>-398386.7399999997</v>
      </c>
      <c r="AV29" s="301">
        <f t="shared" si="21"/>
        <v>-381508.30999999971</v>
      </c>
      <c r="AW29" s="301">
        <f t="shared" si="21"/>
        <v>-364559.20999999973</v>
      </c>
      <c r="AX29" s="301">
        <f>AX28-AX24</f>
        <v>-347539.14999999973</v>
      </c>
      <c r="AY29" s="301">
        <f t="shared" ref="AY29:BR29" si="22">AY28-AY24</f>
        <v>-330447.81999999972</v>
      </c>
      <c r="AZ29" s="301">
        <f t="shared" si="22"/>
        <v>-313284.9299999997</v>
      </c>
      <c r="BA29" s="301">
        <f t="shared" si="22"/>
        <v>-296050.1799999997</v>
      </c>
      <c r="BB29" s="301">
        <f t="shared" si="22"/>
        <v>-278743.26999999973</v>
      </c>
      <c r="BC29" s="301">
        <f t="shared" si="22"/>
        <v>-261363.88999999972</v>
      </c>
      <c r="BD29" s="301">
        <f t="shared" si="22"/>
        <v>-243911.74999999971</v>
      </c>
      <c r="BE29" s="301">
        <f t="shared" si="22"/>
        <v>-226386.52999999971</v>
      </c>
      <c r="BF29" s="301">
        <f t="shared" si="22"/>
        <v>-208787.9299999997</v>
      </c>
      <c r="BG29" s="301">
        <f t="shared" si="22"/>
        <v>-191115.6499999997</v>
      </c>
      <c r="BH29" s="301">
        <f t="shared" si="22"/>
        <v>-173369.3699999997</v>
      </c>
      <c r="BI29" s="301">
        <f t="shared" si="22"/>
        <v>-155548.78999999969</v>
      </c>
      <c r="BJ29" s="301">
        <f t="shared" si="22"/>
        <v>-137653.58999999968</v>
      </c>
      <c r="BK29" s="301">
        <f t="shared" si="22"/>
        <v>-119683.46999999968</v>
      </c>
      <c r="BL29" s="301">
        <f t="shared" si="22"/>
        <v>-101638.10999999968</v>
      </c>
      <c r="BM29" s="301">
        <f t="shared" si="22"/>
        <v>-83517.189999999682</v>
      </c>
      <c r="BN29" s="301">
        <f t="shared" si="22"/>
        <v>-65320.399999999681</v>
      </c>
      <c r="BO29" s="301">
        <f t="shared" si="22"/>
        <v>-47047.419999999678</v>
      </c>
      <c r="BP29" s="301">
        <f t="shared" si="22"/>
        <v>-28697.929999999677</v>
      </c>
      <c r="BQ29" s="301">
        <f t="shared" si="22"/>
        <v>-10271.609999999677</v>
      </c>
      <c r="BR29" s="301">
        <f t="shared" si="22"/>
        <v>3.2378011383116245E-10</v>
      </c>
      <c r="BS29" s="301"/>
      <c r="BT29" s="301"/>
      <c r="BU29" s="301"/>
      <c r="BV29" s="301"/>
      <c r="BW29" s="303"/>
    </row>
    <row r="30" spans="1:75">
      <c r="A30" s="278" t="s">
        <v>292</v>
      </c>
      <c r="B30" s="279" t="s">
        <v>450</v>
      </c>
      <c r="C30" s="280"/>
      <c r="D30" s="281" t="s">
        <v>451</v>
      </c>
      <c r="E30" s="280" t="s">
        <v>449</v>
      </c>
      <c r="F30" s="281">
        <v>73304</v>
      </c>
      <c r="G30" s="282">
        <v>750000</v>
      </c>
      <c r="H30" s="304" t="s">
        <v>437</v>
      </c>
      <c r="I30" s="283"/>
      <c r="J30" s="283"/>
      <c r="K30" s="284">
        <v>37500</v>
      </c>
      <c r="L30" s="284">
        <v>10621.65</v>
      </c>
      <c r="M30" s="284">
        <v>10664.02</v>
      </c>
      <c r="N30" s="284">
        <v>10706.57</v>
      </c>
      <c r="O30" s="284">
        <v>10749.28</v>
      </c>
      <c r="P30" s="284">
        <v>10792.17</v>
      </c>
      <c r="Q30" s="284">
        <v>10835.23</v>
      </c>
      <c r="R30" s="284">
        <v>10878.45</v>
      </c>
      <c r="S30" s="284">
        <v>10921.86</v>
      </c>
      <c r="T30" s="284">
        <v>10965.43</v>
      </c>
      <c r="U30" s="284">
        <v>11009.18</v>
      </c>
      <c r="V30" s="284">
        <v>11053.1</v>
      </c>
      <c r="W30" s="284">
        <v>11097.2</v>
      </c>
      <c r="X30" s="284">
        <v>11141.47</v>
      </c>
      <c r="Y30" s="284">
        <v>11185.92</v>
      </c>
      <c r="Z30" s="284">
        <v>11230.55</v>
      </c>
      <c r="AA30" s="284">
        <v>11275.35</v>
      </c>
      <c r="AB30" s="284">
        <v>11320.34</v>
      </c>
      <c r="AC30" s="284">
        <v>11365.5</v>
      </c>
      <c r="AD30" s="284">
        <v>11410.85</v>
      </c>
      <c r="AE30" s="284">
        <v>11456.37</v>
      </c>
      <c r="AF30" s="284">
        <v>11502.08</v>
      </c>
      <c r="AG30" s="284">
        <v>11547.97</v>
      </c>
      <c r="AH30" s="284">
        <v>11594.04</v>
      </c>
      <c r="AI30" s="284">
        <v>11640.29</v>
      </c>
      <c r="AJ30" s="284">
        <v>11686.73</v>
      </c>
      <c r="AK30" s="284">
        <v>11733.36</v>
      </c>
      <c r="AL30" s="284">
        <v>11780.17</v>
      </c>
      <c r="AM30" s="284">
        <v>11827.17</v>
      </c>
      <c r="AN30" s="284">
        <v>11874.35</v>
      </c>
      <c r="AO30" s="284">
        <v>11921.73</v>
      </c>
      <c r="AP30" s="284">
        <v>11969.29</v>
      </c>
      <c r="AQ30" s="284">
        <v>12017.04</v>
      </c>
      <c r="AR30" s="284">
        <v>12064.99</v>
      </c>
      <c r="AS30" s="284">
        <v>12113.12</v>
      </c>
      <c r="AT30" s="284">
        <v>12161.45</v>
      </c>
      <c r="AU30" s="284">
        <v>12209.97</v>
      </c>
      <c r="AV30" s="284">
        <v>12258.68</v>
      </c>
      <c r="AW30" s="284">
        <v>12307.59</v>
      </c>
      <c r="AX30" s="284">
        <v>12356.69</v>
      </c>
      <c r="AY30" s="284">
        <v>12405.99</v>
      </c>
      <c r="AZ30" s="284">
        <v>12455.48</v>
      </c>
      <c r="BA30" s="284">
        <v>12505.18</v>
      </c>
      <c r="BB30" s="284">
        <v>12555.07</v>
      </c>
      <c r="BC30" s="284">
        <v>12605.16</v>
      </c>
      <c r="BD30" s="284">
        <v>12655.45</v>
      </c>
      <c r="BE30" s="284">
        <v>12705.94</v>
      </c>
      <c r="BF30" s="284">
        <v>12756.63</v>
      </c>
      <c r="BG30" s="284">
        <v>12807.52</v>
      </c>
      <c r="BH30" s="284">
        <v>12858.62</v>
      </c>
      <c r="BI30" s="284">
        <v>12909.92</v>
      </c>
      <c r="BJ30" s="284">
        <v>12961.43</v>
      </c>
      <c r="BK30" s="284">
        <v>13013.14</v>
      </c>
      <c r="BL30" s="284">
        <v>13065.05</v>
      </c>
      <c r="BM30" s="284">
        <v>13117.18</v>
      </c>
      <c r="BN30" s="284">
        <v>13169.51</v>
      </c>
      <c r="BO30" s="284">
        <v>13222.05</v>
      </c>
      <c r="BP30" s="284">
        <v>13274.8</v>
      </c>
      <c r="BQ30" s="284">
        <v>13327.76</v>
      </c>
      <c r="BR30" s="284">
        <v>13380.92</v>
      </c>
      <c r="BS30" s="284">
        <v>7500</v>
      </c>
      <c r="BT30" s="284"/>
      <c r="BU30" s="284"/>
      <c r="BV30" s="284"/>
      <c r="BW30" s="286"/>
    </row>
    <row r="31" spans="1:75">
      <c r="A31" s="288"/>
      <c r="B31" s="289"/>
      <c r="C31" s="290"/>
      <c r="D31" s="290"/>
      <c r="E31" s="290"/>
      <c r="F31" s="290"/>
      <c r="G31" s="291"/>
      <c r="H31" s="305" t="s">
        <v>438</v>
      </c>
      <c r="I31" s="292"/>
      <c r="J31" s="292"/>
      <c r="K31" s="293">
        <f>G30-K30</f>
        <v>712500</v>
      </c>
      <c r="L31" s="293">
        <f t="shared" ref="L31:P31" si="23">K31-L30</f>
        <v>701878.35</v>
      </c>
      <c r="M31" s="293">
        <f t="shared" si="23"/>
        <v>691214.33</v>
      </c>
      <c r="N31" s="293">
        <f t="shared" si="23"/>
        <v>680507.76</v>
      </c>
      <c r="O31" s="293">
        <f t="shared" si="23"/>
        <v>669758.48</v>
      </c>
      <c r="P31" s="293">
        <f t="shared" si="23"/>
        <v>658966.30999999994</v>
      </c>
      <c r="Q31" s="293">
        <f>P31-Q30</f>
        <v>648131.07999999996</v>
      </c>
      <c r="R31" s="293">
        <f t="shared" ref="R31:V31" si="24">Q31-R30</f>
        <v>637252.63</v>
      </c>
      <c r="S31" s="293">
        <f t="shared" si="24"/>
        <v>626330.77</v>
      </c>
      <c r="T31" s="293">
        <f t="shared" si="24"/>
        <v>615365.34</v>
      </c>
      <c r="U31" s="293">
        <f t="shared" si="24"/>
        <v>604356.15999999992</v>
      </c>
      <c r="V31" s="293">
        <f t="shared" si="24"/>
        <v>593303.05999999994</v>
      </c>
      <c r="W31" s="293">
        <f>V31-W30</f>
        <v>582205.86</v>
      </c>
      <c r="X31" s="293">
        <f t="shared" ref="X31:AL31" si="25">W31-X30</f>
        <v>571064.39</v>
      </c>
      <c r="Y31" s="293">
        <f t="shared" si="25"/>
        <v>559878.47</v>
      </c>
      <c r="Z31" s="293">
        <f t="shared" si="25"/>
        <v>548647.91999999993</v>
      </c>
      <c r="AA31" s="293">
        <f t="shared" si="25"/>
        <v>537372.56999999995</v>
      </c>
      <c r="AB31" s="293">
        <f t="shared" si="25"/>
        <v>526052.23</v>
      </c>
      <c r="AC31" s="293">
        <f t="shared" si="25"/>
        <v>514686.73</v>
      </c>
      <c r="AD31" s="293">
        <f t="shared" si="25"/>
        <v>503275.88</v>
      </c>
      <c r="AE31" s="293">
        <f t="shared" si="25"/>
        <v>491819.51</v>
      </c>
      <c r="AF31" s="293">
        <f t="shared" si="25"/>
        <v>480317.43</v>
      </c>
      <c r="AG31" s="293">
        <f t="shared" si="25"/>
        <v>468769.46</v>
      </c>
      <c r="AH31" s="293">
        <f t="shared" si="25"/>
        <v>457175.42000000004</v>
      </c>
      <c r="AI31" s="293">
        <f t="shared" si="25"/>
        <v>445535.13000000006</v>
      </c>
      <c r="AJ31" s="293">
        <f t="shared" si="25"/>
        <v>433848.40000000008</v>
      </c>
      <c r="AK31" s="293">
        <f t="shared" si="25"/>
        <v>422115.0400000001</v>
      </c>
      <c r="AL31" s="293">
        <f t="shared" si="25"/>
        <v>410334.87000000011</v>
      </c>
      <c r="AM31" s="293">
        <f>AL31-AM30</f>
        <v>398507.70000000013</v>
      </c>
      <c r="AN31" s="293">
        <f t="shared" ref="AN31:BS31" si="26">AM31-AN30</f>
        <v>386633.35000000015</v>
      </c>
      <c r="AO31" s="293">
        <f t="shared" si="26"/>
        <v>374711.62000000017</v>
      </c>
      <c r="AP31" s="293">
        <f t="shared" si="26"/>
        <v>362742.33000000019</v>
      </c>
      <c r="AQ31" s="293">
        <f t="shared" si="26"/>
        <v>350725.29000000021</v>
      </c>
      <c r="AR31" s="293">
        <f t="shared" si="26"/>
        <v>338660.30000000022</v>
      </c>
      <c r="AS31" s="293">
        <f t="shared" si="26"/>
        <v>326547.18000000023</v>
      </c>
      <c r="AT31" s="293">
        <f t="shared" si="26"/>
        <v>314385.73000000021</v>
      </c>
      <c r="AU31" s="293">
        <f t="shared" si="26"/>
        <v>302175.76000000024</v>
      </c>
      <c r="AV31" s="293">
        <f t="shared" si="26"/>
        <v>289917.08000000025</v>
      </c>
      <c r="AW31" s="293">
        <f t="shared" si="26"/>
        <v>277609.49000000022</v>
      </c>
      <c r="AX31" s="293">
        <f t="shared" si="26"/>
        <v>265252.80000000022</v>
      </c>
      <c r="AY31" s="293">
        <f t="shared" si="26"/>
        <v>252846.81000000023</v>
      </c>
      <c r="AZ31" s="293">
        <f t="shared" si="26"/>
        <v>240391.33000000022</v>
      </c>
      <c r="BA31" s="293">
        <f t="shared" si="26"/>
        <v>227886.15000000023</v>
      </c>
      <c r="BB31" s="293">
        <f t="shared" si="26"/>
        <v>215331.08000000022</v>
      </c>
      <c r="BC31" s="293">
        <f t="shared" si="26"/>
        <v>202725.92000000022</v>
      </c>
      <c r="BD31" s="293">
        <f t="shared" si="26"/>
        <v>190070.4700000002</v>
      </c>
      <c r="BE31" s="293">
        <f t="shared" si="26"/>
        <v>177364.5300000002</v>
      </c>
      <c r="BF31" s="293">
        <f t="shared" si="26"/>
        <v>164607.9000000002</v>
      </c>
      <c r="BG31" s="293">
        <f t="shared" si="26"/>
        <v>151800.38000000021</v>
      </c>
      <c r="BH31" s="293">
        <f t="shared" si="26"/>
        <v>138941.76000000021</v>
      </c>
      <c r="BI31" s="293">
        <f t="shared" si="26"/>
        <v>126031.84000000021</v>
      </c>
      <c r="BJ31" s="293">
        <f t="shared" si="26"/>
        <v>113070.41000000021</v>
      </c>
      <c r="BK31" s="293">
        <f t="shared" si="26"/>
        <v>100057.27000000021</v>
      </c>
      <c r="BL31" s="293">
        <f t="shared" si="26"/>
        <v>86992.220000000205</v>
      </c>
      <c r="BM31" s="293">
        <f t="shared" si="26"/>
        <v>73875.040000000212</v>
      </c>
      <c r="BN31" s="293">
        <f t="shared" si="26"/>
        <v>60705.53000000021</v>
      </c>
      <c r="BO31" s="293">
        <f t="shared" si="26"/>
        <v>47483.480000000214</v>
      </c>
      <c r="BP31" s="293">
        <f t="shared" si="26"/>
        <v>34208.680000000211</v>
      </c>
      <c r="BQ31" s="293">
        <f t="shared" si="26"/>
        <v>20880.920000000209</v>
      </c>
      <c r="BR31" s="293">
        <f t="shared" si="26"/>
        <v>7500.0000000002092</v>
      </c>
      <c r="BS31" s="293">
        <f t="shared" si="26"/>
        <v>2.0918378140777349E-10</v>
      </c>
      <c r="BT31" s="293"/>
      <c r="BU31" s="293"/>
      <c r="BV31" s="293"/>
      <c r="BW31" s="295"/>
    </row>
    <row r="32" spans="1:75">
      <c r="A32" s="288"/>
      <c r="B32" s="289">
        <v>525576.22</v>
      </c>
      <c r="C32" s="290"/>
      <c r="D32" s="290"/>
      <c r="E32" s="290"/>
      <c r="F32" s="290"/>
      <c r="G32" s="291"/>
      <c r="H32" s="292" t="s">
        <v>439</v>
      </c>
      <c r="I32" s="292"/>
      <c r="J32" s="292"/>
      <c r="K32" s="293">
        <v>37500</v>
      </c>
      <c r="L32" s="293">
        <v>13464.26</v>
      </c>
      <c r="M32" s="293">
        <v>13464.26</v>
      </c>
      <c r="N32" s="293">
        <v>13464.26</v>
      </c>
      <c r="O32" s="293">
        <v>13464.26</v>
      </c>
      <c r="P32" s="293">
        <v>13464.26</v>
      </c>
      <c r="Q32" s="293">
        <v>13464.26</v>
      </c>
      <c r="R32" s="293">
        <v>13464.26</v>
      </c>
      <c r="S32" s="293">
        <v>13464.26</v>
      </c>
      <c r="T32" s="293">
        <v>13464.26</v>
      </c>
      <c r="U32" s="293">
        <v>13464.26</v>
      </c>
      <c r="V32" s="293">
        <v>13464.26</v>
      </c>
      <c r="W32" s="293">
        <v>13464.26</v>
      </c>
      <c r="X32" s="293">
        <v>13464.26</v>
      </c>
      <c r="Y32" s="293">
        <v>13464.26</v>
      </c>
      <c r="Z32" s="293">
        <v>13464.26</v>
      </c>
      <c r="AA32" s="293">
        <v>13464.26</v>
      </c>
      <c r="AB32" s="293">
        <v>13464.26</v>
      </c>
      <c r="AC32" s="293">
        <v>13464.26</v>
      </c>
      <c r="AD32" s="293">
        <v>13464.26</v>
      </c>
      <c r="AE32" s="293">
        <v>13464.26</v>
      </c>
      <c r="AF32" s="293">
        <v>13464.26</v>
      </c>
      <c r="AG32" s="293">
        <v>13464.26</v>
      </c>
      <c r="AH32" s="293">
        <v>13464.26</v>
      </c>
      <c r="AI32" s="293">
        <v>13464.26</v>
      </c>
      <c r="AJ32" s="293">
        <v>13464.26</v>
      </c>
      <c r="AK32" s="293">
        <v>13464.26</v>
      </c>
      <c r="AL32" s="293">
        <v>13464.26</v>
      </c>
      <c r="AM32" s="293">
        <v>13464.26</v>
      </c>
      <c r="AN32" s="293">
        <v>13464.26</v>
      </c>
      <c r="AO32" s="293">
        <v>13464.26</v>
      </c>
      <c r="AP32" s="293">
        <v>13464.26</v>
      </c>
      <c r="AQ32" s="293">
        <v>13464.26</v>
      </c>
      <c r="AR32" s="293">
        <v>13464.26</v>
      </c>
      <c r="AS32" s="293">
        <v>13464.26</v>
      </c>
      <c r="AT32" s="293">
        <v>13464.26</v>
      </c>
      <c r="AU32" s="293">
        <v>13464.26</v>
      </c>
      <c r="AV32" s="293">
        <v>13464.26</v>
      </c>
      <c r="AW32" s="293">
        <v>13464.26</v>
      </c>
      <c r="AX32" s="293">
        <v>13464.26</v>
      </c>
      <c r="AY32" s="293">
        <v>13464.26</v>
      </c>
      <c r="AZ32" s="293">
        <v>13464.26</v>
      </c>
      <c r="BA32" s="293">
        <v>13464.26</v>
      </c>
      <c r="BB32" s="293">
        <v>13464.26</v>
      </c>
      <c r="BC32" s="293">
        <v>13464.26</v>
      </c>
      <c r="BD32" s="293">
        <v>13464.26</v>
      </c>
      <c r="BE32" s="293">
        <v>13464.26</v>
      </c>
      <c r="BF32" s="293">
        <v>13464.26</v>
      </c>
      <c r="BG32" s="293">
        <v>13464.26</v>
      </c>
      <c r="BH32" s="293">
        <v>13464.26</v>
      </c>
      <c r="BI32" s="293">
        <v>13464.26</v>
      </c>
      <c r="BJ32" s="293">
        <v>13464.26</v>
      </c>
      <c r="BK32" s="293">
        <v>13464.26</v>
      </c>
      <c r="BL32" s="293">
        <v>13464.26</v>
      </c>
      <c r="BM32" s="293">
        <v>13464.26</v>
      </c>
      <c r="BN32" s="293">
        <v>13464.26</v>
      </c>
      <c r="BO32" s="293">
        <v>13464.26</v>
      </c>
      <c r="BP32" s="293">
        <v>13464.26</v>
      </c>
      <c r="BQ32" s="293">
        <v>13464.26</v>
      </c>
      <c r="BR32" s="293">
        <v>13464.26</v>
      </c>
      <c r="BS32" s="293"/>
      <c r="BT32" s="293"/>
      <c r="BU32" s="293"/>
      <c r="BV32" s="293"/>
      <c r="BW32" s="295"/>
    </row>
    <row r="33" spans="1:75">
      <c r="A33" s="288"/>
      <c r="B33" s="289"/>
      <c r="C33" s="290"/>
      <c r="D33" s="290"/>
      <c r="E33" s="290"/>
      <c r="F33" s="290"/>
      <c r="G33" s="291"/>
      <c r="H33" s="292" t="s">
        <v>440</v>
      </c>
      <c r="I33" s="292"/>
      <c r="J33" s="292"/>
      <c r="K33" s="293">
        <f>K32-K30</f>
        <v>0</v>
      </c>
      <c r="L33" s="293">
        <f t="shared" ref="L33:BR33" si="27">L32-L30</f>
        <v>2842.6100000000006</v>
      </c>
      <c r="M33" s="293">
        <f t="shared" si="27"/>
        <v>2800.24</v>
      </c>
      <c r="N33" s="293">
        <f t="shared" si="27"/>
        <v>2757.6900000000005</v>
      </c>
      <c r="O33" s="293">
        <f t="shared" si="27"/>
        <v>2714.9799999999996</v>
      </c>
      <c r="P33" s="293">
        <f t="shared" si="27"/>
        <v>2672.09</v>
      </c>
      <c r="Q33" s="293">
        <f t="shared" si="27"/>
        <v>2629.0300000000007</v>
      </c>
      <c r="R33" s="293">
        <f t="shared" si="27"/>
        <v>2585.8099999999995</v>
      </c>
      <c r="S33" s="293">
        <f t="shared" si="27"/>
        <v>2542.3999999999996</v>
      </c>
      <c r="T33" s="293">
        <f t="shared" si="27"/>
        <v>2498.83</v>
      </c>
      <c r="U33" s="293">
        <f t="shared" si="27"/>
        <v>2455.08</v>
      </c>
      <c r="V33" s="293">
        <f t="shared" si="27"/>
        <v>2411.16</v>
      </c>
      <c r="W33" s="293">
        <f t="shared" si="27"/>
        <v>2367.0599999999995</v>
      </c>
      <c r="X33" s="293">
        <f t="shared" si="27"/>
        <v>2322.7900000000009</v>
      </c>
      <c r="Y33" s="293">
        <f t="shared" si="27"/>
        <v>2278.34</v>
      </c>
      <c r="Z33" s="293">
        <f t="shared" si="27"/>
        <v>2233.7100000000009</v>
      </c>
      <c r="AA33" s="293">
        <f t="shared" si="27"/>
        <v>2188.91</v>
      </c>
      <c r="AB33" s="293">
        <f t="shared" si="27"/>
        <v>2143.92</v>
      </c>
      <c r="AC33" s="293">
        <f t="shared" si="27"/>
        <v>2098.7600000000002</v>
      </c>
      <c r="AD33" s="293">
        <f t="shared" si="27"/>
        <v>2053.41</v>
      </c>
      <c r="AE33" s="293">
        <f t="shared" si="27"/>
        <v>2007.8899999999994</v>
      </c>
      <c r="AF33" s="293">
        <f t="shared" si="27"/>
        <v>1962.1800000000003</v>
      </c>
      <c r="AG33" s="293">
        <f t="shared" si="27"/>
        <v>1916.2900000000009</v>
      </c>
      <c r="AH33" s="293">
        <f t="shared" si="27"/>
        <v>1870.2199999999993</v>
      </c>
      <c r="AI33" s="293">
        <f t="shared" si="27"/>
        <v>1823.9699999999993</v>
      </c>
      <c r="AJ33" s="293">
        <f t="shared" si="27"/>
        <v>1777.5300000000007</v>
      </c>
      <c r="AK33" s="293">
        <f t="shared" si="27"/>
        <v>1730.8999999999996</v>
      </c>
      <c r="AL33" s="293">
        <f t="shared" si="27"/>
        <v>1684.0900000000001</v>
      </c>
      <c r="AM33" s="293">
        <f t="shared" si="27"/>
        <v>1637.0900000000001</v>
      </c>
      <c r="AN33" s="293">
        <f t="shared" si="27"/>
        <v>1589.9099999999999</v>
      </c>
      <c r="AO33" s="293">
        <f t="shared" si="27"/>
        <v>1542.5300000000007</v>
      </c>
      <c r="AP33" s="293">
        <f t="shared" si="27"/>
        <v>1494.9699999999993</v>
      </c>
      <c r="AQ33" s="293">
        <f t="shared" si="27"/>
        <v>1447.2199999999993</v>
      </c>
      <c r="AR33" s="293">
        <f t="shared" si="27"/>
        <v>1399.2700000000004</v>
      </c>
      <c r="AS33" s="293">
        <f t="shared" si="27"/>
        <v>1351.1399999999994</v>
      </c>
      <c r="AT33" s="293">
        <f t="shared" si="27"/>
        <v>1302.8099999999995</v>
      </c>
      <c r="AU33" s="293">
        <f t="shared" si="27"/>
        <v>1254.2900000000009</v>
      </c>
      <c r="AV33" s="293">
        <f t="shared" si="27"/>
        <v>1205.58</v>
      </c>
      <c r="AW33" s="293">
        <f t="shared" si="27"/>
        <v>1156.67</v>
      </c>
      <c r="AX33" s="293">
        <f t="shared" si="27"/>
        <v>1107.5699999999997</v>
      </c>
      <c r="AY33" s="293">
        <f t="shared" si="27"/>
        <v>1058.2700000000004</v>
      </c>
      <c r="AZ33" s="293">
        <f t="shared" si="27"/>
        <v>1008.7800000000007</v>
      </c>
      <c r="BA33" s="293">
        <f t="shared" si="27"/>
        <v>959.07999999999993</v>
      </c>
      <c r="BB33" s="293">
        <f t="shared" si="27"/>
        <v>909.19000000000051</v>
      </c>
      <c r="BC33" s="293">
        <f t="shared" si="27"/>
        <v>859.10000000000036</v>
      </c>
      <c r="BD33" s="293">
        <f t="shared" si="27"/>
        <v>808.80999999999949</v>
      </c>
      <c r="BE33" s="293">
        <f t="shared" si="27"/>
        <v>758.31999999999971</v>
      </c>
      <c r="BF33" s="293">
        <f t="shared" si="27"/>
        <v>707.63000000000102</v>
      </c>
      <c r="BG33" s="293">
        <f t="shared" si="27"/>
        <v>656.73999999999978</v>
      </c>
      <c r="BH33" s="293">
        <f t="shared" si="27"/>
        <v>605.63999999999942</v>
      </c>
      <c r="BI33" s="293">
        <f t="shared" si="27"/>
        <v>554.34000000000015</v>
      </c>
      <c r="BJ33" s="293">
        <f t="shared" si="27"/>
        <v>502.82999999999993</v>
      </c>
      <c r="BK33" s="293">
        <f t="shared" si="27"/>
        <v>451.1200000000008</v>
      </c>
      <c r="BL33" s="293">
        <f t="shared" si="27"/>
        <v>399.21000000000095</v>
      </c>
      <c r="BM33" s="293">
        <f t="shared" si="27"/>
        <v>347.07999999999993</v>
      </c>
      <c r="BN33" s="293">
        <f t="shared" si="27"/>
        <v>294.75</v>
      </c>
      <c r="BO33" s="293">
        <f t="shared" si="27"/>
        <v>242.21000000000095</v>
      </c>
      <c r="BP33" s="293">
        <f t="shared" si="27"/>
        <v>189.46000000000095</v>
      </c>
      <c r="BQ33" s="293">
        <f t="shared" si="27"/>
        <v>136.5</v>
      </c>
      <c r="BR33" s="293">
        <f t="shared" si="27"/>
        <v>83.340000000000146</v>
      </c>
      <c r="BS33" s="293"/>
      <c r="BT33" s="293"/>
      <c r="BU33" s="293"/>
      <c r="BV33" s="293"/>
      <c r="BW33" s="295"/>
    </row>
    <row r="34" spans="1:75">
      <c r="A34" s="288"/>
      <c r="B34" s="289"/>
      <c r="C34" s="290"/>
      <c r="D34" s="290"/>
      <c r="E34" s="290"/>
      <c r="F34" s="290"/>
      <c r="G34" s="291"/>
      <c r="H34" s="292" t="s">
        <v>441</v>
      </c>
      <c r="I34" s="292"/>
      <c r="J34" s="292"/>
      <c r="K34" s="293">
        <f>K32-K33</f>
        <v>37500</v>
      </c>
      <c r="L34" s="293">
        <f t="shared" ref="L34:BR34" si="28">L32-L33</f>
        <v>10621.65</v>
      </c>
      <c r="M34" s="293">
        <f t="shared" si="28"/>
        <v>10664.02</v>
      </c>
      <c r="N34" s="293">
        <f t="shared" si="28"/>
        <v>10706.57</v>
      </c>
      <c r="O34" s="293">
        <f t="shared" si="28"/>
        <v>10749.28</v>
      </c>
      <c r="P34" s="293">
        <f t="shared" si="28"/>
        <v>10792.17</v>
      </c>
      <c r="Q34" s="293">
        <f t="shared" si="28"/>
        <v>10835.23</v>
      </c>
      <c r="R34" s="293">
        <f t="shared" si="28"/>
        <v>10878.45</v>
      </c>
      <c r="S34" s="293">
        <f t="shared" si="28"/>
        <v>10921.86</v>
      </c>
      <c r="T34" s="293">
        <f t="shared" si="28"/>
        <v>10965.43</v>
      </c>
      <c r="U34" s="293">
        <f t="shared" si="28"/>
        <v>11009.18</v>
      </c>
      <c r="V34" s="293">
        <f t="shared" si="28"/>
        <v>11053.1</v>
      </c>
      <c r="W34" s="293">
        <f t="shared" si="28"/>
        <v>11097.2</v>
      </c>
      <c r="X34" s="293">
        <f t="shared" si="28"/>
        <v>11141.47</v>
      </c>
      <c r="Y34" s="293">
        <f t="shared" si="28"/>
        <v>11185.92</v>
      </c>
      <c r="Z34" s="293">
        <f t="shared" si="28"/>
        <v>11230.55</v>
      </c>
      <c r="AA34" s="293">
        <f t="shared" si="28"/>
        <v>11275.35</v>
      </c>
      <c r="AB34" s="293">
        <f t="shared" si="28"/>
        <v>11320.34</v>
      </c>
      <c r="AC34" s="293">
        <f t="shared" si="28"/>
        <v>11365.5</v>
      </c>
      <c r="AD34" s="293">
        <f t="shared" si="28"/>
        <v>11410.85</v>
      </c>
      <c r="AE34" s="293">
        <f t="shared" si="28"/>
        <v>11456.37</v>
      </c>
      <c r="AF34" s="293">
        <f t="shared" si="28"/>
        <v>11502.08</v>
      </c>
      <c r="AG34" s="293">
        <f t="shared" si="28"/>
        <v>11547.97</v>
      </c>
      <c r="AH34" s="293">
        <f t="shared" si="28"/>
        <v>11594.04</v>
      </c>
      <c r="AI34" s="293">
        <f t="shared" si="28"/>
        <v>11640.29</v>
      </c>
      <c r="AJ34" s="293">
        <f t="shared" si="28"/>
        <v>11686.73</v>
      </c>
      <c r="AK34" s="293">
        <f t="shared" si="28"/>
        <v>11733.36</v>
      </c>
      <c r="AL34" s="293">
        <f t="shared" si="28"/>
        <v>11780.17</v>
      </c>
      <c r="AM34" s="293">
        <f t="shared" si="28"/>
        <v>11827.17</v>
      </c>
      <c r="AN34" s="293">
        <f t="shared" si="28"/>
        <v>11874.35</v>
      </c>
      <c r="AO34" s="293">
        <f t="shared" si="28"/>
        <v>11921.73</v>
      </c>
      <c r="AP34" s="293">
        <f t="shared" si="28"/>
        <v>11969.29</v>
      </c>
      <c r="AQ34" s="293">
        <f t="shared" si="28"/>
        <v>12017.04</v>
      </c>
      <c r="AR34" s="293">
        <f t="shared" si="28"/>
        <v>12064.99</v>
      </c>
      <c r="AS34" s="293">
        <f t="shared" si="28"/>
        <v>12113.12</v>
      </c>
      <c r="AT34" s="293">
        <f t="shared" si="28"/>
        <v>12161.45</v>
      </c>
      <c r="AU34" s="293">
        <f t="shared" si="28"/>
        <v>12209.97</v>
      </c>
      <c r="AV34" s="293">
        <f t="shared" si="28"/>
        <v>12258.68</v>
      </c>
      <c r="AW34" s="293">
        <f t="shared" si="28"/>
        <v>12307.59</v>
      </c>
      <c r="AX34" s="293">
        <f t="shared" si="28"/>
        <v>12356.69</v>
      </c>
      <c r="AY34" s="293">
        <f t="shared" si="28"/>
        <v>12405.99</v>
      </c>
      <c r="AZ34" s="293">
        <f t="shared" si="28"/>
        <v>12455.48</v>
      </c>
      <c r="BA34" s="293">
        <f t="shared" si="28"/>
        <v>12505.18</v>
      </c>
      <c r="BB34" s="293">
        <f t="shared" si="28"/>
        <v>12555.07</v>
      </c>
      <c r="BC34" s="293">
        <f t="shared" si="28"/>
        <v>12605.16</v>
      </c>
      <c r="BD34" s="293">
        <f t="shared" si="28"/>
        <v>12655.45</v>
      </c>
      <c r="BE34" s="293">
        <f t="shared" si="28"/>
        <v>12705.94</v>
      </c>
      <c r="BF34" s="293">
        <f t="shared" si="28"/>
        <v>12756.63</v>
      </c>
      <c r="BG34" s="293">
        <f t="shared" si="28"/>
        <v>12807.52</v>
      </c>
      <c r="BH34" s="293">
        <f t="shared" si="28"/>
        <v>12858.62</v>
      </c>
      <c r="BI34" s="293">
        <f t="shared" si="28"/>
        <v>12909.92</v>
      </c>
      <c r="BJ34" s="293">
        <f t="shared" si="28"/>
        <v>12961.43</v>
      </c>
      <c r="BK34" s="293">
        <f t="shared" si="28"/>
        <v>13013.14</v>
      </c>
      <c r="BL34" s="293">
        <f t="shared" si="28"/>
        <v>13065.05</v>
      </c>
      <c r="BM34" s="293">
        <f t="shared" si="28"/>
        <v>13117.18</v>
      </c>
      <c r="BN34" s="293">
        <f t="shared" si="28"/>
        <v>13169.51</v>
      </c>
      <c r="BO34" s="293">
        <f t="shared" si="28"/>
        <v>13222.05</v>
      </c>
      <c r="BP34" s="293">
        <f t="shared" si="28"/>
        <v>13274.8</v>
      </c>
      <c r="BQ34" s="293">
        <f t="shared" si="28"/>
        <v>13327.76</v>
      </c>
      <c r="BR34" s="293">
        <f t="shared" si="28"/>
        <v>13380.92</v>
      </c>
      <c r="BS34" s="293"/>
      <c r="BT34" s="293"/>
      <c r="BU34" s="293"/>
      <c r="BV34" s="293"/>
      <c r="BW34" s="295"/>
    </row>
    <row r="35" spans="1:75">
      <c r="A35" s="288"/>
      <c r="B35" s="289"/>
      <c r="C35" s="290"/>
      <c r="D35" s="290"/>
      <c r="E35" s="290"/>
      <c r="F35" s="290"/>
      <c r="G35" s="291"/>
      <c r="H35" s="305" t="s">
        <v>412</v>
      </c>
      <c r="I35" s="292"/>
      <c r="J35" s="292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  <c r="BS35" s="294"/>
      <c r="BT35" s="294"/>
      <c r="BU35" s="294"/>
      <c r="BV35" s="294"/>
      <c r="BW35" s="295"/>
    </row>
    <row r="36" spans="1:75" ht="13.5" thickBot="1">
      <c r="A36" s="296"/>
      <c r="B36" s="297"/>
      <c r="C36" s="298"/>
      <c r="D36" s="298"/>
      <c r="E36" s="298"/>
      <c r="F36" s="298"/>
      <c r="G36" s="299"/>
      <c r="H36" s="306" t="s">
        <v>442</v>
      </c>
      <c r="I36" s="300"/>
      <c r="J36" s="300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301"/>
      <c r="AL36" s="301"/>
      <c r="AM36" s="301"/>
      <c r="AN36" s="301"/>
      <c r="AO36" s="301">
        <f t="shared" ref="AO36:AW36" si="29">AO35-AO31</f>
        <v>-374711.62000000017</v>
      </c>
      <c r="AP36" s="301">
        <f t="shared" si="29"/>
        <v>-362742.33000000019</v>
      </c>
      <c r="AQ36" s="301">
        <f t="shared" si="29"/>
        <v>-350725.29000000021</v>
      </c>
      <c r="AR36" s="301">
        <f t="shared" si="29"/>
        <v>-338660.30000000022</v>
      </c>
      <c r="AS36" s="301">
        <f t="shared" si="29"/>
        <v>-326547.18000000023</v>
      </c>
      <c r="AT36" s="301">
        <f t="shared" si="29"/>
        <v>-314385.73000000021</v>
      </c>
      <c r="AU36" s="301">
        <f t="shared" si="29"/>
        <v>-302175.76000000024</v>
      </c>
      <c r="AV36" s="301">
        <f t="shared" si="29"/>
        <v>-289917.08000000025</v>
      </c>
      <c r="AW36" s="301">
        <f t="shared" si="29"/>
        <v>-277609.49000000022</v>
      </c>
      <c r="AX36" s="301">
        <f>AX35-AX31</f>
        <v>-265252.80000000022</v>
      </c>
      <c r="AY36" s="301">
        <f t="shared" ref="AY36:BS36" si="30">AY35-AY31</f>
        <v>-252846.81000000023</v>
      </c>
      <c r="AZ36" s="301">
        <f t="shared" si="30"/>
        <v>-240391.33000000022</v>
      </c>
      <c r="BA36" s="301">
        <f t="shared" si="30"/>
        <v>-227886.15000000023</v>
      </c>
      <c r="BB36" s="301">
        <f t="shared" si="30"/>
        <v>-215331.08000000022</v>
      </c>
      <c r="BC36" s="301">
        <f t="shared" si="30"/>
        <v>-202725.92000000022</v>
      </c>
      <c r="BD36" s="301">
        <f t="shared" si="30"/>
        <v>-190070.4700000002</v>
      </c>
      <c r="BE36" s="301">
        <f t="shared" si="30"/>
        <v>-177364.5300000002</v>
      </c>
      <c r="BF36" s="301">
        <f t="shared" si="30"/>
        <v>-164607.9000000002</v>
      </c>
      <c r="BG36" s="301">
        <f t="shared" si="30"/>
        <v>-151800.38000000021</v>
      </c>
      <c r="BH36" s="301">
        <f t="shared" si="30"/>
        <v>-138941.76000000021</v>
      </c>
      <c r="BI36" s="301">
        <f t="shared" si="30"/>
        <v>-126031.84000000021</v>
      </c>
      <c r="BJ36" s="301">
        <f t="shared" si="30"/>
        <v>-113070.41000000021</v>
      </c>
      <c r="BK36" s="301">
        <f t="shared" si="30"/>
        <v>-100057.27000000021</v>
      </c>
      <c r="BL36" s="301">
        <f t="shared" si="30"/>
        <v>-86992.220000000205</v>
      </c>
      <c r="BM36" s="301">
        <f t="shared" si="30"/>
        <v>-73875.040000000212</v>
      </c>
      <c r="BN36" s="301">
        <f t="shared" si="30"/>
        <v>-60705.53000000021</v>
      </c>
      <c r="BO36" s="301">
        <f t="shared" si="30"/>
        <v>-47483.480000000214</v>
      </c>
      <c r="BP36" s="301">
        <f t="shared" si="30"/>
        <v>-34208.680000000211</v>
      </c>
      <c r="BQ36" s="301">
        <f t="shared" si="30"/>
        <v>-20880.920000000209</v>
      </c>
      <c r="BR36" s="301">
        <f t="shared" si="30"/>
        <v>-7500.0000000002092</v>
      </c>
      <c r="BS36" s="301">
        <f t="shared" si="30"/>
        <v>-2.0918378140777349E-10</v>
      </c>
      <c r="BT36" s="301"/>
      <c r="BU36" s="301"/>
      <c r="BV36" s="301"/>
      <c r="BW36" s="303"/>
    </row>
    <row r="37" spans="1:75">
      <c r="A37" s="278" t="s">
        <v>294</v>
      </c>
      <c r="B37" s="279" t="s">
        <v>452</v>
      </c>
      <c r="C37" s="280" t="s">
        <v>453</v>
      </c>
      <c r="D37" s="281" t="s">
        <v>454</v>
      </c>
      <c r="E37" s="280" t="s">
        <v>455</v>
      </c>
      <c r="F37" s="281" t="s">
        <v>456</v>
      </c>
      <c r="G37" s="282">
        <v>199500</v>
      </c>
      <c r="H37" s="304" t="s">
        <v>437</v>
      </c>
      <c r="I37" s="284">
        <v>9975</v>
      </c>
      <c r="J37" s="284">
        <v>2788.62</v>
      </c>
      <c r="K37" s="284">
        <v>2800.95</v>
      </c>
      <c r="L37" s="284">
        <v>2813.35</v>
      </c>
      <c r="M37" s="284">
        <v>2825.8</v>
      </c>
      <c r="N37" s="284">
        <v>2838.3</v>
      </c>
      <c r="O37" s="284">
        <v>2850.86</v>
      </c>
      <c r="P37" s="284">
        <v>2863.47</v>
      </c>
      <c r="Q37" s="284">
        <v>2876.14</v>
      </c>
      <c r="R37" s="284">
        <v>2888.87</v>
      </c>
      <c r="S37" s="284">
        <v>2901.65</v>
      </c>
      <c r="T37" s="284">
        <v>2914.49</v>
      </c>
      <c r="U37" s="284">
        <v>2927.38</v>
      </c>
      <c r="V37" s="284">
        <v>2940.34</v>
      </c>
      <c r="W37" s="284">
        <v>2953.35</v>
      </c>
      <c r="X37" s="284">
        <v>2966.41</v>
      </c>
      <c r="Y37" s="284">
        <v>2979.54</v>
      </c>
      <c r="Z37" s="284">
        <v>2992.72</v>
      </c>
      <c r="AA37" s="284">
        <v>3005.96</v>
      </c>
      <c r="AB37" s="284">
        <v>3019.26</v>
      </c>
      <c r="AC37" s="284">
        <v>3032.62</v>
      </c>
      <c r="AD37" s="284">
        <v>3046.04</v>
      </c>
      <c r="AE37" s="284">
        <v>3059.52</v>
      </c>
      <c r="AF37" s="284">
        <v>3073.06</v>
      </c>
      <c r="AG37" s="284">
        <v>3086.65</v>
      </c>
      <c r="AH37" s="284">
        <v>3100.31</v>
      </c>
      <c r="AI37" s="284">
        <v>3114.03</v>
      </c>
      <c r="AJ37" s="284">
        <v>3127.81</v>
      </c>
      <c r="AK37" s="284">
        <v>3141.65</v>
      </c>
      <c r="AL37" s="284">
        <v>3155.55</v>
      </c>
      <c r="AM37" s="284">
        <v>3169.51</v>
      </c>
      <c r="AN37" s="284">
        <v>3183.53</v>
      </c>
      <c r="AO37" s="284">
        <v>3197.62</v>
      </c>
      <c r="AP37" s="284">
        <v>3211.77</v>
      </c>
      <c r="AQ37" s="284">
        <v>3225.98</v>
      </c>
      <c r="AR37" s="284">
        <v>3240.25</v>
      </c>
      <c r="AS37" s="284">
        <v>3254.59</v>
      </c>
      <c r="AT37" s="284">
        <v>3268.99</v>
      </c>
      <c r="AU37" s="284">
        <v>3283.45</v>
      </c>
      <c r="AV37" s="284">
        <v>3297.98</v>
      </c>
      <c r="AW37" s="284">
        <v>3312.57</v>
      </c>
      <c r="AX37" s="284">
        <v>3327.23</v>
      </c>
      <c r="AY37" s="284">
        <v>3341.95</v>
      </c>
      <c r="AZ37" s="284">
        <v>3356.74</v>
      </c>
      <c r="BA37" s="284">
        <v>3371.59</v>
      </c>
      <c r="BB37" s="284">
        <v>3386.51</v>
      </c>
      <c r="BC37" s="284">
        <v>3401.49</v>
      </c>
      <c r="BD37" s="284">
        <v>3416.54</v>
      </c>
      <c r="BE37" s="284">
        <v>3431.66</v>
      </c>
      <c r="BF37" s="284">
        <v>3446.85</v>
      </c>
      <c r="BG37" s="284">
        <v>3462.1</v>
      </c>
      <c r="BH37" s="284">
        <v>3477.42</v>
      </c>
      <c r="BI37" s="284">
        <v>3492.8</v>
      </c>
      <c r="BJ37" s="284">
        <v>3508.26</v>
      </c>
      <c r="BK37" s="284">
        <v>3523.78</v>
      </c>
      <c r="BL37" s="284">
        <v>3539.37</v>
      </c>
      <c r="BM37" s="284">
        <v>3555.03</v>
      </c>
      <c r="BN37" s="284">
        <v>3570.76</v>
      </c>
      <c r="BO37" s="284">
        <v>3586.56</v>
      </c>
      <c r="BP37" s="284">
        <v>3602.42</v>
      </c>
      <c r="BQ37" s="284">
        <v>1995</v>
      </c>
      <c r="BR37" s="285"/>
      <c r="BS37" s="284"/>
      <c r="BT37" s="284"/>
      <c r="BU37" s="284"/>
      <c r="BV37" s="284"/>
      <c r="BW37" s="286"/>
    </row>
    <row r="38" spans="1:75">
      <c r="A38" s="288"/>
      <c r="B38" s="289"/>
      <c r="C38" s="290"/>
      <c r="D38" s="290"/>
      <c r="E38" s="290"/>
      <c r="F38" s="290"/>
      <c r="G38" s="291"/>
      <c r="H38" s="305" t="s">
        <v>438</v>
      </c>
      <c r="I38" s="293">
        <f>G37-I37</f>
        <v>189525</v>
      </c>
      <c r="J38" s="293">
        <f t="shared" ref="J38:K38" si="31">I38-J37</f>
        <v>186736.38</v>
      </c>
      <c r="K38" s="293">
        <f t="shared" si="31"/>
        <v>183935.43</v>
      </c>
      <c r="L38" s="293">
        <f>K38-L37</f>
        <v>181122.08</v>
      </c>
      <c r="M38" s="293">
        <f t="shared" ref="M38:P38" si="32">L38-M37</f>
        <v>178296.28</v>
      </c>
      <c r="N38" s="293">
        <f t="shared" si="32"/>
        <v>175457.98</v>
      </c>
      <c r="O38" s="293">
        <f t="shared" si="32"/>
        <v>172607.12000000002</v>
      </c>
      <c r="P38" s="293">
        <f t="shared" si="32"/>
        <v>169743.65000000002</v>
      </c>
      <c r="Q38" s="293">
        <f>P38-Q37</f>
        <v>166867.51</v>
      </c>
      <c r="R38" s="293">
        <f t="shared" ref="R38:V38" si="33">Q38-R37</f>
        <v>163978.64000000001</v>
      </c>
      <c r="S38" s="293">
        <f t="shared" si="33"/>
        <v>161076.99000000002</v>
      </c>
      <c r="T38" s="293">
        <f t="shared" si="33"/>
        <v>158162.50000000003</v>
      </c>
      <c r="U38" s="293">
        <f t="shared" si="33"/>
        <v>155235.12000000002</v>
      </c>
      <c r="V38" s="293">
        <f t="shared" si="33"/>
        <v>152294.78000000003</v>
      </c>
      <c r="W38" s="293">
        <f>V38-W37</f>
        <v>149341.43000000002</v>
      </c>
      <c r="X38" s="293">
        <f t="shared" ref="X38:AL38" si="34">W38-X37</f>
        <v>146375.02000000002</v>
      </c>
      <c r="Y38" s="293">
        <f t="shared" si="34"/>
        <v>143395.48000000001</v>
      </c>
      <c r="Z38" s="293">
        <f t="shared" si="34"/>
        <v>140402.76</v>
      </c>
      <c r="AA38" s="293">
        <f t="shared" si="34"/>
        <v>137396.80000000002</v>
      </c>
      <c r="AB38" s="293">
        <f t="shared" si="34"/>
        <v>134377.54</v>
      </c>
      <c r="AC38" s="293">
        <f t="shared" si="34"/>
        <v>131344.92000000001</v>
      </c>
      <c r="AD38" s="293">
        <f t="shared" si="34"/>
        <v>128298.88000000002</v>
      </c>
      <c r="AE38" s="293">
        <f t="shared" si="34"/>
        <v>125239.36000000002</v>
      </c>
      <c r="AF38" s="293">
        <f t="shared" si="34"/>
        <v>122166.30000000002</v>
      </c>
      <c r="AG38" s="293">
        <f t="shared" si="34"/>
        <v>119079.65000000002</v>
      </c>
      <c r="AH38" s="293">
        <f t="shared" si="34"/>
        <v>115979.34000000003</v>
      </c>
      <c r="AI38" s="293">
        <f t="shared" si="34"/>
        <v>112865.31000000003</v>
      </c>
      <c r="AJ38" s="293">
        <f t="shared" si="34"/>
        <v>109737.50000000003</v>
      </c>
      <c r="AK38" s="293">
        <f t="shared" si="34"/>
        <v>106595.85000000003</v>
      </c>
      <c r="AL38" s="293">
        <f t="shared" si="34"/>
        <v>103440.30000000003</v>
      </c>
      <c r="AM38" s="293">
        <f>AL38-AM37</f>
        <v>100270.79000000004</v>
      </c>
      <c r="AN38" s="293">
        <f t="shared" ref="AN38:BQ38" si="35">AM38-AN37</f>
        <v>97087.260000000038</v>
      </c>
      <c r="AO38" s="293">
        <f t="shared" si="35"/>
        <v>93889.640000000043</v>
      </c>
      <c r="AP38" s="293">
        <f t="shared" si="35"/>
        <v>90677.870000000039</v>
      </c>
      <c r="AQ38" s="293">
        <f t="shared" si="35"/>
        <v>87451.890000000043</v>
      </c>
      <c r="AR38" s="293">
        <f t="shared" si="35"/>
        <v>84211.640000000043</v>
      </c>
      <c r="AS38" s="293">
        <f t="shared" si="35"/>
        <v>80957.050000000047</v>
      </c>
      <c r="AT38" s="293">
        <f t="shared" si="35"/>
        <v>77688.060000000041</v>
      </c>
      <c r="AU38" s="293">
        <f t="shared" si="35"/>
        <v>74404.610000000044</v>
      </c>
      <c r="AV38" s="293">
        <f t="shared" si="35"/>
        <v>71106.630000000048</v>
      </c>
      <c r="AW38" s="293">
        <f t="shared" si="35"/>
        <v>67794.060000000041</v>
      </c>
      <c r="AX38" s="293">
        <f t="shared" si="35"/>
        <v>64466.830000000038</v>
      </c>
      <c r="AY38" s="293">
        <f t="shared" si="35"/>
        <v>61124.880000000041</v>
      </c>
      <c r="AZ38" s="293">
        <f t="shared" si="35"/>
        <v>57768.140000000043</v>
      </c>
      <c r="BA38" s="293">
        <f t="shared" si="35"/>
        <v>54396.550000000047</v>
      </c>
      <c r="BB38" s="293">
        <f t="shared" si="35"/>
        <v>51010.040000000045</v>
      </c>
      <c r="BC38" s="293">
        <f t="shared" si="35"/>
        <v>47608.550000000047</v>
      </c>
      <c r="BD38" s="293">
        <f t="shared" si="35"/>
        <v>44192.010000000046</v>
      </c>
      <c r="BE38" s="293">
        <f t="shared" si="35"/>
        <v>40760.350000000049</v>
      </c>
      <c r="BF38" s="293">
        <f t="shared" si="35"/>
        <v>37313.500000000051</v>
      </c>
      <c r="BG38" s="293">
        <f t="shared" si="35"/>
        <v>33851.400000000052</v>
      </c>
      <c r="BH38" s="293">
        <f t="shared" si="35"/>
        <v>30373.980000000054</v>
      </c>
      <c r="BI38" s="293">
        <f t="shared" si="35"/>
        <v>26881.180000000055</v>
      </c>
      <c r="BJ38" s="293">
        <f t="shared" si="35"/>
        <v>23372.920000000056</v>
      </c>
      <c r="BK38" s="293">
        <f t="shared" si="35"/>
        <v>19849.140000000058</v>
      </c>
      <c r="BL38" s="293">
        <f t="shared" si="35"/>
        <v>16309.770000000059</v>
      </c>
      <c r="BM38" s="293">
        <f t="shared" si="35"/>
        <v>12754.740000000058</v>
      </c>
      <c r="BN38" s="293">
        <f t="shared" si="35"/>
        <v>9183.9800000000578</v>
      </c>
      <c r="BO38" s="293">
        <f t="shared" si="35"/>
        <v>5597.4200000000583</v>
      </c>
      <c r="BP38" s="293">
        <f t="shared" si="35"/>
        <v>1995.0000000000582</v>
      </c>
      <c r="BQ38" s="293">
        <f t="shared" si="35"/>
        <v>5.8207660913467407E-11</v>
      </c>
      <c r="BR38" s="294"/>
      <c r="BS38" s="293"/>
      <c r="BT38" s="293"/>
      <c r="BU38" s="293"/>
      <c r="BV38" s="293"/>
      <c r="BW38" s="295"/>
    </row>
    <row r="39" spans="1:75">
      <c r="A39" s="288"/>
      <c r="B39" s="289">
        <v>134404.06</v>
      </c>
      <c r="C39" s="290"/>
      <c r="D39" s="290"/>
      <c r="E39" s="290"/>
      <c r="F39" s="290"/>
      <c r="G39" s="291"/>
      <c r="H39" s="292" t="s">
        <v>439</v>
      </c>
      <c r="I39" s="293">
        <v>9975</v>
      </c>
      <c r="J39" s="293">
        <v>3627.2</v>
      </c>
      <c r="K39" s="293">
        <v>3627.2</v>
      </c>
      <c r="L39" s="293">
        <v>3627.2</v>
      </c>
      <c r="M39" s="293">
        <v>3627.2</v>
      </c>
      <c r="N39" s="293">
        <v>3627.2</v>
      </c>
      <c r="O39" s="293">
        <v>3627.2</v>
      </c>
      <c r="P39" s="293">
        <v>3627.2</v>
      </c>
      <c r="Q39" s="293">
        <v>3627.2</v>
      </c>
      <c r="R39" s="293">
        <v>3627.2</v>
      </c>
      <c r="S39" s="293">
        <v>3627.2</v>
      </c>
      <c r="T39" s="293">
        <v>3627.2</v>
      </c>
      <c r="U39" s="293">
        <v>3627.2</v>
      </c>
      <c r="V39" s="293">
        <v>3627.2</v>
      </c>
      <c r="W39" s="293">
        <v>3627.2</v>
      </c>
      <c r="X39" s="293">
        <v>3627.2</v>
      </c>
      <c r="Y39" s="293">
        <v>3627.2</v>
      </c>
      <c r="Z39" s="293">
        <v>3627.2</v>
      </c>
      <c r="AA39" s="293">
        <v>3627.2</v>
      </c>
      <c r="AB39" s="293">
        <v>3627.2</v>
      </c>
      <c r="AC39" s="293">
        <v>3627.2</v>
      </c>
      <c r="AD39" s="293">
        <v>3627.2</v>
      </c>
      <c r="AE39" s="293">
        <v>3627.2</v>
      </c>
      <c r="AF39" s="293">
        <v>3627.2</v>
      </c>
      <c r="AG39" s="293">
        <v>3627.2</v>
      </c>
      <c r="AH39" s="293">
        <v>3627.2</v>
      </c>
      <c r="AI39" s="293">
        <v>3627.2</v>
      </c>
      <c r="AJ39" s="293">
        <v>3627.2</v>
      </c>
      <c r="AK39" s="293">
        <v>3627.2</v>
      </c>
      <c r="AL39" s="293">
        <v>3627.2</v>
      </c>
      <c r="AM39" s="293">
        <v>3627.2</v>
      </c>
      <c r="AN39" s="293">
        <v>3627.2</v>
      </c>
      <c r="AO39" s="293">
        <v>3627.2</v>
      </c>
      <c r="AP39" s="293">
        <v>3627.2</v>
      </c>
      <c r="AQ39" s="293">
        <v>3627.2</v>
      </c>
      <c r="AR39" s="293">
        <v>3627.2</v>
      </c>
      <c r="AS39" s="293">
        <v>3627.2</v>
      </c>
      <c r="AT39" s="293">
        <v>3627.2</v>
      </c>
      <c r="AU39" s="293">
        <v>3627.2</v>
      </c>
      <c r="AV39" s="293">
        <v>3627.2</v>
      </c>
      <c r="AW39" s="293">
        <v>3627.2</v>
      </c>
      <c r="AX39" s="293">
        <v>3627.2</v>
      </c>
      <c r="AY39" s="293">
        <v>3627.2</v>
      </c>
      <c r="AZ39" s="293">
        <v>3627.2</v>
      </c>
      <c r="BA39" s="293">
        <v>3627.2</v>
      </c>
      <c r="BB39" s="293">
        <v>3627.2</v>
      </c>
      <c r="BC39" s="293">
        <v>3627.2</v>
      </c>
      <c r="BD39" s="293">
        <v>3627.2</v>
      </c>
      <c r="BE39" s="293">
        <v>3627.2</v>
      </c>
      <c r="BF39" s="293">
        <v>3627.2</v>
      </c>
      <c r="BG39" s="293">
        <v>3627.2</v>
      </c>
      <c r="BH39" s="293">
        <v>3627.2</v>
      </c>
      <c r="BI39" s="293">
        <v>3627.2</v>
      </c>
      <c r="BJ39" s="293">
        <v>3627.2</v>
      </c>
      <c r="BK39" s="293">
        <v>3627.2</v>
      </c>
      <c r="BL39" s="293">
        <v>3627.2</v>
      </c>
      <c r="BM39" s="293">
        <v>3627.2</v>
      </c>
      <c r="BN39" s="293">
        <v>3627.2</v>
      </c>
      <c r="BO39" s="293">
        <v>3627.2</v>
      </c>
      <c r="BP39" s="293">
        <v>3627.2</v>
      </c>
      <c r="BQ39" s="293"/>
      <c r="BR39" s="294"/>
      <c r="BS39" s="293"/>
      <c r="BT39" s="293"/>
      <c r="BU39" s="293"/>
      <c r="BV39" s="293"/>
      <c r="BW39" s="295"/>
    </row>
    <row r="40" spans="1:75">
      <c r="A40" s="288"/>
      <c r="B40" s="289"/>
      <c r="C40" s="290"/>
      <c r="D40" s="290"/>
      <c r="E40" s="290"/>
      <c r="F40" s="290"/>
      <c r="G40" s="291"/>
      <c r="H40" s="292" t="s">
        <v>440</v>
      </c>
      <c r="I40" s="293">
        <f>I39-I37</f>
        <v>0</v>
      </c>
      <c r="J40" s="293">
        <f t="shared" ref="J40:BP40" si="36">J39-J37</f>
        <v>838.57999999999993</v>
      </c>
      <c r="K40" s="293">
        <f t="shared" si="36"/>
        <v>826.25</v>
      </c>
      <c r="L40" s="293">
        <f t="shared" si="36"/>
        <v>813.84999999999991</v>
      </c>
      <c r="M40" s="293">
        <f t="shared" si="36"/>
        <v>801.39999999999964</v>
      </c>
      <c r="N40" s="293">
        <f t="shared" si="36"/>
        <v>788.89999999999964</v>
      </c>
      <c r="O40" s="293">
        <f t="shared" si="36"/>
        <v>776.33999999999969</v>
      </c>
      <c r="P40" s="293">
        <f t="shared" si="36"/>
        <v>763.73</v>
      </c>
      <c r="Q40" s="293">
        <f t="shared" si="36"/>
        <v>751.06</v>
      </c>
      <c r="R40" s="293">
        <f t="shared" si="36"/>
        <v>738.32999999999993</v>
      </c>
      <c r="S40" s="293">
        <f t="shared" si="36"/>
        <v>725.54999999999973</v>
      </c>
      <c r="T40" s="293">
        <f t="shared" si="36"/>
        <v>712.71</v>
      </c>
      <c r="U40" s="293">
        <f t="shared" si="36"/>
        <v>699.81999999999971</v>
      </c>
      <c r="V40" s="293">
        <f t="shared" si="36"/>
        <v>686.85999999999967</v>
      </c>
      <c r="W40" s="293">
        <f t="shared" si="36"/>
        <v>673.84999999999991</v>
      </c>
      <c r="X40" s="293">
        <f t="shared" si="36"/>
        <v>660.79</v>
      </c>
      <c r="Y40" s="293">
        <f t="shared" si="36"/>
        <v>647.65999999999985</v>
      </c>
      <c r="Z40" s="293">
        <f t="shared" si="36"/>
        <v>634.48</v>
      </c>
      <c r="AA40" s="293">
        <f t="shared" si="36"/>
        <v>621.23999999999978</v>
      </c>
      <c r="AB40" s="293">
        <f t="shared" si="36"/>
        <v>607.9399999999996</v>
      </c>
      <c r="AC40" s="293">
        <f t="shared" si="36"/>
        <v>594.57999999999993</v>
      </c>
      <c r="AD40" s="293">
        <f t="shared" si="36"/>
        <v>581.15999999999985</v>
      </c>
      <c r="AE40" s="293">
        <f t="shared" si="36"/>
        <v>567.67999999999984</v>
      </c>
      <c r="AF40" s="293">
        <f t="shared" si="36"/>
        <v>554.13999999999987</v>
      </c>
      <c r="AG40" s="293">
        <f t="shared" si="36"/>
        <v>540.54999999999973</v>
      </c>
      <c r="AH40" s="293">
        <f t="shared" si="36"/>
        <v>526.88999999999987</v>
      </c>
      <c r="AI40" s="293">
        <f t="shared" si="36"/>
        <v>513.16999999999962</v>
      </c>
      <c r="AJ40" s="293">
        <f t="shared" si="36"/>
        <v>499.38999999999987</v>
      </c>
      <c r="AK40" s="293">
        <f t="shared" si="36"/>
        <v>485.54999999999973</v>
      </c>
      <c r="AL40" s="293">
        <f t="shared" si="36"/>
        <v>471.64999999999964</v>
      </c>
      <c r="AM40" s="293">
        <f t="shared" si="36"/>
        <v>457.6899999999996</v>
      </c>
      <c r="AN40" s="293">
        <f t="shared" si="36"/>
        <v>443.66999999999962</v>
      </c>
      <c r="AO40" s="293">
        <f t="shared" si="36"/>
        <v>429.57999999999993</v>
      </c>
      <c r="AP40" s="293">
        <f t="shared" si="36"/>
        <v>415.42999999999984</v>
      </c>
      <c r="AQ40" s="293">
        <f t="shared" si="36"/>
        <v>401.2199999999998</v>
      </c>
      <c r="AR40" s="293">
        <f t="shared" si="36"/>
        <v>386.94999999999982</v>
      </c>
      <c r="AS40" s="293">
        <f t="shared" si="36"/>
        <v>372.60999999999967</v>
      </c>
      <c r="AT40" s="293">
        <f t="shared" si="36"/>
        <v>358.21000000000004</v>
      </c>
      <c r="AU40" s="293">
        <f t="shared" si="36"/>
        <v>343.75</v>
      </c>
      <c r="AV40" s="293">
        <f t="shared" si="36"/>
        <v>329.2199999999998</v>
      </c>
      <c r="AW40" s="293">
        <f t="shared" si="36"/>
        <v>314.62999999999965</v>
      </c>
      <c r="AX40" s="293">
        <f t="shared" si="36"/>
        <v>299.9699999999998</v>
      </c>
      <c r="AY40" s="293">
        <f t="shared" si="36"/>
        <v>285.25</v>
      </c>
      <c r="AZ40" s="293">
        <f t="shared" si="36"/>
        <v>270.46000000000004</v>
      </c>
      <c r="BA40" s="293">
        <f t="shared" si="36"/>
        <v>255.60999999999967</v>
      </c>
      <c r="BB40" s="293">
        <f t="shared" si="36"/>
        <v>240.6899999999996</v>
      </c>
      <c r="BC40" s="293">
        <f t="shared" si="36"/>
        <v>225.71000000000004</v>
      </c>
      <c r="BD40" s="293">
        <f t="shared" si="36"/>
        <v>210.65999999999985</v>
      </c>
      <c r="BE40" s="293">
        <f t="shared" si="36"/>
        <v>195.53999999999996</v>
      </c>
      <c r="BF40" s="293">
        <f t="shared" si="36"/>
        <v>180.34999999999991</v>
      </c>
      <c r="BG40" s="293">
        <f t="shared" si="36"/>
        <v>165.09999999999991</v>
      </c>
      <c r="BH40" s="293">
        <f t="shared" si="36"/>
        <v>149.77999999999975</v>
      </c>
      <c r="BI40" s="293">
        <f t="shared" si="36"/>
        <v>134.39999999999964</v>
      </c>
      <c r="BJ40" s="293">
        <f t="shared" si="36"/>
        <v>118.9399999999996</v>
      </c>
      <c r="BK40" s="293">
        <f t="shared" si="36"/>
        <v>103.41999999999962</v>
      </c>
      <c r="BL40" s="293">
        <f t="shared" si="36"/>
        <v>87.829999999999927</v>
      </c>
      <c r="BM40" s="293">
        <f t="shared" si="36"/>
        <v>72.169999999999618</v>
      </c>
      <c r="BN40" s="293">
        <f t="shared" si="36"/>
        <v>56.4399999999996</v>
      </c>
      <c r="BO40" s="293">
        <f t="shared" si="36"/>
        <v>40.639999999999873</v>
      </c>
      <c r="BP40" s="293">
        <f t="shared" si="36"/>
        <v>24.779999999999745</v>
      </c>
      <c r="BQ40" s="293"/>
      <c r="BR40" s="294"/>
      <c r="BS40" s="293"/>
      <c r="BT40" s="293"/>
      <c r="BU40" s="293"/>
      <c r="BV40" s="293"/>
      <c r="BW40" s="295"/>
    </row>
    <row r="41" spans="1:75">
      <c r="A41" s="288"/>
      <c r="B41" s="289"/>
      <c r="C41" s="290"/>
      <c r="D41" s="290"/>
      <c r="E41" s="290"/>
      <c r="F41" s="290"/>
      <c r="G41" s="291"/>
      <c r="H41" s="292" t="s">
        <v>441</v>
      </c>
      <c r="I41" s="293">
        <f>I39-I40</f>
        <v>9975</v>
      </c>
      <c r="J41" s="293">
        <f t="shared" ref="J41:BP41" si="37">J39-J40</f>
        <v>2788.62</v>
      </c>
      <c r="K41" s="293">
        <f t="shared" si="37"/>
        <v>2800.95</v>
      </c>
      <c r="L41" s="293">
        <f t="shared" si="37"/>
        <v>2813.35</v>
      </c>
      <c r="M41" s="293">
        <f t="shared" si="37"/>
        <v>2825.8</v>
      </c>
      <c r="N41" s="293">
        <f t="shared" si="37"/>
        <v>2838.3</v>
      </c>
      <c r="O41" s="293">
        <f t="shared" si="37"/>
        <v>2850.86</v>
      </c>
      <c r="P41" s="293">
        <f t="shared" si="37"/>
        <v>2863.47</v>
      </c>
      <c r="Q41" s="293">
        <f t="shared" si="37"/>
        <v>2876.14</v>
      </c>
      <c r="R41" s="293">
        <f t="shared" si="37"/>
        <v>2888.87</v>
      </c>
      <c r="S41" s="293">
        <f t="shared" si="37"/>
        <v>2901.65</v>
      </c>
      <c r="T41" s="293">
        <f t="shared" si="37"/>
        <v>2914.49</v>
      </c>
      <c r="U41" s="293">
        <f t="shared" si="37"/>
        <v>2927.38</v>
      </c>
      <c r="V41" s="293">
        <f t="shared" si="37"/>
        <v>2940.34</v>
      </c>
      <c r="W41" s="293">
        <f t="shared" si="37"/>
        <v>2953.35</v>
      </c>
      <c r="X41" s="293">
        <f t="shared" si="37"/>
        <v>2966.41</v>
      </c>
      <c r="Y41" s="293">
        <f t="shared" si="37"/>
        <v>2979.54</v>
      </c>
      <c r="Z41" s="293">
        <f t="shared" si="37"/>
        <v>2992.72</v>
      </c>
      <c r="AA41" s="293">
        <f t="shared" si="37"/>
        <v>3005.96</v>
      </c>
      <c r="AB41" s="293">
        <f t="shared" si="37"/>
        <v>3019.26</v>
      </c>
      <c r="AC41" s="293">
        <f t="shared" si="37"/>
        <v>3032.62</v>
      </c>
      <c r="AD41" s="293">
        <f t="shared" si="37"/>
        <v>3046.04</v>
      </c>
      <c r="AE41" s="293">
        <f t="shared" si="37"/>
        <v>3059.52</v>
      </c>
      <c r="AF41" s="293">
        <f t="shared" si="37"/>
        <v>3073.06</v>
      </c>
      <c r="AG41" s="293">
        <f t="shared" si="37"/>
        <v>3086.65</v>
      </c>
      <c r="AH41" s="293">
        <f t="shared" si="37"/>
        <v>3100.31</v>
      </c>
      <c r="AI41" s="293">
        <f t="shared" si="37"/>
        <v>3114.03</v>
      </c>
      <c r="AJ41" s="293">
        <f t="shared" si="37"/>
        <v>3127.81</v>
      </c>
      <c r="AK41" s="293">
        <f t="shared" si="37"/>
        <v>3141.65</v>
      </c>
      <c r="AL41" s="293">
        <f t="shared" si="37"/>
        <v>3155.55</v>
      </c>
      <c r="AM41" s="293">
        <f t="shared" si="37"/>
        <v>3169.51</v>
      </c>
      <c r="AN41" s="293">
        <f t="shared" si="37"/>
        <v>3183.53</v>
      </c>
      <c r="AO41" s="293">
        <f t="shared" si="37"/>
        <v>3197.62</v>
      </c>
      <c r="AP41" s="293">
        <f t="shared" si="37"/>
        <v>3211.77</v>
      </c>
      <c r="AQ41" s="293">
        <f t="shared" si="37"/>
        <v>3225.98</v>
      </c>
      <c r="AR41" s="293">
        <f t="shared" si="37"/>
        <v>3240.25</v>
      </c>
      <c r="AS41" s="293">
        <f t="shared" si="37"/>
        <v>3254.59</v>
      </c>
      <c r="AT41" s="293">
        <f t="shared" si="37"/>
        <v>3268.99</v>
      </c>
      <c r="AU41" s="293">
        <f t="shared" si="37"/>
        <v>3283.45</v>
      </c>
      <c r="AV41" s="293">
        <f t="shared" si="37"/>
        <v>3297.98</v>
      </c>
      <c r="AW41" s="293">
        <f t="shared" si="37"/>
        <v>3312.57</v>
      </c>
      <c r="AX41" s="293">
        <f t="shared" si="37"/>
        <v>3327.23</v>
      </c>
      <c r="AY41" s="293">
        <f t="shared" si="37"/>
        <v>3341.95</v>
      </c>
      <c r="AZ41" s="293">
        <f t="shared" si="37"/>
        <v>3356.74</v>
      </c>
      <c r="BA41" s="293">
        <f t="shared" si="37"/>
        <v>3371.59</v>
      </c>
      <c r="BB41" s="293">
        <f t="shared" si="37"/>
        <v>3386.51</v>
      </c>
      <c r="BC41" s="293">
        <f t="shared" si="37"/>
        <v>3401.49</v>
      </c>
      <c r="BD41" s="293">
        <f t="shared" si="37"/>
        <v>3416.54</v>
      </c>
      <c r="BE41" s="293">
        <f t="shared" si="37"/>
        <v>3431.66</v>
      </c>
      <c r="BF41" s="293">
        <f t="shared" si="37"/>
        <v>3446.85</v>
      </c>
      <c r="BG41" s="293">
        <f t="shared" si="37"/>
        <v>3462.1</v>
      </c>
      <c r="BH41" s="293">
        <f t="shared" si="37"/>
        <v>3477.42</v>
      </c>
      <c r="BI41" s="293">
        <f t="shared" si="37"/>
        <v>3492.8</v>
      </c>
      <c r="BJ41" s="293">
        <f t="shared" si="37"/>
        <v>3508.26</v>
      </c>
      <c r="BK41" s="293">
        <f t="shared" si="37"/>
        <v>3523.78</v>
      </c>
      <c r="BL41" s="293">
        <f t="shared" si="37"/>
        <v>3539.37</v>
      </c>
      <c r="BM41" s="293">
        <f t="shared" si="37"/>
        <v>3555.03</v>
      </c>
      <c r="BN41" s="293">
        <f t="shared" si="37"/>
        <v>3570.76</v>
      </c>
      <c r="BO41" s="293">
        <f t="shared" si="37"/>
        <v>3586.56</v>
      </c>
      <c r="BP41" s="293">
        <f t="shared" si="37"/>
        <v>3602.42</v>
      </c>
      <c r="BQ41" s="293"/>
      <c r="BR41" s="294"/>
      <c r="BS41" s="293"/>
      <c r="BT41" s="293"/>
      <c r="BU41" s="293"/>
      <c r="BV41" s="293"/>
      <c r="BW41" s="295"/>
    </row>
    <row r="42" spans="1:75">
      <c r="A42" s="288"/>
      <c r="B42" s="289"/>
      <c r="C42" s="290"/>
      <c r="D42" s="290"/>
      <c r="E42" s="290"/>
      <c r="F42" s="290"/>
      <c r="G42" s="291"/>
      <c r="H42" s="305" t="s">
        <v>412</v>
      </c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293"/>
      <c r="AL42" s="293"/>
      <c r="AM42" s="293"/>
      <c r="AN42" s="293"/>
      <c r="AO42" s="293"/>
      <c r="AP42" s="293"/>
      <c r="AQ42" s="293"/>
      <c r="AR42" s="293"/>
      <c r="AS42" s="293"/>
      <c r="AT42" s="293"/>
      <c r="AU42" s="293"/>
      <c r="AV42" s="293"/>
      <c r="AW42" s="293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  <c r="BS42" s="294"/>
      <c r="BT42" s="294"/>
      <c r="BU42" s="294"/>
      <c r="BV42" s="294"/>
      <c r="BW42" s="295"/>
    </row>
    <row r="43" spans="1:75" ht="13.5" thickBot="1">
      <c r="A43" s="296"/>
      <c r="B43" s="297"/>
      <c r="C43" s="298"/>
      <c r="D43" s="298"/>
      <c r="E43" s="298"/>
      <c r="F43" s="298"/>
      <c r="G43" s="299"/>
      <c r="H43" s="306" t="s">
        <v>442</v>
      </c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01"/>
      <c r="AH43" s="301"/>
      <c r="AI43" s="301"/>
      <c r="AJ43" s="301"/>
      <c r="AK43" s="301"/>
      <c r="AL43" s="301"/>
      <c r="AM43" s="301"/>
      <c r="AN43" s="301"/>
      <c r="AO43" s="301">
        <f t="shared" ref="AO43:AW43" si="38">AO42-AO38</f>
        <v>-93889.640000000043</v>
      </c>
      <c r="AP43" s="301">
        <f t="shared" si="38"/>
        <v>-90677.870000000039</v>
      </c>
      <c r="AQ43" s="301">
        <f t="shared" si="38"/>
        <v>-87451.890000000043</v>
      </c>
      <c r="AR43" s="301">
        <f t="shared" si="38"/>
        <v>-84211.640000000043</v>
      </c>
      <c r="AS43" s="301">
        <f t="shared" si="38"/>
        <v>-80957.050000000047</v>
      </c>
      <c r="AT43" s="301">
        <f t="shared" si="38"/>
        <v>-77688.060000000041</v>
      </c>
      <c r="AU43" s="301">
        <f t="shared" si="38"/>
        <v>-74404.610000000044</v>
      </c>
      <c r="AV43" s="301">
        <f t="shared" si="38"/>
        <v>-71106.630000000048</v>
      </c>
      <c r="AW43" s="301">
        <f t="shared" si="38"/>
        <v>-67794.060000000041</v>
      </c>
      <c r="AX43" s="301">
        <f>AX42-AX38</f>
        <v>-64466.830000000038</v>
      </c>
      <c r="AY43" s="301">
        <f t="shared" ref="AY43:BQ43" si="39">AY42-AY38</f>
        <v>-61124.880000000041</v>
      </c>
      <c r="AZ43" s="301">
        <f t="shared" si="39"/>
        <v>-57768.140000000043</v>
      </c>
      <c r="BA43" s="301">
        <f t="shared" si="39"/>
        <v>-54396.550000000047</v>
      </c>
      <c r="BB43" s="301">
        <f t="shared" si="39"/>
        <v>-51010.040000000045</v>
      </c>
      <c r="BC43" s="301">
        <f t="shared" si="39"/>
        <v>-47608.550000000047</v>
      </c>
      <c r="BD43" s="301">
        <f t="shared" si="39"/>
        <v>-44192.010000000046</v>
      </c>
      <c r="BE43" s="301">
        <f t="shared" si="39"/>
        <v>-40760.350000000049</v>
      </c>
      <c r="BF43" s="301">
        <f t="shared" si="39"/>
        <v>-37313.500000000051</v>
      </c>
      <c r="BG43" s="301">
        <f t="shared" si="39"/>
        <v>-33851.400000000052</v>
      </c>
      <c r="BH43" s="301">
        <f t="shared" si="39"/>
        <v>-30373.980000000054</v>
      </c>
      <c r="BI43" s="301">
        <f t="shared" si="39"/>
        <v>-26881.180000000055</v>
      </c>
      <c r="BJ43" s="301">
        <f t="shared" si="39"/>
        <v>-23372.920000000056</v>
      </c>
      <c r="BK43" s="301">
        <f t="shared" si="39"/>
        <v>-19849.140000000058</v>
      </c>
      <c r="BL43" s="301">
        <f t="shared" si="39"/>
        <v>-16309.770000000059</v>
      </c>
      <c r="BM43" s="301">
        <f t="shared" si="39"/>
        <v>-12754.740000000058</v>
      </c>
      <c r="BN43" s="301">
        <f t="shared" si="39"/>
        <v>-9183.9800000000578</v>
      </c>
      <c r="BO43" s="301">
        <f t="shared" si="39"/>
        <v>-5597.4200000000583</v>
      </c>
      <c r="BP43" s="301">
        <f t="shared" si="39"/>
        <v>-1995.0000000000582</v>
      </c>
      <c r="BQ43" s="301">
        <f t="shared" si="39"/>
        <v>-5.8207660913467407E-11</v>
      </c>
      <c r="BR43" s="302"/>
      <c r="BS43" s="301"/>
      <c r="BT43" s="301"/>
      <c r="BU43" s="301"/>
      <c r="BV43" s="301"/>
      <c r="BW43" s="303"/>
    </row>
    <row r="44" spans="1:75">
      <c r="A44" s="278" t="s">
        <v>296</v>
      </c>
      <c r="B44" s="279" t="s">
        <v>457</v>
      </c>
      <c r="C44" s="280" t="s">
        <v>458</v>
      </c>
      <c r="D44" s="281" t="s">
        <v>459</v>
      </c>
      <c r="E44" s="280" t="s">
        <v>455</v>
      </c>
      <c r="F44" s="281" t="s">
        <v>460</v>
      </c>
      <c r="G44" s="282">
        <v>398900</v>
      </c>
      <c r="H44" s="304" t="s">
        <v>437</v>
      </c>
      <c r="I44" s="284">
        <v>19945</v>
      </c>
      <c r="J44" s="284">
        <v>5577.33</v>
      </c>
      <c r="K44" s="284">
        <v>5601.96</v>
      </c>
      <c r="L44" s="284">
        <v>5626.7</v>
      </c>
      <c r="M44" s="284">
        <v>5651.54</v>
      </c>
      <c r="N44" s="284">
        <v>5676.5</v>
      </c>
      <c r="O44" s="284">
        <v>5701.56</v>
      </c>
      <c r="P44" s="284">
        <v>5726.74</v>
      </c>
      <c r="Q44" s="284">
        <v>5752.03</v>
      </c>
      <c r="R44" s="284">
        <v>5777.43</v>
      </c>
      <c r="S44" s="284">
        <v>5802.94</v>
      </c>
      <c r="T44" s="284">
        <v>5828.56</v>
      </c>
      <c r="U44" s="284">
        <v>5854.3</v>
      </c>
      <c r="V44" s="284">
        <v>5880.15</v>
      </c>
      <c r="W44" s="284">
        <v>5906.12</v>
      </c>
      <c r="X44" s="284">
        <v>5932.2</v>
      </c>
      <c r="Y44" s="284">
        <v>5958.39</v>
      </c>
      <c r="Z44" s="284">
        <v>5984.7</v>
      </c>
      <c r="AA44" s="284">
        <v>6011.13</v>
      </c>
      <c r="AB44" s="284">
        <v>6037.67</v>
      </c>
      <c r="AC44" s="284">
        <v>6064.33</v>
      </c>
      <c r="AD44" s="284">
        <v>6091.11</v>
      </c>
      <c r="AE44" s="284">
        <v>6118.01</v>
      </c>
      <c r="AF44" s="284">
        <v>6145.02</v>
      </c>
      <c r="AG44" s="284">
        <v>6172.16</v>
      </c>
      <c r="AH44" s="284">
        <v>6199.41</v>
      </c>
      <c r="AI44" s="284">
        <v>6226.79</v>
      </c>
      <c r="AJ44" s="284">
        <v>6254.28</v>
      </c>
      <c r="AK44" s="284">
        <v>6281.9</v>
      </c>
      <c r="AL44" s="284">
        <v>6309.64</v>
      </c>
      <c r="AM44" s="284">
        <v>6337.5</v>
      </c>
      <c r="AN44" s="284">
        <v>6365.49</v>
      </c>
      <c r="AO44" s="284">
        <v>6393.59</v>
      </c>
      <c r="AP44" s="284">
        <v>6421.83</v>
      </c>
      <c r="AQ44" s="284">
        <v>6450.18</v>
      </c>
      <c r="AR44" s="284">
        <v>6478.67</v>
      </c>
      <c r="AS44" s="284">
        <v>6507.27</v>
      </c>
      <c r="AT44" s="284">
        <v>6536.01</v>
      </c>
      <c r="AU44" s="284">
        <v>6564.87</v>
      </c>
      <c r="AV44" s="284">
        <v>6593.86</v>
      </c>
      <c r="AW44" s="284">
        <v>6622.97</v>
      </c>
      <c r="AX44" s="284">
        <v>6652.22</v>
      </c>
      <c r="AY44" s="284">
        <v>6681.59</v>
      </c>
      <c r="AZ44" s="284">
        <v>6711.1</v>
      </c>
      <c r="BA44" s="284">
        <v>6740.73</v>
      </c>
      <c r="BB44" s="284">
        <v>6770.5</v>
      </c>
      <c r="BC44" s="284">
        <v>6800.39</v>
      </c>
      <c r="BD44" s="284">
        <v>6830.42</v>
      </c>
      <c r="BE44" s="284">
        <v>6860.58</v>
      </c>
      <c r="BF44" s="284">
        <v>6890.88</v>
      </c>
      <c r="BG44" s="284">
        <v>6921.31</v>
      </c>
      <c r="BH44" s="284">
        <v>6951.87</v>
      </c>
      <c r="BI44" s="284">
        <v>6982.57</v>
      </c>
      <c r="BJ44" s="284">
        <v>7013.4</v>
      </c>
      <c r="BK44" s="284">
        <v>7044.37</v>
      </c>
      <c r="BL44" s="284">
        <v>7075.48</v>
      </c>
      <c r="BM44" s="284">
        <v>7106.72</v>
      </c>
      <c r="BN44" s="284">
        <v>7138.1</v>
      </c>
      <c r="BO44" s="284">
        <v>7169.62</v>
      </c>
      <c r="BP44" s="284">
        <v>7201.31</v>
      </c>
      <c r="BQ44" s="284">
        <v>3989</v>
      </c>
      <c r="BR44" s="285"/>
      <c r="BS44" s="284"/>
      <c r="BT44" s="284"/>
      <c r="BU44" s="284"/>
      <c r="BV44" s="284"/>
      <c r="BW44" s="286"/>
    </row>
    <row r="45" spans="1:75">
      <c r="A45" s="288"/>
      <c r="B45" s="289"/>
      <c r="C45" s="290"/>
      <c r="D45" s="290"/>
      <c r="E45" s="290"/>
      <c r="F45" s="290"/>
      <c r="G45" s="291"/>
      <c r="H45" s="305" t="s">
        <v>438</v>
      </c>
      <c r="I45" s="293">
        <f>G44-I44</f>
        <v>378955</v>
      </c>
      <c r="J45" s="293">
        <f t="shared" ref="J45:K45" si="40">I45-J44</f>
        <v>373377.67</v>
      </c>
      <c r="K45" s="293">
        <f t="shared" si="40"/>
        <v>367775.70999999996</v>
      </c>
      <c r="L45" s="293">
        <f>K45-L44</f>
        <v>362149.00999999995</v>
      </c>
      <c r="M45" s="293">
        <f t="shared" ref="M45:P45" si="41">L45-M44</f>
        <v>356497.47</v>
      </c>
      <c r="N45" s="293">
        <f t="shared" si="41"/>
        <v>350820.97</v>
      </c>
      <c r="O45" s="293">
        <f t="shared" si="41"/>
        <v>345119.41</v>
      </c>
      <c r="P45" s="293">
        <f t="shared" si="41"/>
        <v>339392.67</v>
      </c>
      <c r="Q45" s="293">
        <f>P45-Q44</f>
        <v>333640.63999999996</v>
      </c>
      <c r="R45" s="293">
        <f t="shared" ref="R45:V45" si="42">Q45-R44</f>
        <v>327863.20999999996</v>
      </c>
      <c r="S45" s="293">
        <f t="shared" si="42"/>
        <v>322060.26999999996</v>
      </c>
      <c r="T45" s="293">
        <f t="shared" si="42"/>
        <v>316231.70999999996</v>
      </c>
      <c r="U45" s="293">
        <f t="shared" si="42"/>
        <v>310377.40999999997</v>
      </c>
      <c r="V45" s="293">
        <f t="shared" si="42"/>
        <v>304497.25999999995</v>
      </c>
      <c r="W45" s="293">
        <f>V45-W44</f>
        <v>298591.13999999996</v>
      </c>
      <c r="X45" s="293">
        <f t="shared" ref="X45:AL45" si="43">W45-X44</f>
        <v>292658.93999999994</v>
      </c>
      <c r="Y45" s="293">
        <f t="shared" si="43"/>
        <v>286700.54999999993</v>
      </c>
      <c r="Z45" s="293">
        <f t="shared" si="43"/>
        <v>280715.84999999992</v>
      </c>
      <c r="AA45" s="293">
        <f t="shared" si="43"/>
        <v>274704.71999999991</v>
      </c>
      <c r="AB45" s="293">
        <f t="shared" si="43"/>
        <v>268667.04999999993</v>
      </c>
      <c r="AC45" s="293">
        <f t="shared" si="43"/>
        <v>262602.71999999991</v>
      </c>
      <c r="AD45" s="293">
        <f t="shared" si="43"/>
        <v>256511.60999999993</v>
      </c>
      <c r="AE45" s="293">
        <f t="shared" si="43"/>
        <v>250393.59999999992</v>
      </c>
      <c r="AF45" s="293">
        <f t="shared" si="43"/>
        <v>244248.57999999993</v>
      </c>
      <c r="AG45" s="293">
        <f t="shared" si="43"/>
        <v>238076.41999999993</v>
      </c>
      <c r="AH45" s="293">
        <f t="shared" si="43"/>
        <v>231877.00999999992</v>
      </c>
      <c r="AI45" s="293">
        <f t="shared" si="43"/>
        <v>225650.21999999991</v>
      </c>
      <c r="AJ45" s="293">
        <f t="shared" si="43"/>
        <v>219395.93999999992</v>
      </c>
      <c r="AK45" s="293">
        <f t="shared" si="43"/>
        <v>213114.03999999992</v>
      </c>
      <c r="AL45" s="293">
        <f t="shared" si="43"/>
        <v>206804.39999999991</v>
      </c>
      <c r="AM45" s="293">
        <f>AL45-AM44</f>
        <v>200466.89999999991</v>
      </c>
      <c r="AN45" s="293">
        <f t="shared" ref="AN45:BQ45" si="44">AM45-AN44</f>
        <v>194101.40999999992</v>
      </c>
      <c r="AO45" s="293">
        <f t="shared" si="44"/>
        <v>187707.81999999992</v>
      </c>
      <c r="AP45" s="293">
        <f t="shared" si="44"/>
        <v>181285.98999999993</v>
      </c>
      <c r="AQ45" s="293">
        <f t="shared" si="44"/>
        <v>174835.80999999994</v>
      </c>
      <c r="AR45" s="293">
        <f t="shared" si="44"/>
        <v>168357.13999999993</v>
      </c>
      <c r="AS45" s="293">
        <f t="shared" si="44"/>
        <v>161849.86999999994</v>
      </c>
      <c r="AT45" s="293">
        <f t="shared" si="44"/>
        <v>155313.85999999993</v>
      </c>
      <c r="AU45" s="293">
        <f t="shared" si="44"/>
        <v>148748.98999999993</v>
      </c>
      <c r="AV45" s="293">
        <f t="shared" si="44"/>
        <v>142155.12999999995</v>
      </c>
      <c r="AW45" s="293">
        <f t="shared" si="44"/>
        <v>135532.15999999995</v>
      </c>
      <c r="AX45" s="293">
        <f t="shared" si="44"/>
        <v>128879.93999999994</v>
      </c>
      <c r="AY45" s="293">
        <f t="shared" si="44"/>
        <v>122198.34999999995</v>
      </c>
      <c r="AZ45" s="293">
        <f t="shared" si="44"/>
        <v>115487.24999999994</v>
      </c>
      <c r="BA45" s="293">
        <f t="shared" si="44"/>
        <v>108746.51999999995</v>
      </c>
      <c r="BB45" s="293">
        <f t="shared" si="44"/>
        <v>101976.01999999995</v>
      </c>
      <c r="BC45" s="293">
        <f t="shared" si="44"/>
        <v>95175.629999999946</v>
      </c>
      <c r="BD45" s="293">
        <f t="shared" si="44"/>
        <v>88345.209999999948</v>
      </c>
      <c r="BE45" s="293">
        <f t="shared" si="44"/>
        <v>81484.629999999946</v>
      </c>
      <c r="BF45" s="293">
        <f t="shared" si="44"/>
        <v>74593.749999999942</v>
      </c>
      <c r="BG45" s="293">
        <f t="shared" si="44"/>
        <v>67672.439999999944</v>
      </c>
      <c r="BH45" s="293">
        <f t="shared" si="44"/>
        <v>60720.569999999942</v>
      </c>
      <c r="BI45" s="293">
        <f t="shared" si="44"/>
        <v>53737.999999999942</v>
      </c>
      <c r="BJ45" s="293">
        <f t="shared" si="44"/>
        <v>46724.59999999994</v>
      </c>
      <c r="BK45" s="293">
        <f t="shared" si="44"/>
        <v>39680.229999999938</v>
      </c>
      <c r="BL45" s="293">
        <f t="shared" si="44"/>
        <v>32604.749999999938</v>
      </c>
      <c r="BM45" s="293">
        <f t="shared" si="44"/>
        <v>25498.029999999937</v>
      </c>
      <c r="BN45" s="293">
        <f t="shared" si="44"/>
        <v>18359.929999999935</v>
      </c>
      <c r="BO45" s="293">
        <f t="shared" si="44"/>
        <v>11190.309999999936</v>
      </c>
      <c r="BP45" s="293">
        <f t="shared" si="44"/>
        <v>3988.9999999999354</v>
      </c>
      <c r="BQ45" s="293">
        <f t="shared" si="44"/>
        <v>-6.4574123825877905E-11</v>
      </c>
      <c r="BR45" s="294"/>
      <c r="BS45" s="293"/>
      <c r="BT45" s="293"/>
      <c r="BU45" s="293"/>
      <c r="BV45" s="293"/>
      <c r="BW45" s="295"/>
    </row>
    <row r="46" spans="1:75">
      <c r="A46" s="288"/>
      <c r="B46" s="289">
        <v>268719.78999999998</v>
      </c>
      <c r="C46" s="290"/>
      <c r="D46" s="290"/>
      <c r="E46" s="290"/>
      <c r="F46" s="290"/>
      <c r="G46" s="291"/>
      <c r="H46" s="292" t="s">
        <v>439</v>
      </c>
      <c r="I46" s="293">
        <v>19945</v>
      </c>
      <c r="J46" s="293">
        <v>7250.69</v>
      </c>
      <c r="K46" s="293">
        <v>7250.69</v>
      </c>
      <c r="L46" s="293">
        <v>7250.69</v>
      </c>
      <c r="M46" s="293">
        <v>7250.69</v>
      </c>
      <c r="N46" s="293">
        <v>7250.69</v>
      </c>
      <c r="O46" s="293">
        <v>7250.69</v>
      </c>
      <c r="P46" s="293">
        <v>7250.69</v>
      </c>
      <c r="Q46" s="293">
        <v>7250.69</v>
      </c>
      <c r="R46" s="293">
        <v>7250.69</v>
      </c>
      <c r="S46" s="293">
        <v>7250.69</v>
      </c>
      <c r="T46" s="293">
        <v>7250.69</v>
      </c>
      <c r="U46" s="293">
        <v>7250.69</v>
      </c>
      <c r="V46" s="293">
        <v>7250.69</v>
      </c>
      <c r="W46" s="293">
        <v>7250.69</v>
      </c>
      <c r="X46" s="293">
        <v>7250.69</v>
      </c>
      <c r="Y46" s="293">
        <v>7250.69</v>
      </c>
      <c r="Z46" s="293">
        <v>7250.69</v>
      </c>
      <c r="AA46" s="293">
        <v>7250.69</v>
      </c>
      <c r="AB46" s="293">
        <v>7250.69</v>
      </c>
      <c r="AC46" s="293">
        <v>7250.69</v>
      </c>
      <c r="AD46" s="293">
        <v>7250.69</v>
      </c>
      <c r="AE46" s="293">
        <v>7250.69</v>
      </c>
      <c r="AF46" s="293">
        <v>7250.69</v>
      </c>
      <c r="AG46" s="293">
        <v>7250.69</v>
      </c>
      <c r="AH46" s="293">
        <v>7250.69</v>
      </c>
      <c r="AI46" s="293">
        <v>7250.69</v>
      </c>
      <c r="AJ46" s="293">
        <v>7250.69</v>
      </c>
      <c r="AK46" s="293">
        <v>7250.69</v>
      </c>
      <c r="AL46" s="293">
        <v>7250.69</v>
      </c>
      <c r="AM46" s="293">
        <v>7250.69</v>
      </c>
      <c r="AN46" s="293">
        <v>7250.69</v>
      </c>
      <c r="AO46" s="293">
        <v>7250.69</v>
      </c>
      <c r="AP46" s="293">
        <v>7250.69</v>
      </c>
      <c r="AQ46" s="293">
        <v>7250.69</v>
      </c>
      <c r="AR46" s="293">
        <v>7250.69</v>
      </c>
      <c r="AS46" s="293">
        <v>7250.69</v>
      </c>
      <c r="AT46" s="293">
        <v>7250.69</v>
      </c>
      <c r="AU46" s="293">
        <v>7250.69</v>
      </c>
      <c r="AV46" s="293">
        <v>7250.69</v>
      </c>
      <c r="AW46" s="293">
        <v>7250.69</v>
      </c>
      <c r="AX46" s="293">
        <v>7250.69</v>
      </c>
      <c r="AY46" s="293">
        <v>7250.69</v>
      </c>
      <c r="AZ46" s="293">
        <v>7250.69</v>
      </c>
      <c r="BA46" s="293">
        <v>7250.69</v>
      </c>
      <c r="BB46" s="293">
        <v>7250.69</v>
      </c>
      <c r="BC46" s="293">
        <v>7250.69</v>
      </c>
      <c r="BD46" s="293">
        <v>7250.69</v>
      </c>
      <c r="BE46" s="293">
        <v>7250.69</v>
      </c>
      <c r="BF46" s="293">
        <v>7250.69</v>
      </c>
      <c r="BG46" s="293">
        <v>7250.69</v>
      </c>
      <c r="BH46" s="293">
        <v>7250.69</v>
      </c>
      <c r="BI46" s="293">
        <v>7250.69</v>
      </c>
      <c r="BJ46" s="293">
        <v>7250.69</v>
      </c>
      <c r="BK46" s="293">
        <v>7250.69</v>
      </c>
      <c r="BL46" s="293">
        <v>7250.69</v>
      </c>
      <c r="BM46" s="293">
        <v>7250.69</v>
      </c>
      <c r="BN46" s="293">
        <v>7250.69</v>
      </c>
      <c r="BO46" s="293">
        <v>7250.69</v>
      </c>
      <c r="BP46" s="293">
        <v>7250.69</v>
      </c>
      <c r="BQ46" s="293"/>
      <c r="BR46" s="294"/>
      <c r="BS46" s="293"/>
      <c r="BT46" s="293"/>
      <c r="BU46" s="293"/>
      <c r="BV46" s="293"/>
      <c r="BW46" s="295"/>
    </row>
    <row r="47" spans="1:75">
      <c r="A47" s="288"/>
      <c r="B47" s="289"/>
      <c r="C47" s="290"/>
      <c r="D47" s="290"/>
      <c r="E47" s="290"/>
      <c r="F47" s="290"/>
      <c r="G47" s="291"/>
      <c r="H47" s="292" t="s">
        <v>440</v>
      </c>
      <c r="I47" s="293">
        <f>I46-I44</f>
        <v>0</v>
      </c>
      <c r="J47" s="293">
        <f t="shared" ref="J47:BP47" si="45">J46-J44</f>
        <v>1673.3599999999997</v>
      </c>
      <c r="K47" s="293">
        <f t="shared" si="45"/>
        <v>1648.7299999999996</v>
      </c>
      <c r="L47" s="293">
        <f t="shared" si="45"/>
        <v>1623.9899999999998</v>
      </c>
      <c r="M47" s="293">
        <f t="shared" si="45"/>
        <v>1599.1499999999996</v>
      </c>
      <c r="N47" s="293">
        <f t="shared" si="45"/>
        <v>1574.1899999999996</v>
      </c>
      <c r="O47" s="293">
        <f t="shared" si="45"/>
        <v>1549.1299999999992</v>
      </c>
      <c r="P47" s="293">
        <f t="shared" si="45"/>
        <v>1523.9499999999998</v>
      </c>
      <c r="Q47" s="293">
        <f t="shared" si="45"/>
        <v>1498.6599999999999</v>
      </c>
      <c r="R47" s="293">
        <f t="shared" si="45"/>
        <v>1473.2599999999993</v>
      </c>
      <c r="S47" s="293">
        <f t="shared" si="45"/>
        <v>1447.75</v>
      </c>
      <c r="T47" s="293">
        <f t="shared" si="45"/>
        <v>1422.1299999999992</v>
      </c>
      <c r="U47" s="293">
        <f t="shared" si="45"/>
        <v>1396.3899999999994</v>
      </c>
      <c r="V47" s="293">
        <f t="shared" si="45"/>
        <v>1370.54</v>
      </c>
      <c r="W47" s="293">
        <f t="shared" si="45"/>
        <v>1344.5699999999997</v>
      </c>
      <c r="X47" s="293">
        <f t="shared" si="45"/>
        <v>1318.4899999999998</v>
      </c>
      <c r="Y47" s="293">
        <f t="shared" si="45"/>
        <v>1292.2999999999993</v>
      </c>
      <c r="Z47" s="293">
        <f t="shared" si="45"/>
        <v>1265.9899999999998</v>
      </c>
      <c r="AA47" s="293">
        <f t="shared" si="45"/>
        <v>1239.5599999999995</v>
      </c>
      <c r="AB47" s="293">
        <f t="shared" si="45"/>
        <v>1213.0199999999995</v>
      </c>
      <c r="AC47" s="293">
        <f t="shared" si="45"/>
        <v>1186.3599999999997</v>
      </c>
      <c r="AD47" s="293">
        <f t="shared" si="45"/>
        <v>1159.58</v>
      </c>
      <c r="AE47" s="293">
        <f t="shared" si="45"/>
        <v>1132.6799999999994</v>
      </c>
      <c r="AF47" s="293">
        <f t="shared" si="45"/>
        <v>1105.6699999999992</v>
      </c>
      <c r="AG47" s="293">
        <f t="shared" si="45"/>
        <v>1078.5299999999997</v>
      </c>
      <c r="AH47" s="293">
        <f t="shared" si="45"/>
        <v>1051.2799999999997</v>
      </c>
      <c r="AI47" s="293">
        <f t="shared" si="45"/>
        <v>1023.8999999999996</v>
      </c>
      <c r="AJ47" s="293">
        <f t="shared" si="45"/>
        <v>996.40999999999985</v>
      </c>
      <c r="AK47" s="293">
        <f t="shared" si="45"/>
        <v>968.79</v>
      </c>
      <c r="AL47" s="293">
        <f t="shared" si="45"/>
        <v>941.04999999999927</v>
      </c>
      <c r="AM47" s="293">
        <f t="shared" si="45"/>
        <v>913.1899999999996</v>
      </c>
      <c r="AN47" s="293">
        <f t="shared" si="45"/>
        <v>885.19999999999982</v>
      </c>
      <c r="AO47" s="293">
        <f t="shared" si="45"/>
        <v>857.09999999999945</v>
      </c>
      <c r="AP47" s="293">
        <f t="shared" si="45"/>
        <v>828.85999999999967</v>
      </c>
      <c r="AQ47" s="293">
        <f t="shared" si="45"/>
        <v>800.50999999999931</v>
      </c>
      <c r="AR47" s="293">
        <f t="shared" si="45"/>
        <v>772.01999999999953</v>
      </c>
      <c r="AS47" s="293">
        <f t="shared" si="45"/>
        <v>743.41999999999916</v>
      </c>
      <c r="AT47" s="293">
        <f t="shared" si="45"/>
        <v>714.67999999999938</v>
      </c>
      <c r="AU47" s="293">
        <f t="shared" si="45"/>
        <v>685.81999999999971</v>
      </c>
      <c r="AV47" s="293">
        <f t="shared" si="45"/>
        <v>656.82999999999993</v>
      </c>
      <c r="AW47" s="293">
        <f t="shared" si="45"/>
        <v>627.71999999999935</v>
      </c>
      <c r="AX47" s="293">
        <f t="shared" si="45"/>
        <v>598.46999999999935</v>
      </c>
      <c r="AY47" s="293">
        <f t="shared" si="45"/>
        <v>569.09999999999945</v>
      </c>
      <c r="AZ47" s="293">
        <f t="shared" si="45"/>
        <v>539.58999999999924</v>
      </c>
      <c r="BA47" s="293">
        <f t="shared" si="45"/>
        <v>509.96000000000004</v>
      </c>
      <c r="BB47" s="293">
        <f t="shared" si="45"/>
        <v>480.1899999999996</v>
      </c>
      <c r="BC47" s="293">
        <f t="shared" si="45"/>
        <v>450.29999999999927</v>
      </c>
      <c r="BD47" s="293">
        <f t="shared" si="45"/>
        <v>420.26999999999953</v>
      </c>
      <c r="BE47" s="293">
        <f t="shared" si="45"/>
        <v>390.10999999999967</v>
      </c>
      <c r="BF47" s="293">
        <f t="shared" si="45"/>
        <v>359.80999999999949</v>
      </c>
      <c r="BG47" s="293">
        <f t="shared" si="45"/>
        <v>329.3799999999992</v>
      </c>
      <c r="BH47" s="293">
        <f t="shared" si="45"/>
        <v>298.81999999999971</v>
      </c>
      <c r="BI47" s="293">
        <f t="shared" si="45"/>
        <v>268.11999999999989</v>
      </c>
      <c r="BJ47" s="293">
        <f t="shared" si="45"/>
        <v>237.28999999999996</v>
      </c>
      <c r="BK47" s="293">
        <f t="shared" si="45"/>
        <v>206.31999999999971</v>
      </c>
      <c r="BL47" s="293">
        <f t="shared" si="45"/>
        <v>175.21000000000004</v>
      </c>
      <c r="BM47" s="293">
        <f t="shared" si="45"/>
        <v>143.96999999999935</v>
      </c>
      <c r="BN47" s="293">
        <f t="shared" si="45"/>
        <v>112.58999999999924</v>
      </c>
      <c r="BO47" s="293">
        <f t="shared" si="45"/>
        <v>81.069999999999709</v>
      </c>
      <c r="BP47" s="293">
        <f t="shared" si="45"/>
        <v>49.3799999999992</v>
      </c>
      <c r="BQ47" s="293"/>
      <c r="BR47" s="294"/>
      <c r="BS47" s="293"/>
      <c r="BT47" s="293"/>
      <c r="BU47" s="293"/>
      <c r="BV47" s="293"/>
      <c r="BW47" s="295"/>
    </row>
    <row r="48" spans="1:75">
      <c r="A48" s="288"/>
      <c r="B48" s="289"/>
      <c r="C48" s="290"/>
      <c r="D48" s="290"/>
      <c r="E48" s="290"/>
      <c r="F48" s="290"/>
      <c r="G48" s="291"/>
      <c r="H48" s="292" t="s">
        <v>441</v>
      </c>
      <c r="I48" s="293">
        <f>I46-I47</f>
        <v>19945</v>
      </c>
      <c r="J48" s="293">
        <f t="shared" ref="J48:BP48" si="46">J46-J47</f>
        <v>5577.33</v>
      </c>
      <c r="K48" s="293">
        <f t="shared" si="46"/>
        <v>5601.96</v>
      </c>
      <c r="L48" s="293">
        <f t="shared" si="46"/>
        <v>5626.7</v>
      </c>
      <c r="M48" s="293">
        <f t="shared" si="46"/>
        <v>5651.54</v>
      </c>
      <c r="N48" s="293">
        <f t="shared" si="46"/>
        <v>5676.5</v>
      </c>
      <c r="O48" s="293">
        <f t="shared" si="46"/>
        <v>5701.56</v>
      </c>
      <c r="P48" s="293">
        <f t="shared" si="46"/>
        <v>5726.74</v>
      </c>
      <c r="Q48" s="293">
        <f t="shared" si="46"/>
        <v>5752.03</v>
      </c>
      <c r="R48" s="293">
        <f t="shared" si="46"/>
        <v>5777.43</v>
      </c>
      <c r="S48" s="293">
        <f t="shared" si="46"/>
        <v>5802.94</v>
      </c>
      <c r="T48" s="293">
        <f t="shared" si="46"/>
        <v>5828.56</v>
      </c>
      <c r="U48" s="293">
        <f t="shared" si="46"/>
        <v>5854.3</v>
      </c>
      <c r="V48" s="293">
        <f t="shared" si="46"/>
        <v>5880.15</v>
      </c>
      <c r="W48" s="293">
        <f t="shared" si="46"/>
        <v>5906.12</v>
      </c>
      <c r="X48" s="293">
        <f t="shared" si="46"/>
        <v>5932.2</v>
      </c>
      <c r="Y48" s="293">
        <f t="shared" si="46"/>
        <v>5958.39</v>
      </c>
      <c r="Z48" s="293">
        <f t="shared" si="46"/>
        <v>5984.7</v>
      </c>
      <c r="AA48" s="293">
        <f t="shared" si="46"/>
        <v>6011.13</v>
      </c>
      <c r="AB48" s="293">
        <f t="shared" si="46"/>
        <v>6037.67</v>
      </c>
      <c r="AC48" s="293">
        <f t="shared" si="46"/>
        <v>6064.33</v>
      </c>
      <c r="AD48" s="293">
        <f t="shared" si="46"/>
        <v>6091.11</v>
      </c>
      <c r="AE48" s="293">
        <f t="shared" si="46"/>
        <v>6118.01</v>
      </c>
      <c r="AF48" s="293">
        <f t="shared" si="46"/>
        <v>6145.02</v>
      </c>
      <c r="AG48" s="293">
        <f t="shared" si="46"/>
        <v>6172.16</v>
      </c>
      <c r="AH48" s="293">
        <f t="shared" si="46"/>
        <v>6199.41</v>
      </c>
      <c r="AI48" s="293">
        <f t="shared" si="46"/>
        <v>6226.79</v>
      </c>
      <c r="AJ48" s="293">
        <f t="shared" si="46"/>
        <v>6254.28</v>
      </c>
      <c r="AK48" s="293">
        <f t="shared" si="46"/>
        <v>6281.9</v>
      </c>
      <c r="AL48" s="293">
        <f t="shared" si="46"/>
        <v>6309.64</v>
      </c>
      <c r="AM48" s="293">
        <f t="shared" si="46"/>
        <v>6337.5</v>
      </c>
      <c r="AN48" s="293">
        <f t="shared" si="46"/>
        <v>6365.49</v>
      </c>
      <c r="AO48" s="293">
        <f t="shared" si="46"/>
        <v>6393.59</v>
      </c>
      <c r="AP48" s="293">
        <f t="shared" si="46"/>
        <v>6421.83</v>
      </c>
      <c r="AQ48" s="293">
        <f t="shared" si="46"/>
        <v>6450.18</v>
      </c>
      <c r="AR48" s="293">
        <f t="shared" si="46"/>
        <v>6478.67</v>
      </c>
      <c r="AS48" s="293">
        <f t="shared" si="46"/>
        <v>6507.27</v>
      </c>
      <c r="AT48" s="293">
        <f t="shared" si="46"/>
        <v>6536.01</v>
      </c>
      <c r="AU48" s="293">
        <f t="shared" si="46"/>
        <v>6564.87</v>
      </c>
      <c r="AV48" s="293">
        <f t="shared" si="46"/>
        <v>6593.86</v>
      </c>
      <c r="AW48" s="293">
        <f t="shared" si="46"/>
        <v>6622.97</v>
      </c>
      <c r="AX48" s="293">
        <f t="shared" si="46"/>
        <v>6652.22</v>
      </c>
      <c r="AY48" s="293">
        <f t="shared" si="46"/>
        <v>6681.59</v>
      </c>
      <c r="AZ48" s="293">
        <f t="shared" si="46"/>
        <v>6711.1</v>
      </c>
      <c r="BA48" s="293">
        <f t="shared" si="46"/>
        <v>6740.73</v>
      </c>
      <c r="BB48" s="293">
        <f t="shared" si="46"/>
        <v>6770.5</v>
      </c>
      <c r="BC48" s="293">
        <f t="shared" si="46"/>
        <v>6800.39</v>
      </c>
      <c r="BD48" s="293">
        <f t="shared" si="46"/>
        <v>6830.42</v>
      </c>
      <c r="BE48" s="293">
        <f t="shared" si="46"/>
        <v>6860.58</v>
      </c>
      <c r="BF48" s="293">
        <f t="shared" si="46"/>
        <v>6890.88</v>
      </c>
      <c r="BG48" s="293">
        <f t="shared" si="46"/>
        <v>6921.31</v>
      </c>
      <c r="BH48" s="293">
        <f t="shared" si="46"/>
        <v>6951.87</v>
      </c>
      <c r="BI48" s="293">
        <f t="shared" si="46"/>
        <v>6982.57</v>
      </c>
      <c r="BJ48" s="293">
        <f t="shared" si="46"/>
        <v>7013.4</v>
      </c>
      <c r="BK48" s="293">
        <f t="shared" si="46"/>
        <v>7044.37</v>
      </c>
      <c r="BL48" s="293">
        <f t="shared" si="46"/>
        <v>7075.48</v>
      </c>
      <c r="BM48" s="293">
        <f t="shared" si="46"/>
        <v>7106.72</v>
      </c>
      <c r="BN48" s="293">
        <f t="shared" si="46"/>
        <v>7138.1</v>
      </c>
      <c r="BO48" s="293">
        <f t="shared" si="46"/>
        <v>7169.62</v>
      </c>
      <c r="BP48" s="293">
        <f t="shared" si="46"/>
        <v>7201.31</v>
      </c>
      <c r="BQ48" s="293"/>
      <c r="BR48" s="294"/>
      <c r="BS48" s="293"/>
      <c r="BT48" s="293"/>
      <c r="BU48" s="293"/>
      <c r="BV48" s="293"/>
      <c r="BW48" s="295"/>
    </row>
    <row r="49" spans="1:75">
      <c r="A49" s="288"/>
      <c r="B49" s="289"/>
      <c r="C49" s="290"/>
      <c r="D49" s="290"/>
      <c r="E49" s="290"/>
      <c r="F49" s="290"/>
      <c r="G49" s="291"/>
      <c r="H49" s="305" t="s">
        <v>412</v>
      </c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3"/>
      <c r="AP49" s="293"/>
      <c r="AQ49" s="293"/>
      <c r="AR49" s="293"/>
      <c r="AS49" s="293"/>
      <c r="AT49" s="293"/>
      <c r="AU49" s="293"/>
      <c r="AV49" s="293"/>
      <c r="AW49" s="293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  <c r="BS49" s="294"/>
      <c r="BT49" s="294"/>
      <c r="BU49" s="294"/>
      <c r="BV49" s="294"/>
      <c r="BW49" s="295"/>
    </row>
    <row r="50" spans="1:75" ht="13.5" thickBot="1">
      <c r="A50" s="296"/>
      <c r="B50" s="297"/>
      <c r="C50" s="298"/>
      <c r="D50" s="298"/>
      <c r="E50" s="298"/>
      <c r="F50" s="298"/>
      <c r="G50" s="299"/>
      <c r="H50" s="306" t="s">
        <v>442</v>
      </c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301"/>
      <c r="AL50" s="301"/>
      <c r="AM50" s="301"/>
      <c r="AN50" s="301"/>
      <c r="AO50" s="301">
        <f t="shared" ref="AO50:AW50" si="47">AO49-AO45</f>
        <v>-187707.81999999992</v>
      </c>
      <c r="AP50" s="301">
        <f t="shared" si="47"/>
        <v>-181285.98999999993</v>
      </c>
      <c r="AQ50" s="301">
        <f t="shared" si="47"/>
        <v>-174835.80999999994</v>
      </c>
      <c r="AR50" s="301">
        <f t="shared" si="47"/>
        <v>-168357.13999999993</v>
      </c>
      <c r="AS50" s="301">
        <f t="shared" si="47"/>
        <v>-161849.86999999994</v>
      </c>
      <c r="AT50" s="301">
        <f t="shared" si="47"/>
        <v>-155313.85999999993</v>
      </c>
      <c r="AU50" s="301">
        <f t="shared" si="47"/>
        <v>-148748.98999999993</v>
      </c>
      <c r="AV50" s="301">
        <f t="shared" si="47"/>
        <v>-142155.12999999995</v>
      </c>
      <c r="AW50" s="301">
        <f t="shared" si="47"/>
        <v>-135532.15999999995</v>
      </c>
      <c r="AX50" s="301">
        <f>AX49-AX45</f>
        <v>-128879.93999999994</v>
      </c>
      <c r="AY50" s="301">
        <f t="shared" ref="AY50:BQ50" si="48">AY49-AY45</f>
        <v>-122198.34999999995</v>
      </c>
      <c r="AZ50" s="301">
        <f t="shared" si="48"/>
        <v>-115487.24999999994</v>
      </c>
      <c r="BA50" s="301">
        <f t="shared" si="48"/>
        <v>-108746.51999999995</v>
      </c>
      <c r="BB50" s="301">
        <f t="shared" si="48"/>
        <v>-101976.01999999995</v>
      </c>
      <c r="BC50" s="301">
        <f t="shared" si="48"/>
        <v>-95175.629999999946</v>
      </c>
      <c r="BD50" s="301">
        <f t="shared" si="48"/>
        <v>-88345.209999999948</v>
      </c>
      <c r="BE50" s="301">
        <f t="shared" si="48"/>
        <v>-81484.629999999946</v>
      </c>
      <c r="BF50" s="301">
        <f t="shared" si="48"/>
        <v>-74593.749999999942</v>
      </c>
      <c r="BG50" s="301">
        <f t="shared" si="48"/>
        <v>-67672.439999999944</v>
      </c>
      <c r="BH50" s="301">
        <f t="shared" si="48"/>
        <v>-60720.569999999942</v>
      </c>
      <c r="BI50" s="301">
        <f t="shared" si="48"/>
        <v>-53737.999999999942</v>
      </c>
      <c r="BJ50" s="301">
        <f t="shared" si="48"/>
        <v>-46724.59999999994</v>
      </c>
      <c r="BK50" s="301">
        <f t="shared" si="48"/>
        <v>-39680.229999999938</v>
      </c>
      <c r="BL50" s="301">
        <f t="shared" si="48"/>
        <v>-32604.749999999938</v>
      </c>
      <c r="BM50" s="301">
        <f t="shared" si="48"/>
        <v>-25498.029999999937</v>
      </c>
      <c r="BN50" s="301">
        <f t="shared" si="48"/>
        <v>-18359.929999999935</v>
      </c>
      <c r="BO50" s="301">
        <f t="shared" si="48"/>
        <v>-11190.309999999936</v>
      </c>
      <c r="BP50" s="301">
        <f t="shared" si="48"/>
        <v>-3988.9999999999354</v>
      </c>
      <c r="BQ50" s="301">
        <f t="shared" si="48"/>
        <v>6.4574123825877905E-11</v>
      </c>
      <c r="BR50" s="302"/>
      <c r="BS50" s="301"/>
      <c r="BT50" s="301"/>
      <c r="BU50" s="301"/>
      <c r="BV50" s="301"/>
      <c r="BW50" s="303"/>
    </row>
    <row r="51" spans="1:75" s="315" customFormat="1" ht="25.5">
      <c r="A51" s="307" t="s">
        <v>298</v>
      </c>
      <c r="B51" s="308" t="s">
        <v>461</v>
      </c>
      <c r="C51" s="309"/>
      <c r="D51" s="310" t="s">
        <v>462</v>
      </c>
      <c r="E51" s="311" t="s">
        <v>463</v>
      </c>
      <c r="F51" s="310">
        <v>166473</v>
      </c>
      <c r="G51" s="312">
        <v>737294</v>
      </c>
      <c r="H51" s="313" t="s">
        <v>437</v>
      </c>
      <c r="I51" s="314">
        <v>147458.79999999999</v>
      </c>
      <c r="J51" s="314">
        <v>6671.79</v>
      </c>
      <c r="K51" s="314">
        <v>6713.88</v>
      </c>
      <c r="L51" s="314">
        <v>6756.23</v>
      </c>
      <c r="M51" s="314">
        <v>6798.86</v>
      </c>
      <c r="N51" s="314">
        <v>6841.75</v>
      </c>
      <c r="O51" s="314">
        <v>6884.91</v>
      </c>
      <c r="P51" s="314">
        <v>6928.35</v>
      </c>
      <c r="Q51" s="314">
        <v>6972.05</v>
      </c>
      <c r="R51" s="314">
        <v>7016.04</v>
      </c>
      <c r="S51" s="314">
        <v>7060.3</v>
      </c>
      <c r="T51" s="314">
        <v>7104.84</v>
      </c>
      <c r="U51" s="314">
        <v>7149.66</v>
      </c>
      <c r="V51" s="314">
        <v>7194.76</v>
      </c>
      <c r="W51" s="314">
        <v>7240.15</v>
      </c>
      <c r="X51" s="314">
        <v>7285.83</v>
      </c>
      <c r="Y51" s="314">
        <v>7331.79</v>
      </c>
      <c r="Z51" s="314">
        <v>7378.05</v>
      </c>
      <c r="AA51" s="314">
        <v>7424.6</v>
      </c>
      <c r="AB51" s="314">
        <v>7471.43</v>
      </c>
      <c r="AC51" s="314">
        <v>7518.57</v>
      </c>
      <c r="AD51" s="314">
        <v>7565.99</v>
      </c>
      <c r="AE51" s="314">
        <v>7613.73</v>
      </c>
      <c r="AF51" s="314">
        <v>7661.76</v>
      </c>
      <c r="AG51" s="314">
        <v>7710.1</v>
      </c>
      <c r="AH51" s="314">
        <v>7758.74</v>
      </c>
      <c r="AI51" s="314">
        <v>7807.69</v>
      </c>
      <c r="AJ51" s="314">
        <v>7856.94</v>
      </c>
      <c r="AK51" s="314">
        <v>7906.51</v>
      </c>
      <c r="AL51" s="314">
        <v>7956.38</v>
      </c>
      <c r="AM51" s="314">
        <v>8006.58</v>
      </c>
      <c r="AN51" s="314">
        <v>8057.09</v>
      </c>
      <c r="AO51" s="314">
        <v>8107.92</v>
      </c>
      <c r="AP51" s="314">
        <v>8159.06</v>
      </c>
      <c r="AQ51" s="314">
        <v>8210.5400000000009</v>
      </c>
      <c r="AR51" s="314">
        <v>8262.34</v>
      </c>
      <c r="AS51" s="314">
        <v>8314.4599999999991</v>
      </c>
      <c r="AT51" s="314">
        <v>8366.91</v>
      </c>
      <c r="AU51" s="314">
        <v>8419.7000000000007</v>
      </c>
      <c r="AV51" s="314">
        <v>8472.82</v>
      </c>
      <c r="AW51" s="314">
        <v>8526.27</v>
      </c>
      <c r="AX51" s="314">
        <v>8580.0499999999993</v>
      </c>
      <c r="AY51" s="314">
        <v>8634.18</v>
      </c>
      <c r="AZ51" s="314">
        <v>8688.65</v>
      </c>
      <c r="BA51" s="314">
        <v>8743.4699999999993</v>
      </c>
      <c r="BB51" s="314">
        <v>8798.6200000000008</v>
      </c>
      <c r="BC51" s="314">
        <v>8854.1299999999992</v>
      </c>
      <c r="BD51" s="314">
        <v>8909.99</v>
      </c>
      <c r="BE51" s="314">
        <v>8966.2000000000007</v>
      </c>
      <c r="BF51" s="314">
        <v>9022.76</v>
      </c>
      <c r="BG51" s="314">
        <v>9079.69</v>
      </c>
      <c r="BH51" s="314">
        <v>9136.9599999999991</v>
      </c>
      <c r="BI51" s="314">
        <v>9194.6</v>
      </c>
      <c r="BJ51" s="314">
        <v>9252.61</v>
      </c>
      <c r="BK51" s="314">
        <v>9310.98</v>
      </c>
      <c r="BL51" s="314">
        <v>9369.7199999999993</v>
      </c>
      <c r="BM51" s="314">
        <v>9428.84</v>
      </c>
      <c r="BN51" s="314">
        <v>9488.31</v>
      </c>
      <c r="BO51" s="314">
        <v>9548.17</v>
      </c>
      <c r="BP51" s="314">
        <v>9608.41</v>
      </c>
      <c r="BQ51" s="314">
        <v>9669.09</v>
      </c>
      <c r="BR51" s="284">
        <v>105064.4</v>
      </c>
      <c r="BS51" s="284"/>
      <c r="BT51" s="284"/>
      <c r="BU51" s="284"/>
      <c r="BV51" s="284"/>
      <c r="BW51" s="286"/>
    </row>
    <row r="52" spans="1:75">
      <c r="A52" s="288"/>
      <c r="B52" s="289"/>
      <c r="C52" s="316"/>
      <c r="D52" s="290"/>
      <c r="E52" s="290"/>
      <c r="F52" s="317" t="s">
        <v>405</v>
      </c>
      <c r="G52" s="291"/>
      <c r="H52" s="305" t="s">
        <v>438</v>
      </c>
      <c r="I52" s="293">
        <f>G51-I51</f>
        <v>589835.19999999995</v>
      </c>
      <c r="J52" s="293">
        <f t="shared" ref="J52:K52" si="49">I52-J51</f>
        <v>583163.40999999992</v>
      </c>
      <c r="K52" s="293">
        <f t="shared" si="49"/>
        <v>576449.52999999991</v>
      </c>
      <c r="L52" s="293">
        <f>K52-L51</f>
        <v>569693.29999999993</v>
      </c>
      <c r="M52" s="293">
        <f t="shared" ref="M52:P52" si="50">L52-M51</f>
        <v>562894.43999999994</v>
      </c>
      <c r="N52" s="293">
        <f t="shared" si="50"/>
        <v>556052.68999999994</v>
      </c>
      <c r="O52" s="293">
        <f t="shared" si="50"/>
        <v>549167.77999999991</v>
      </c>
      <c r="P52" s="293">
        <f t="shared" si="50"/>
        <v>542239.42999999993</v>
      </c>
      <c r="Q52" s="293">
        <f>P52-Q51</f>
        <v>535267.37999999989</v>
      </c>
      <c r="R52" s="293">
        <f t="shared" ref="R52:V52" si="51">Q52-R51</f>
        <v>528251.33999999985</v>
      </c>
      <c r="S52" s="293">
        <f t="shared" si="51"/>
        <v>521191.03999999986</v>
      </c>
      <c r="T52" s="293">
        <f t="shared" si="51"/>
        <v>514086.19999999984</v>
      </c>
      <c r="U52" s="293">
        <f t="shared" si="51"/>
        <v>506936.53999999986</v>
      </c>
      <c r="V52" s="293">
        <f t="shared" si="51"/>
        <v>499741.77999999985</v>
      </c>
      <c r="W52" s="293">
        <f>V52-W51</f>
        <v>492501.62999999983</v>
      </c>
      <c r="X52" s="293">
        <f t="shared" ref="X52:AL52" si="52">W52-X51</f>
        <v>485215.79999999981</v>
      </c>
      <c r="Y52" s="293">
        <f t="shared" si="52"/>
        <v>477884.00999999983</v>
      </c>
      <c r="Z52" s="293">
        <f t="shared" si="52"/>
        <v>470505.95999999985</v>
      </c>
      <c r="AA52" s="293">
        <f t="shared" si="52"/>
        <v>463081.35999999987</v>
      </c>
      <c r="AB52" s="293">
        <f t="shared" si="52"/>
        <v>455609.92999999988</v>
      </c>
      <c r="AC52" s="293">
        <f t="shared" si="52"/>
        <v>448091.35999999987</v>
      </c>
      <c r="AD52" s="293">
        <f t="shared" si="52"/>
        <v>440525.36999999988</v>
      </c>
      <c r="AE52" s="293">
        <f t="shared" si="52"/>
        <v>432911.6399999999</v>
      </c>
      <c r="AF52" s="293">
        <f t="shared" si="52"/>
        <v>425249.87999999989</v>
      </c>
      <c r="AG52" s="293">
        <f t="shared" si="52"/>
        <v>417539.77999999991</v>
      </c>
      <c r="AH52" s="293">
        <f t="shared" si="52"/>
        <v>409781.03999999992</v>
      </c>
      <c r="AI52" s="293">
        <f t="shared" si="52"/>
        <v>401973.34999999992</v>
      </c>
      <c r="AJ52" s="293">
        <f t="shared" si="52"/>
        <v>394116.40999999992</v>
      </c>
      <c r="AK52" s="293">
        <f t="shared" si="52"/>
        <v>386209.89999999991</v>
      </c>
      <c r="AL52" s="293">
        <f t="shared" si="52"/>
        <v>378253.5199999999</v>
      </c>
      <c r="AM52" s="293">
        <f>AL52-AM51</f>
        <v>370246.93999999989</v>
      </c>
      <c r="AN52" s="293">
        <f t="shared" ref="AN52:BR52" si="53">AM52-AN51</f>
        <v>362189.84999999986</v>
      </c>
      <c r="AO52" s="293">
        <f t="shared" si="53"/>
        <v>354081.92999999988</v>
      </c>
      <c r="AP52" s="293">
        <f t="shared" si="53"/>
        <v>345922.86999999988</v>
      </c>
      <c r="AQ52" s="293">
        <f t="shared" si="53"/>
        <v>337712.3299999999</v>
      </c>
      <c r="AR52" s="293">
        <f t="shared" si="53"/>
        <v>329449.98999999987</v>
      </c>
      <c r="AS52" s="293">
        <f t="shared" si="53"/>
        <v>321135.52999999985</v>
      </c>
      <c r="AT52" s="293">
        <f t="shared" si="53"/>
        <v>312768.61999999988</v>
      </c>
      <c r="AU52" s="293">
        <f t="shared" si="53"/>
        <v>304348.91999999987</v>
      </c>
      <c r="AV52" s="293">
        <f t="shared" si="53"/>
        <v>295876.09999999986</v>
      </c>
      <c r="AW52" s="293">
        <f t="shared" si="53"/>
        <v>287349.82999999984</v>
      </c>
      <c r="AX52" s="293">
        <f t="shared" si="53"/>
        <v>278769.77999999985</v>
      </c>
      <c r="AY52" s="293">
        <f t="shared" si="53"/>
        <v>270135.59999999986</v>
      </c>
      <c r="AZ52" s="293">
        <f t="shared" si="53"/>
        <v>261446.94999999987</v>
      </c>
      <c r="BA52" s="293">
        <f t="shared" si="53"/>
        <v>252703.47999999986</v>
      </c>
      <c r="BB52" s="293">
        <f t="shared" si="53"/>
        <v>243904.85999999987</v>
      </c>
      <c r="BC52" s="293">
        <f t="shared" si="53"/>
        <v>235050.72999999986</v>
      </c>
      <c r="BD52" s="293">
        <f t="shared" si="53"/>
        <v>226140.73999999987</v>
      </c>
      <c r="BE52" s="293">
        <f t="shared" si="53"/>
        <v>217174.53999999986</v>
      </c>
      <c r="BF52" s="293">
        <f t="shared" si="53"/>
        <v>208151.77999999985</v>
      </c>
      <c r="BG52" s="293">
        <f t="shared" si="53"/>
        <v>199072.08999999985</v>
      </c>
      <c r="BH52" s="293">
        <f t="shared" si="53"/>
        <v>189935.12999999986</v>
      </c>
      <c r="BI52" s="293">
        <f t="shared" si="53"/>
        <v>180740.52999999985</v>
      </c>
      <c r="BJ52" s="293">
        <f t="shared" si="53"/>
        <v>171487.91999999987</v>
      </c>
      <c r="BK52" s="293">
        <f t="shared" si="53"/>
        <v>162176.93999999986</v>
      </c>
      <c r="BL52" s="293">
        <f t="shared" si="53"/>
        <v>152807.21999999986</v>
      </c>
      <c r="BM52" s="293">
        <f t="shared" si="53"/>
        <v>143378.37999999986</v>
      </c>
      <c r="BN52" s="293">
        <f t="shared" si="53"/>
        <v>133890.06999999986</v>
      </c>
      <c r="BO52" s="293">
        <f t="shared" si="53"/>
        <v>124341.89999999986</v>
      </c>
      <c r="BP52" s="293">
        <f t="shared" si="53"/>
        <v>114733.48999999986</v>
      </c>
      <c r="BQ52" s="293">
        <f t="shared" si="53"/>
        <v>105064.39999999986</v>
      </c>
      <c r="BR52" s="293">
        <f t="shared" si="53"/>
        <v>-1.3096723705530167E-10</v>
      </c>
      <c r="BS52" s="293"/>
      <c r="BT52" s="293"/>
      <c r="BU52" s="293"/>
      <c r="BV52" s="293"/>
      <c r="BW52" s="295"/>
    </row>
    <row r="53" spans="1:75">
      <c r="A53" s="288"/>
      <c r="B53" s="289">
        <v>455567.12</v>
      </c>
      <c r="C53" s="316"/>
      <c r="D53" s="290"/>
      <c r="E53" s="290"/>
      <c r="F53" s="317"/>
      <c r="G53" s="291"/>
      <c r="H53" s="292" t="s">
        <v>439</v>
      </c>
      <c r="I53" s="293"/>
      <c r="J53" s="293">
        <v>10836.79</v>
      </c>
      <c r="K53" s="293">
        <v>10836.79</v>
      </c>
      <c r="L53" s="293">
        <v>10836.79</v>
      </c>
      <c r="M53" s="293">
        <v>10836.79</v>
      </c>
      <c r="N53" s="293">
        <v>10836.79</v>
      </c>
      <c r="O53" s="293">
        <v>10836.79</v>
      </c>
      <c r="P53" s="293">
        <v>10836.79</v>
      </c>
      <c r="Q53" s="293">
        <v>10836.79</v>
      </c>
      <c r="R53" s="293">
        <v>10836.79</v>
      </c>
      <c r="S53" s="293">
        <v>10836.79</v>
      </c>
      <c r="T53" s="293">
        <v>10836.79</v>
      </c>
      <c r="U53" s="293">
        <v>10836.79</v>
      </c>
      <c r="V53" s="293">
        <v>10836.79</v>
      </c>
      <c r="W53" s="293">
        <v>10836.79</v>
      </c>
      <c r="X53" s="293">
        <v>10836.79</v>
      </c>
      <c r="Y53" s="293">
        <v>10836.79</v>
      </c>
      <c r="Z53" s="293">
        <v>10836.79</v>
      </c>
      <c r="AA53" s="293">
        <v>10836.79</v>
      </c>
      <c r="AB53" s="293">
        <v>10836.79</v>
      </c>
      <c r="AC53" s="293">
        <v>10836.79</v>
      </c>
      <c r="AD53" s="293">
        <v>10836.79</v>
      </c>
      <c r="AE53" s="293">
        <v>10836.79</v>
      </c>
      <c r="AF53" s="293">
        <v>10836.79</v>
      </c>
      <c r="AG53" s="293">
        <v>10836.79</v>
      </c>
      <c r="AH53" s="293">
        <v>10836.79</v>
      </c>
      <c r="AI53" s="293">
        <v>10836.79</v>
      </c>
      <c r="AJ53" s="293">
        <v>10836.79</v>
      </c>
      <c r="AK53" s="293">
        <v>10836.79</v>
      </c>
      <c r="AL53" s="293">
        <v>10836.79</v>
      </c>
      <c r="AM53" s="293">
        <v>10836.79</v>
      </c>
      <c r="AN53" s="293">
        <v>10836.79</v>
      </c>
      <c r="AO53" s="293">
        <v>10836.79</v>
      </c>
      <c r="AP53" s="293">
        <v>10836.79</v>
      </c>
      <c r="AQ53" s="293">
        <v>10836.79</v>
      </c>
      <c r="AR53" s="293">
        <v>10836.79</v>
      </c>
      <c r="AS53" s="293">
        <v>10836.79</v>
      </c>
      <c r="AT53" s="293">
        <v>10836.79</v>
      </c>
      <c r="AU53" s="293">
        <v>10836.79</v>
      </c>
      <c r="AV53" s="293">
        <v>10836.79</v>
      </c>
      <c r="AW53" s="293">
        <v>10836.79</v>
      </c>
      <c r="AX53" s="293">
        <v>10836.79</v>
      </c>
      <c r="AY53" s="293">
        <v>10836.79</v>
      </c>
      <c r="AZ53" s="293">
        <v>10836.79</v>
      </c>
      <c r="BA53" s="293">
        <v>10836.79</v>
      </c>
      <c r="BB53" s="293">
        <v>10836.79</v>
      </c>
      <c r="BC53" s="293">
        <v>10836.79</v>
      </c>
      <c r="BD53" s="293">
        <v>10836.79</v>
      </c>
      <c r="BE53" s="293">
        <v>10836.79</v>
      </c>
      <c r="BF53" s="293">
        <v>10836.79</v>
      </c>
      <c r="BG53" s="293">
        <v>10836.79</v>
      </c>
      <c r="BH53" s="293">
        <v>10836.79</v>
      </c>
      <c r="BI53" s="293">
        <v>10836.79</v>
      </c>
      <c r="BJ53" s="293">
        <v>10836.79</v>
      </c>
      <c r="BK53" s="293">
        <v>10836.79</v>
      </c>
      <c r="BL53" s="293">
        <v>10836.79</v>
      </c>
      <c r="BM53" s="293">
        <v>10836.79</v>
      </c>
      <c r="BN53" s="293">
        <v>10836.79</v>
      </c>
      <c r="BO53" s="293">
        <v>10836.79</v>
      </c>
      <c r="BP53" s="293">
        <v>10836.79</v>
      </c>
      <c r="BQ53" s="293">
        <v>10836.79</v>
      </c>
      <c r="BR53" s="293"/>
      <c r="BS53" s="293"/>
      <c r="BT53" s="293"/>
      <c r="BU53" s="293"/>
      <c r="BV53" s="293"/>
      <c r="BW53" s="295"/>
    </row>
    <row r="54" spans="1:75">
      <c r="A54" s="288"/>
      <c r="B54" s="289"/>
      <c r="C54" s="316"/>
      <c r="D54" s="290"/>
      <c r="E54" s="290"/>
      <c r="F54" s="317"/>
      <c r="G54" s="291"/>
      <c r="H54" s="292" t="s">
        <v>440</v>
      </c>
      <c r="I54" s="293"/>
      <c r="J54" s="293">
        <f>J53-J51</f>
        <v>4165.0000000000009</v>
      </c>
      <c r="K54" s="293">
        <f t="shared" ref="K54:BQ54" si="54">K53-K51</f>
        <v>4122.9100000000008</v>
      </c>
      <c r="L54" s="293">
        <f t="shared" si="54"/>
        <v>4080.5600000000013</v>
      </c>
      <c r="M54" s="293">
        <f t="shared" si="54"/>
        <v>4037.9300000000012</v>
      </c>
      <c r="N54" s="293">
        <f t="shared" si="54"/>
        <v>3995.0400000000009</v>
      </c>
      <c r="O54" s="293">
        <f t="shared" si="54"/>
        <v>3951.880000000001</v>
      </c>
      <c r="P54" s="293">
        <f t="shared" si="54"/>
        <v>3908.4400000000005</v>
      </c>
      <c r="Q54" s="293">
        <f t="shared" si="54"/>
        <v>3864.7400000000007</v>
      </c>
      <c r="R54" s="293">
        <f t="shared" si="54"/>
        <v>3820.7500000000009</v>
      </c>
      <c r="S54" s="293">
        <f t="shared" si="54"/>
        <v>3776.4900000000007</v>
      </c>
      <c r="T54" s="293">
        <f t="shared" si="54"/>
        <v>3731.9500000000007</v>
      </c>
      <c r="U54" s="293">
        <f t="shared" si="54"/>
        <v>3687.130000000001</v>
      </c>
      <c r="V54" s="293">
        <f t="shared" si="54"/>
        <v>3642.0300000000007</v>
      </c>
      <c r="W54" s="293">
        <f t="shared" si="54"/>
        <v>3596.6400000000012</v>
      </c>
      <c r="X54" s="293">
        <f t="shared" si="54"/>
        <v>3550.9600000000009</v>
      </c>
      <c r="Y54" s="293">
        <f t="shared" si="54"/>
        <v>3505.0000000000009</v>
      </c>
      <c r="Z54" s="293">
        <f t="shared" si="54"/>
        <v>3458.7400000000007</v>
      </c>
      <c r="AA54" s="293">
        <f t="shared" si="54"/>
        <v>3412.1900000000005</v>
      </c>
      <c r="AB54" s="293">
        <f t="shared" si="54"/>
        <v>3365.3600000000006</v>
      </c>
      <c r="AC54" s="293">
        <f t="shared" si="54"/>
        <v>3318.2200000000012</v>
      </c>
      <c r="AD54" s="293">
        <f t="shared" si="54"/>
        <v>3270.8000000000011</v>
      </c>
      <c r="AE54" s="293">
        <f t="shared" si="54"/>
        <v>3223.0600000000013</v>
      </c>
      <c r="AF54" s="293">
        <f t="shared" si="54"/>
        <v>3175.0300000000007</v>
      </c>
      <c r="AG54" s="293">
        <f t="shared" si="54"/>
        <v>3126.6900000000005</v>
      </c>
      <c r="AH54" s="293">
        <f t="shared" si="54"/>
        <v>3078.0500000000011</v>
      </c>
      <c r="AI54" s="293">
        <f t="shared" si="54"/>
        <v>3029.1000000000013</v>
      </c>
      <c r="AJ54" s="293">
        <f t="shared" si="54"/>
        <v>2979.8500000000013</v>
      </c>
      <c r="AK54" s="293">
        <f t="shared" si="54"/>
        <v>2930.2800000000007</v>
      </c>
      <c r="AL54" s="293">
        <f t="shared" si="54"/>
        <v>2880.4100000000008</v>
      </c>
      <c r="AM54" s="293">
        <f t="shared" si="54"/>
        <v>2830.2100000000009</v>
      </c>
      <c r="AN54" s="293">
        <f t="shared" si="54"/>
        <v>2779.7000000000007</v>
      </c>
      <c r="AO54" s="293">
        <f t="shared" si="54"/>
        <v>2728.8700000000008</v>
      </c>
      <c r="AP54" s="293">
        <f t="shared" si="54"/>
        <v>2677.7300000000005</v>
      </c>
      <c r="AQ54" s="293">
        <f t="shared" si="54"/>
        <v>2626.25</v>
      </c>
      <c r="AR54" s="293">
        <f t="shared" si="54"/>
        <v>2574.4500000000007</v>
      </c>
      <c r="AS54" s="293">
        <f t="shared" si="54"/>
        <v>2522.3300000000017</v>
      </c>
      <c r="AT54" s="293">
        <f t="shared" si="54"/>
        <v>2469.880000000001</v>
      </c>
      <c r="AU54" s="293">
        <f t="shared" si="54"/>
        <v>2417.09</v>
      </c>
      <c r="AV54" s="293">
        <f t="shared" si="54"/>
        <v>2363.9700000000012</v>
      </c>
      <c r="AW54" s="293">
        <f t="shared" si="54"/>
        <v>2310.5200000000004</v>
      </c>
      <c r="AX54" s="293">
        <f t="shared" si="54"/>
        <v>2256.7400000000016</v>
      </c>
      <c r="AY54" s="293">
        <f t="shared" si="54"/>
        <v>2202.6100000000006</v>
      </c>
      <c r="AZ54" s="293">
        <f t="shared" si="54"/>
        <v>2148.1400000000012</v>
      </c>
      <c r="BA54" s="293">
        <f t="shared" si="54"/>
        <v>2093.3200000000015</v>
      </c>
      <c r="BB54" s="293">
        <f t="shared" si="54"/>
        <v>2038.17</v>
      </c>
      <c r="BC54" s="293">
        <f t="shared" si="54"/>
        <v>1982.6600000000017</v>
      </c>
      <c r="BD54" s="293">
        <f t="shared" si="54"/>
        <v>1926.8000000000011</v>
      </c>
      <c r="BE54" s="293">
        <f t="shared" si="54"/>
        <v>1870.5900000000001</v>
      </c>
      <c r="BF54" s="293">
        <f t="shared" si="54"/>
        <v>1814.0300000000007</v>
      </c>
      <c r="BG54" s="293">
        <f t="shared" si="54"/>
        <v>1757.1000000000004</v>
      </c>
      <c r="BH54" s="293">
        <f t="shared" si="54"/>
        <v>1699.8300000000017</v>
      </c>
      <c r="BI54" s="293">
        <f t="shared" si="54"/>
        <v>1642.1900000000005</v>
      </c>
      <c r="BJ54" s="293">
        <f t="shared" si="54"/>
        <v>1584.1800000000003</v>
      </c>
      <c r="BK54" s="293">
        <f t="shared" si="54"/>
        <v>1525.8100000000013</v>
      </c>
      <c r="BL54" s="293">
        <f t="shared" si="54"/>
        <v>1467.0700000000015</v>
      </c>
      <c r="BM54" s="293">
        <f t="shared" si="54"/>
        <v>1407.9500000000007</v>
      </c>
      <c r="BN54" s="293">
        <f t="shared" si="54"/>
        <v>1348.4800000000014</v>
      </c>
      <c r="BO54" s="293">
        <f t="shared" si="54"/>
        <v>1288.6200000000008</v>
      </c>
      <c r="BP54" s="293">
        <f t="shared" si="54"/>
        <v>1228.380000000001</v>
      </c>
      <c r="BQ54" s="293">
        <f t="shared" si="54"/>
        <v>1167.7000000000007</v>
      </c>
      <c r="BR54" s="293"/>
      <c r="BS54" s="293"/>
      <c r="BT54" s="293"/>
      <c r="BU54" s="293"/>
      <c r="BV54" s="293"/>
      <c r="BW54" s="295"/>
    </row>
    <row r="55" spans="1:75">
      <c r="A55" s="288"/>
      <c r="B55" s="289"/>
      <c r="C55" s="316"/>
      <c r="D55" s="290"/>
      <c r="E55" s="290"/>
      <c r="F55" s="317"/>
      <c r="G55" s="291"/>
      <c r="H55" s="292" t="s">
        <v>441</v>
      </c>
      <c r="I55" s="293"/>
      <c r="J55" s="293">
        <f>J53-J54</f>
        <v>6671.79</v>
      </c>
      <c r="K55" s="293">
        <f t="shared" ref="K55:BQ55" si="55">K53-K54</f>
        <v>6713.88</v>
      </c>
      <c r="L55" s="293">
        <f t="shared" si="55"/>
        <v>6756.23</v>
      </c>
      <c r="M55" s="293">
        <f t="shared" si="55"/>
        <v>6798.86</v>
      </c>
      <c r="N55" s="293">
        <f t="shared" si="55"/>
        <v>6841.75</v>
      </c>
      <c r="O55" s="293">
        <f t="shared" si="55"/>
        <v>6884.91</v>
      </c>
      <c r="P55" s="293">
        <f t="shared" si="55"/>
        <v>6928.35</v>
      </c>
      <c r="Q55" s="293">
        <f t="shared" si="55"/>
        <v>6972.05</v>
      </c>
      <c r="R55" s="293">
        <f t="shared" si="55"/>
        <v>7016.04</v>
      </c>
      <c r="S55" s="293">
        <f t="shared" si="55"/>
        <v>7060.3</v>
      </c>
      <c r="T55" s="293">
        <f t="shared" si="55"/>
        <v>7104.84</v>
      </c>
      <c r="U55" s="293">
        <f t="shared" si="55"/>
        <v>7149.66</v>
      </c>
      <c r="V55" s="293">
        <f t="shared" si="55"/>
        <v>7194.76</v>
      </c>
      <c r="W55" s="293">
        <f t="shared" si="55"/>
        <v>7240.15</v>
      </c>
      <c r="X55" s="293">
        <f t="shared" si="55"/>
        <v>7285.83</v>
      </c>
      <c r="Y55" s="293">
        <f t="shared" si="55"/>
        <v>7331.79</v>
      </c>
      <c r="Z55" s="293">
        <f t="shared" si="55"/>
        <v>7378.05</v>
      </c>
      <c r="AA55" s="293">
        <f t="shared" si="55"/>
        <v>7424.6</v>
      </c>
      <c r="AB55" s="293">
        <f t="shared" si="55"/>
        <v>7471.43</v>
      </c>
      <c r="AC55" s="293">
        <f t="shared" si="55"/>
        <v>7518.57</v>
      </c>
      <c r="AD55" s="293">
        <f t="shared" si="55"/>
        <v>7565.99</v>
      </c>
      <c r="AE55" s="293">
        <f t="shared" si="55"/>
        <v>7613.73</v>
      </c>
      <c r="AF55" s="293">
        <f t="shared" si="55"/>
        <v>7661.76</v>
      </c>
      <c r="AG55" s="293">
        <f t="shared" si="55"/>
        <v>7710.1</v>
      </c>
      <c r="AH55" s="293">
        <f t="shared" si="55"/>
        <v>7758.74</v>
      </c>
      <c r="AI55" s="293">
        <f t="shared" si="55"/>
        <v>7807.69</v>
      </c>
      <c r="AJ55" s="293">
        <f t="shared" si="55"/>
        <v>7856.94</v>
      </c>
      <c r="AK55" s="293">
        <f t="shared" si="55"/>
        <v>7906.51</v>
      </c>
      <c r="AL55" s="293">
        <f t="shared" si="55"/>
        <v>7956.38</v>
      </c>
      <c r="AM55" s="293">
        <f t="shared" si="55"/>
        <v>8006.58</v>
      </c>
      <c r="AN55" s="293">
        <f t="shared" si="55"/>
        <v>8057.09</v>
      </c>
      <c r="AO55" s="293">
        <f t="shared" si="55"/>
        <v>8107.92</v>
      </c>
      <c r="AP55" s="293">
        <f t="shared" si="55"/>
        <v>8159.06</v>
      </c>
      <c r="AQ55" s="293">
        <f t="shared" si="55"/>
        <v>8210.5400000000009</v>
      </c>
      <c r="AR55" s="293">
        <f t="shared" si="55"/>
        <v>8262.34</v>
      </c>
      <c r="AS55" s="293">
        <f t="shared" si="55"/>
        <v>8314.4599999999991</v>
      </c>
      <c r="AT55" s="293">
        <f t="shared" si="55"/>
        <v>8366.91</v>
      </c>
      <c r="AU55" s="293">
        <f t="shared" si="55"/>
        <v>8419.7000000000007</v>
      </c>
      <c r="AV55" s="293">
        <f t="shared" si="55"/>
        <v>8472.82</v>
      </c>
      <c r="AW55" s="293">
        <f t="shared" si="55"/>
        <v>8526.27</v>
      </c>
      <c r="AX55" s="293">
        <f t="shared" si="55"/>
        <v>8580.0499999999993</v>
      </c>
      <c r="AY55" s="293">
        <f t="shared" si="55"/>
        <v>8634.18</v>
      </c>
      <c r="AZ55" s="293">
        <f t="shared" si="55"/>
        <v>8688.65</v>
      </c>
      <c r="BA55" s="293">
        <f t="shared" si="55"/>
        <v>8743.4699999999993</v>
      </c>
      <c r="BB55" s="293">
        <f t="shared" si="55"/>
        <v>8798.6200000000008</v>
      </c>
      <c r="BC55" s="293">
        <f t="shared" si="55"/>
        <v>8854.1299999999992</v>
      </c>
      <c r="BD55" s="293">
        <f t="shared" si="55"/>
        <v>8909.99</v>
      </c>
      <c r="BE55" s="293">
        <f t="shared" si="55"/>
        <v>8966.2000000000007</v>
      </c>
      <c r="BF55" s="293">
        <f t="shared" si="55"/>
        <v>9022.76</v>
      </c>
      <c r="BG55" s="293">
        <f t="shared" si="55"/>
        <v>9079.69</v>
      </c>
      <c r="BH55" s="293">
        <f t="shared" si="55"/>
        <v>9136.9599999999991</v>
      </c>
      <c r="BI55" s="293">
        <f t="shared" si="55"/>
        <v>9194.6</v>
      </c>
      <c r="BJ55" s="293">
        <f t="shared" si="55"/>
        <v>9252.61</v>
      </c>
      <c r="BK55" s="293">
        <f t="shared" si="55"/>
        <v>9310.98</v>
      </c>
      <c r="BL55" s="293">
        <f t="shared" si="55"/>
        <v>9369.7199999999993</v>
      </c>
      <c r="BM55" s="293">
        <f t="shared" si="55"/>
        <v>9428.84</v>
      </c>
      <c r="BN55" s="293">
        <f t="shared" si="55"/>
        <v>9488.31</v>
      </c>
      <c r="BO55" s="293">
        <f t="shared" si="55"/>
        <v>9548.17</v>
      </c>
      <c r="BP55" s="293">
        <f t="shared" si="55"/>
        <v>9608.41</v>
      </c>
      <c r="BQ55" s="293">
        <f t="shared" si="55"/>
        <v>9669.09</v>
      </c>
      <c r="BR55" s="293"/>
      <c r="BS55" s="293"/>
      <c r="BT55" s="293"/>
      <c r="BU55" s="293"/>
      <c r="BV55" s="293"/>
      <c r="BW55" s="295"/>
    </row>
    <row r="56" spans="1:75">
      <c r="A56" s="288"/>
      <c r="B56" s="289"/>
      <c r="C56" s="316"/>
      <c r="D56" s="316"/>
      <c r="E56" s="316"/>
      <c r="F56" s="316"/>
      <c r="G56" s="318"/>
      <c r="H56" s="305" t="s">
        <v>412</v>
      </c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93"/>
      <c r="AC56" s="293"/>
      <c r="AD56" s="293"/>
      <c r="AE56" s="293"/>
      <c r="AF56" s="293"/>
      <c r="AG56" s="293"/>
      <c r="AH56" s="293"/>
      <c r="AI56" s="293"/>
      <c r="AJ56" s="293"/>
      <c r="AK56" s="293"/>
      <c r="AL56" s="293"/>
      <c r="AM56" s="293"/>
      <c r="AN56" s="293"/>
      <c r="AO56" s="293"/>
      <c r="AP56" s="293"/>
      <c r="AQ56" s="293"/>
      <c r="AR56" s="293"/>
      <c r="AS56" s="293"/>
      <c r="AT56" s="293"/>
      <c r="AU56" s="293"/>
      <c r="AV56" s="293"/>
      <c r="AW56" s="293"/>
      <c r="AX56" s="294"/>
      <c r="AY56" s="294"/>
      <c r="AZ56" s="294"/>
      <c r="BA56" s="294"/>
      <c r="BB56" s="294"/>
      <c r="BC56" s="294"/>
      <c r="BD56" s="294"/>
      <c r="BE56" s="294"/>
      <c r="BF56" s="294"/>
      <c r="BG56" s="294"/>
      <c r="BH56" s="294"/>
      <c r="BI56" s="294"/>
      <c r="BJ56" s="294"/>
      <c r="BK56" s="294"/>
      <c r="BL56" s="294"/>
      <c r="BM56" s="294"/>
      <c r="BN56" s="294"/>
      <c r="BO56" s="294"/>
      <c r="BP56" s="294"/>
      <c r="BQ56" s="294"/>
      <c r="BR56" s="294"/>
      <c r="BS56" s="294"/>
      <c r="BT56" s="294"/>
      <c r="BU56" s="294"/>
      <c r="BV56" s="294"/>
      <c r="BW56" s="295"/>
    </row>
    <row r="57" spans="1:75" ht="13.5" thickBot="1">
      <c r="A57" s="296"/>
      <c r="B57" s="297"/>
      <c r="C57" s="319"/>
      <c r="D57" s="319"/>
      <c r="E57" s="319"/>
      <c r="F57" s="319"/>
      <c r="G57" s="320"/>
      <c r="H57" s="306" t="s">
        <v>442</v>
      </c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301"/>
      <c r="AD57" s="301"/>
      <c r="AE57" s="301"/>
      <c r="AF57" s="301"/>
      <c r="AG57" s="301"/>
      <c r="AH57" s="301"/>
      <c r="AI57" s="301"/>
      <c r="AJ57" s="301"/>
      <c r="AK57" s="301"/>
      <c r="AL57" s="301"/>
      <c r="AM57" s="301"/>
      <c r="AN57" s="301"/>
      <c r="AO57" s="301">
        <f t="shared" ref="AO57:AW57" si="56">AO56-AO52</f>
        <v>-354081.92999999988</v>
      </c>
      <c r="AP57" s="301">
        <f t="shared" si="56"/>
        <v>-345922.86999999988</v>
      </c>
      <c r="AQ57" s="301">
        <f t="shared" si="56"/>
        <v>-337712.3299999999</v>
      </c>
      <c r="AR57" s="301">
        <f t="shared" si="56"/>
        <v>-329449.98999999987</v>
      </c>
      <c r="AS57" s="301">
        <f t="shared" si="56"/>
        <v>-321135.52999999985</v>
      </c>
      <c r="AT57" s="301">
        <f t="shared" si="56"/>
        <v>-312768.61999999988</v>
      </c>
      <c r="AU57" s="301">
        <f t="shared" si="56"/>
        <v>-304348.91999999987</v>
      </c>
      <c r="AV57" s="301">
        <f t="shared" si="56"/>
        <v>-295876.09999999986</v>
      </c>
      <c r="AW57" s="301">
        <f t="shared" si="56"/>
        <v>-287349.82999999984</v>
      </c>
      <c r="AX57" s="301">
        <f>AX56-AX52</f>
        <v>-278769.77999999985</v>
      </c>
      <c r="AY57" s="301">
        <f t="shared" ref="AY57:BR57" si="57">AY56-AY52</f>
        <v>-270135.59999999986</v>
      </c>
      <c r="AZ57" s="301">
        <f t="shared" si="57"/>
        <v>-261446.94999999987</v>
      </c>
      <c r="BA57" s="301">
        <f t="shared" si="57"/>
        <v>-252703.47999999986</v>
      </c>
      <c r="BB57" s="301">
        <f t="shared" si="57"/>
        <v>-243904.85999999987</v>
      </c>
      <c r="BC57" s="301">
        <f t="shared" si="57"/>
        <v>-235050.72999999986</v>
      </c>
      <c r="BD57" s="301">
        <f t="shared" si="57"/>
        <v>-226140.73999999987</v>
      </c>
      <c r="BE57" s="301">
        <f t="shared" si="57"/>
        <v>-217174.53999999986</v>
      </c>
      <c r="BF57" s="301">
        <f t="shared" si="57"/>
        <v>-208151.77999999985</v>
      </c>
      <c r="BG57" s="301">
        <f t="shared" si="57"/>
        <v>-199072.08999999985</v>
      </c>
      <c r="BH57" s="301">
        <f t="shared" si="57"/>
        <v>-189935.12999999986</v>
      </c>
      <c r="BI57" s="301">
        <f t="shared" si="57"/>
        <v>-180740.52999999985</v>
      </c>
      <c r="BJ57" s="301">
        <f t="shared" si="57"/>
        <v>-171487.91999999987</v>
      </c>
      <c r="BK57" s="301">
        <f t="shared" si="57"/>
        <v>-162176.93999999986</v>
      </c>
      <c r="BL57" s="301">
        <f t="shared" si="57"/>
        <v>-152807.21999999986</v>
      </c>
      <c r="BM57" s="301">
        <f t="shared" si="57"/>
        <v>-143378.37999999986</v>
      </c>
      <c r="BN57" s="301">
        <f t="shared" si="57"/>
        <v>-133890.06999999986</v>
      </c>
      <c r="BO57" s="301">
        <f t="shared" si="57"/>
        <v>-124341.89999999986</v>
      </c>
      <c r="BP57" s="301">
        <f t="shared" si="57"/>
        <v>-114733.48999999986</v>
      </c>
      <c r="BQ57" s="301">
        <f t="shared" si="57"/>
        <v>-105064.39999999986</v>
      </c>
      <c r="BR57" s="301">
        <f t="shared" si="57"/>
        <v>1.3096723705530167E-10</v>
      </c>
      <c r="BS57" s="301"/>
      <c r="BT57" s="301"/>
      <c r="BU57" s="301"/>
      <c r="BV57" s="301"/>
      <c r="BW57" s="303"/>
    </row>
    <row r="58" spans="1:75" s="315" customFormat="1">
      <c r="A58" s="307" t="s">
        <v>300</v>
      </c>
      <c r="B58" s="308" t="s">
        <v>464</v>
      </c>
      <c r="C58" s="309" t="s">
        <v>465</v>
      </c>
      <c r="D58" s="310" t="s">
        <v>466</v>
      </c>
      <c r="E58" s="311" t="s">
        <v>467</v>
      </c>
      <c r="F58" s="310">
        <v>140468</v>
      </c>
      <c r="G58" s="312">
        <v>141073.18</v>
      </c>
      <c r="H58" s="313" t="s">
        <v>437</v>
      </c>
      <c r="I58" s="314">
        <f>2994.13+2978.72+2963.39+2948.13+2932.96+2917.86+2902.85+2887.9+2873.04+2858.25+2843.54+2828.91+2814.35+2799.86+2785.45+2771.11+2756.85+2742.66+2728.54+35268.3</f>
        <v>89596.799999999988</v>
      </c>
      <c r="J58" s="314">
        <v>3009.62</v>
      </c>
      <c r="K58" s="314">
        <v>3025.19</v>
      </c>
      <c r="L58" s="314">
        <v>3040.84</v>
      </c>
      <c r="M58" s="314">
        <v>3056.57</v>
      </c>
      <c r="N58" s="314">
        <v>3072.39</v>
      </c>
      <c r="O58" s="314">
        <v>3088.28</v>
      </c>
      <c r="P58" s="314">
        <v>3104.26</v>
      </c>
      <c r="Q58" s="314">
        <v>3120.32</v>
      </c>
      <c r="R58" s="314">
        <v>3136.46</v>
      </c>
      <c r="S58" s="314">
        <v>3152.69</v>
      </c>
      <c r="T58" s="314">
        <v>3169</v>
      </c>
      <c r="U58" s="314">
        <v>3185.4</v>
      </c>
      <c r="V58" s="314">
        <v>3201.88</v>
      </c>
      <c r="W58" s="314">
        <v>3218.44</v>
      </c>
      <c r="X58" s="314">
        <v>3235.09</v>
      </c>
      <c r="Y58" s="314">
        <v>3249.22</v>
      </c>
      <c r="Z58" s="314">
        <v>1410.73</v>
      </c>
      <c r="AA58" s="314"/>
      <c r="AB58" s="314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4"/>
      <c r="AN58" s="314"/>
      <c r="AO58" s="314"/>
      <c r="AP58" s="314"/>
      <c r="AQ58" s="314"/>
      <c r="AR58" s="314"/>
      <c r="AS58" s="314"/>
      <c r="AT58" s="314"/>
      <c r="AU58" s="314"/>
      <c r="AV58" s="314"/>
      <c r="AW58" s="314"/>
      <c r="AX58" s="314"/>
      <c r="AY58" s="314"/>
      <c r="AZ58" s="314"/>
      <c r="BA58" s="314"/>
      <c r="BB58" s="314"/>
      <c r="BC58" s="314"/>
      <c r="BD58" s="314"/>
      <c r="BE58" s="314"/>
      <c r="BF58" s="314"/>
      <c r="BG58" s="314"/>
      <c r="BH58" s="314"/>
      <c r="BI58" s="314"/>
      <c r="BJ58" s="314"/>
      <c r="BK58" s="314"/>
      <c r="BL58" s="314"/>
      <c r="BM58" s="314"/>
      <c r="BN58" s="314"/>
      <c r="BO58" s="314"/>
      <c r="BP58" s="314"/>
      <c r="BQ58" s="314"/>
      <c r="BR58" s="284"/>
      <c r="BS58" s="284"/>
      <c r="BT58" s="284"/>
      <c r="BU58" s="284"/>
      <c r="BV58" s="284"/>
      <c r="BW58" s="286"/>
    </row>
    <row r="59" spans="1:75">
      <c r="A59" s="288"/>
      <c r="B59" s="289"/>
      <c r="C59" s="316"/>
      <c r="D59" s="316"/>
      <c r="E59" s="316"/>
      <c r="F59" s="316"/>
      <c r="G59" s="318"/>
      <c r="H59" s="305" t="s">
        <v>438</v>
      </c>
      <c r="I59" s="293">
        <f>G58-I58</f>
        <v>51476.380000000005</v>
      </c>
      <c r="J59" s="293">
        <f t="shared" ref="J59:K59" si="58">I59-J58</f>
        <v>48466.76</v>
      </c>
      <c r="K59" s="293">
        <f t="shared" si="58"/>
        <v>45441.57</v>
      </c>
      <c r="L59" s="293">
        <f>K59-L58</f>
        <v>42400.729999999996</v>
      </c>
      <c r="M59" s="293">
        <f t="shared" ref="M59:P59" si="59">L59-M58</f>
        <v>39344.159999999996</v>
      </c>
      <c r="N59" s="293">
        <f t="shared" si="59"/>
        <v>36271.769999999997</v>
      </c>
      <c r="O59" s="293">
        <f t="shared" si="59"/>
        <v>33183.49</v>
      </c>
      <c r="P59" s="293">
        <f t="shared" si="59"/>
        <v>30079.229999999996</v>
      </c>
      <c r="Q59" s="293">
        <f>P59-Q58</f>
        <v>26958.909999999996</v>
      </c>
      <c r="R59" s="293">
        <f t="shared" ref="R59:V59" si="60">Q59-R58</f>
        <v>23822.449999999997</v>
      </c>
      <c r="S59" s="293">
        <f t="shared" si="60"/>
        <v>20669.759999999998</v>
      </c>
      <c r="T59" s="293">
        <f t="shared" si="60"/>
        <v>17500.759999999998</v>
      </c>
      <c r="U59" s="293">
        <f t="shared" si="60"/>
        <v>14315.359999999999</v>
      </c>
      <c r="V59" s="293">
        <f t="shared" si="60"/>
        <v>11113.48</v>
      </c>
      <c r="W59" s="293">
        <f>V59-W58</f>
        <v>7895.0399999999991</v>
      </c>
      <c r="X59" s="293">
        <f t="shared" ref="X59:Z59" si="61">W59-X58</f>
        <v>4659.9499999999989</v>
      </c>
      <c r="Y59" s="293">
        <f t="shared" si="61"/>
        <v>1410.7299999999991</v>
      </c>
      <c r="Z59" s="293">
        <f t="shared" si="61"/>
        <v>0</v>
      </c>
      <c r="AA59" s="293"/>
      <c r="AB59" s="293"/>
      <c r="AC59" s="293"/>
      <c r="AD59" s="293"/>
      <c r="AE59" s="293"/>
      <c r="AF59" s="293"/>
      <c r="AG59" s="293"/>
      <c r="AH59" s="293"/>
      <c r="AI59" s="293"/>
      <c r="AJ59" s="293"/>
      <c r="AK59" s="293"/>
      <c r="AL59" s="293"/>
      <c r="AM59" s="293"/>
      <c r="AN59" s="293"/>
      <c r="AO59" s="293"/>
      <c r="AP59" s="293"/>
      <c r="AQ59" s="293"/>
      <c r="AR59" s="293"/>
      <c r="AS59" s="293"/>
      <c r="AT59" s="293"/>
      <c r="AU59" s="293"/>
      <c r="AV59" s="293"/>
      <c r="AW59" s="293"/>
      <c r="AX59" s="293"/>
      <c r="AY59" s="293"/>
      <c r="AZ59" s="293"/>
      <c r="BA59" s="293"/>
      <c r="BB59" s="293"/>
      <c r="BC59" s="293"/>
      <c r="BD59" s="293"/>
      <c r="BE59" s="293"/>
      <c r="BF59" s="293"/>
      <c r="BG59" s="293"/>
      <c r="BH59" s="293"/>
      <c r="BI59" s="293"/>
      <c r="BJ59" s="293"/>
      <c r="BK59" s="293"/>
      <c r="BL59" s="293"/>
      <c r="BM59" s="293"/>
      <c r="BN59" s="293"/>
      <c r="BO59" s="293"/>
      <c r="BP59" s="293"/>
      <c r="BQ59" s="293"/>
      <c r="BR59" s="293"/>
      <c r="BS59" s="293"/>
      <c r="BT59" s="293"/>
      <c r="BU59" s="293"/>
      <c r="BV59" s="293"/>
      <c r="BW59" s="295"/>
    </row>
    <row r="60" spans="1:75">
      <c r="A60" s="288"/>
      <c r="B60" s="289"/>
      <c r="C60" s="316"/>
      <c r="D60" s="316"/>
      <c r="E60" s="316"/>
      <c r="F60" s="316"/>
      <c r="G60" s="318"/>
      <c r="H60" s="292" t="s">
        <v>439</v>
      </c>
      <c r="I60" s="293"/>
      <c r="J60" s="293">
        <v>3275.87</v>
      </c>
      <c r="K60" s="293">
        <v>3275.87</v>
      </c>
      <c r="L60" s="293">
        <v>3275.87</v>
      </c>
      <c r="M60" s="293">
        <v>3275.87</v>
      </c>
      <c r="N60" s="293">
        <v>3275.87</v>
      </c>
      <c r="O60" s="293">
        <v>3275.87</v>
      </c>
      <c r="P60" s="293">
        <v>3275.87</v>
      </c>
      <c r="Q60" s="293">
        <v>3275.87</v>
      </c>
      <c r="R60" s="293">
        <v>3275.87</v>
      </c>
      <c r="S60" s="293">
        <v>3275.87</v>
      </c>
      <c r="T60" s="293">
        <v>3275.87</v>
      </c>
      <c r="U60" s="293">
        <v>3275.87</v>
      </c>
      <c r="V60" s="293">
        <v>3275.87</v>
      </c>
      <c r="W60" s="293">
        <v>3275.87</v>
      </c>
      <c r="X60" s="293">
        <v>3275.87</v>
      </c>
      <c r="Y60" s="293">
        <v>3275.87</v>
      </c>
      <c r="Z60" s="293"/>
      <c r="AA60" s="293"/>
      <c r="AB60" s="293"/>
      <c r="AC60" s="293"/>
      <c r="AD60" s="293"/>
      <c r="AE60" s="293"/>
      <c r="AF60" s="293"/>
      <c r="AG60" s="293"/>
      <c r="AH60" s="293"/>
      <c r="AI60" s="293"/>
      <c r="AJ60" s="293"/>
      <c r="AK60" s="293"/>
      <c r="AL60" s="293"/>
      <c r="AM60" s="293"/>
      <c r="AN60" s="293"/>
      <c r="AO60" s="293"/>
      <c r="AP60" s="293"/>
      <c r="AQ60" s="293"/>
      <c r="AR60" s="293"/>
      <c r="AS60" s="293"/>
      <c r="AT60" s="293"/>
      <c r="AU60" s="293"/>
      <c r="AV60" s="293"/>
      <c r="AW60" s="293"/>
      <c r="AX60" s="293"/>
      <c r="AY60" s="293"/>
      <c r="AZ60" s="293"/>
      <c r="BA60" s="293"/>
      <c r="BB60" s="293"/>
      <c r="BC60" s="293"/>
      <c r="BD60" s="293"/>
      <c r="BE60" s="293"/>
      <c r="BF60" s="293"/>
      <c r="BG60" s="293"/>
      <c r="BH60" s="293"/>
      <c r="BI60" s="293"/>
      <c r="BJ60" s="293"/>
      <c r="BK60" s="293"/>
      <c r="BL60" s="293"/>
      <c r="BM60" s="293"/>
      <c r="BN60" s="293"/>
      <c r="BO60" s="293"/>
      <c r="BP60" s="293"/>
      <c r="BQ60" s="293"/>
      <c r="BR60" s="293"/>
      <c r="BS60" s="293"/>
      <c r="BT60" s="293"/>
      <c r="BU60" s="293"/>
      <c r="BV60" s="293"/>
      <c r="BW60" s="295"/>
    </row>
    <row r="61" spans="1:75">
      <c r="A61" s="288"/>
      <c r="B61" s="289"/>
      <c r="C61" s="316"/>
      <c r="D61" s="316"/>
      <c r="E61" s="316"/>
      <c r="F61" s="316"/>
      <c r="G61" s="318"/>
      <c r="H61" s="292" t="s">
        <v>440</v>
      </c>
      <c r="I61" s="293"/>
      <c r="J61" s="293">
        <f>J60-J58</f>
        <v>266.25</v>
      </c>
      <c r="K61" s="293">
        <f t="shared" ref="K61:Y61" si="62">K60-K58</f>
        <v>250.67999999999984</v>
      </c>
      <c r="L61" s="293">
        <f t="shared" si="62"/>
        <v>235.02999999999975</v>
      </c>
      <c r="M61" s="293">
        <f t="shared" si="62"/>
        <v>219.29999999999973</v>
      </c>
      <c r="N61" s="293">
        <f t="shared" si="62"/>
        <v>203.48000000000002</v>
      </c>
      <c r="O61" s="293">
        <f t="shared" si="62"/>
        <v>187.58999999999969</v>
      </c>
      <c r="P61" s="293">
        <f t="shared" si="62"/>
        <v>171.60999999999967</v>
      </c>
      <c r="Q61" s="293">
        <f t="shared" si="62"/>
        <v>155.54999999999973</v>
      </c>
      <c r="R61" s="293">
        <f t="shared" si="62"/>
        <v>139.40999999999985</v>
      </c>
      <c r="S61" s="293">
        <f t="shared" si="62"/>
        <v>123.17999999999984</v>
      </c>
      <c r="T61" s="293">
        <f t="shared" si="62"/>
        <v>106.86999999999989</v>
      </c>
      <c r="U61" s="293">
        <f t="shared" si="62"/>
        <v>90.4699999999998</v>
      </c>
      <c r="V61" s="293">
        <f t="shared" si="62"/>
        <v>73.989999999999782</v>
      </c>
      <c r="W61" s="293">
        <f t="shared" si="62"/>
        <v>57.429999999999836</v>
      </c>
      <c r="X61" s="293">
        <f t="shared" si="62"/>
        <v>40.779999999999745</v>
      </c>
      <c r="Y61" s="293">
        <f t="shared" si="62"/>
        <v>26.650000000000091</v>
      </c>
      <c r="Z61" s="293"/>
      <c r="AA61" s="293"/>
      <c r="AB61" s="293"/>
      <c r="AC61" s="293"/>
      <c r="AD61" s="293"/>
      <c r="AE61" s="293"/>
      <c r="AF61" s="293"/>
      <c r="AG61" s="293"/>
      <c r="AH61" s="293"/>
      <c r="AI61" s="293"/>
      <c r="AJ61" s="293"/>
      <c r="AK61" s="293"/>
      <c r="AL61" s="293"/>
      <c r="AM61" s="293"/>
      <c r="AN61" s="293"/>
      <c r="AO61" s="293"/>
      <c r="AP61" s="293"/>
      <c r="AQ61" s="293"/>
      <c r="AR61" s="293"/>
      <c r="AS61" s="293"/>
      <c r="AT61" s="293"/>
      <c r="AU61" s="293"/>
      <c r="AV61" s="293"/>
      <c r="AW61" s="293"/>
      <c r="AX61" s="293"/>
      <c r="AY61" s="293"/>
      <c r="AZ61" s="293"/>
      <c r="BA61" s="293"/>
      <c r="BB61" s="293"/>
      <c r="BC61" s="293"/>
      <c r="BD61" s="293"/>
      <c r="BE61" s="293"/>
      <c r="BF61" s="293"/>
      <c r="BG61" s="293"/>
      <c r="BH61" s="293"/>
      <c r="BI61" s="293"/>
      <c r="BJ61" s="293"/>
      <c r="BK61" s="293"/>
      <c r="BL61" s="293"/>
      <c r="BM61" s="293"/>
      <c r="BN61" s="293"/>
      <c r="BO61" s="293"/>
      <c r="BP61" s="293"/>
      <c r="BQ61" s="293"/>
      <c r="BR61" s="293"/>
      <c r="BS61" s="293"/>
      <c r="BT61" s="293"/>
      <c r="BU61" s="293"/>
      <c r="BV61" s="293"/>
      <c r="BW61" s="295"/>
    </row>
    <row r="62" spans="1:75">
      <c r="A62" s="288"/>
      <c r="B62" s="289"/>
      <c r="C62" s="316"/>
      <c r="D62" s="316"/>
      <c r="E62" s="316"/>
      <c r="F62" s="316"/>
      <c r="G62" s="318"/>
      <c r="H62" s="292" t="s">
        <v>441</v>
      </c>
      <c r="I62" s="293"/>
      <c r="J62" s="293">
        <f>J60-J61</f>
        <v>3009.62</v>
      </c>
      <c r="K62" s="293">
        <f t="shared" ref="K62:Y62" si="63">K60-K61</f>
        <v>3025.19</v>
      </c>
      <c r="L62" s="293">
        <f t="shared" si="63"/>
        <v>3040.84</v>
      </c>
      <c r="M62" s="293">
        <f t="shared" si="63"/>
        <v>3056.57</v>
      </c>
      <c r="N62" s="293">
        <f t="shared" si="63"/>
        <v>3072.39</v>
      </c>
      <c r="O62" s="293">
        <f t="shared" si="63"/>
        <v>3088.28</v>
      </c>
      <c r="P62" s="293">
        <f t="shared" si="63"/>
        <v>3104.26</v>
      </c>
      <c r="Q62" s="293">
        <f t="shared" si="63"/>
        <v>3120.32</v>
      </c>
      <c r="R62" s="293">
        <f t="shared" si="63"/>
        <v>3136.46</v>
      </c>
      <c r="S62" s="293">
        <f t="shared" si="63"/>
        <v>3152.69</v>
      </c>
      <c r="T62" s="293">
        <f t="shared" si="63"/>
        <v>3169</v>
      </c>
      <c r="U62" s="293">
        <f t="shared" si="63"/>
        <v>3185.4</v>
      </c>
      <c r="V62" s="293">
        <f t="shared" si="63"/>
        <v>3201.88</v>
      </c>
      <c r="W62" s="293">
        <f t="shared" si="63"/>
        <v>3218.44</v>
      </c>
      <c r="X62" s="293">
        <f t="shared" si="63"/>
        <v>3235.09</v>
      </c>
      <c r="Y62" s="293">
        <f t="shared" si="63"/>
        <v>3249.22</v>
      </c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3"/>
      <c r="AK62" s="293"/>
      <c r="AL62" s="293"/>
      <c r="AM62" s="293"/>
      <c r="AN62" s="293"/>
      <c r="AO62" s="293"/>
      <c r="AP62" s="293"/>
      <c r="AQ62" s="293"/>
      <c r="AR62" s="293"/>
      <c r="AS62" s="293"/>
      <c r="AT62" s="293"/>
      <c r="AU62" s="293"/>
      <c r="AV62" s="293"/>
      <c r="AW62" s="293"/>
      <c r="AX62" s="293"/>
      <c r="AY62" s="293"/>
      <c r="AZ62" s="293"/>
      <c r="BA62" s="293"/>
      <c r="BB62" s="293"/>
      <c r="BC62" s="293"/>
      <c r="BD62" s="293"/>
      <c r="BE62" s="293"/>
      <c r="BF62" s="293"/>
      <c r="BG62" s="293"/>
      <c r="BH62" s="293"/>
      <c r="BI62" s="293"/>
      <c r="BJ62" s="293"/>
      <c r="BK62" s="293"/>
      <c r="BL62" s="293"/>
      <c r="BM62" s="293"/>
      <c r="BN62" s="293"/>
      <c r="BO62" s="293"/>
      <c r="BP62" s="293"/>
      <c r="BQ62" s="293"/>
      <c r="BR62" s="293"/>
      <c r="BS62" s="293"/>
      <c r="BT62" s="293"/>
      <c r="BU62" s="293"/>
      <c r="BV62" s="293"/>
      <c r="BW62" s="295"/>
    </row>
    <row r="63" spans="1:75">
      <c r="A63" s="288"/>
      <c r="B63" s="289"/>
      <c r="C63" s="316"/>
      <c r="D63" s="316"/>
      <c r="E63" s="316"/>
      <c r="F63" s="316"/>
      <c r="G63" s="318"/>
      <c r="H63" s="305" t="s">
        <v>412</v>
      </c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93"/>
      <c r="AE63" s="293"/>
      <c r="AF63" s="293"/>
      <c r="AG63" s="293"/>
      <c r="AH63" s="293"/>
      <c r="AI63" s="293"/>
      <c r="AJ63" s="293"/>
      <c r="AK63" s="293"/>
      <c r="AL63" s="293"/>
      <c r="AM63" s="293"/>
      <c r="AN63" s="293"/>
      <c r="AO63" s="293"/>
      <c r="AP63" s="293"/>
      <c r="AQ63" s="293"/>
      <c r="AR63" s="293"/>
      <c r="AS63" s="293"/>
      <c r="AT63" s="293"/>
      <c r="AU63" s="293"/>
      <c r="AV63" s="293"/>
      <c r="AW63" s="293"/>
      <c r="AX63" s="294"/>
      <c r="AY63" s="294"/>
      <c r="AZ63" s="294"/>
      <c r="BA63" s="294"/>
      <c r="BB63" s="294"/>
      <c r="BC63" s="294"/>
      <c r="BD63" s="294"/>
      <c r="BE63" s="294"/>
      <c r="BF63" s="294"/>
      <c r="BG63" s="294"/>
      <c r="BH63" s="294"/>
      <c r="BI63" s="294"/>
      <c r="BJ63" s="294"/>
      <c r="BK63" s="294"/>
      <c r="BL63" s="294"/>
      <c r="BM63" s="294"/>
      <c r="BN63" s="294"/>
      <c r="BO63" s="294"/>
      <c r="BP63" s="294"/>
      <c r="BQ63" s="294"/>
      <c r="BR63" s="294"/>
      <c r="BS63" s="294"/>
      <c r="BT63" s="294"/>
      <c r="BU63" s="294"/>
      <c r="BV63" s="294"/>
      <c r="BW63" s="295"/>
    </row>
    <row r="64" spans="1:75" ht="13.5" thickBot="1">
      <c r="A64" s="296"/>
      <c r="B64" s="297"/>
      <c r="C64" s="319"/>
      <c r="D64" s="319"/>
      <c r="E64" s="319"/>
      <c r="F64" s="319"/>
      <c r="G64" s="320"/>
      <c r="H64" s="306" t="s">
        <v>442</v>
      </c>
      <c r="I64" s="301"/>
      <c r="J64" s="301"/>
      <c r="K64" s="301"/>
      <c r="L64" s="301"/>
      <c r="M64" s="301"/>
      <c r="N64" s="301"/>
      <c r="O64" s="301"/>
      <c r="P64" s="301"/>
      <c r="Q64" s="301"/>
      <c r="R64" s="301"/>
      <c r="S64" s="301"/>
      <c r="T64" s="301"/>
      <c r="U64" s="301"/>
      <c r="V64" s="301"/>
      <c r="W64" s="301"/>
      <c r="X64" s="301"/>
      <c r="Y64" s="301"/>
      <c r="Z64" s="301"/>
      <c r="AA64" s="301"/>
      <c r="AB64" s="301"/>
      <c r="AC64" s="301"/>
      <c r="AD64" s="301"/>
      <c r="AE64" s="301"/>
      <c r="AF64" s="301"/>
      <c r="AG64" s="301"/>
      <c r="AH64" s="301"/>
      <c r="AI64" s="301"/>
      <c r="AJ64" s="301"/>
      <c r="AK64" s="301"/>
      <c r="AL64" s="301"/>
      <c r="AM64" s="301"/>
      <c r="AN64" s="301"/>
      <c r="AO64" s="301"/>
      <c r="AP64" s="301"/>
      <c r="AQ64" s="301"/>
      <c r="AR64" s="301"/>
      <c r="AS64" s="301"/>
      <c r="AT64" s="301"/>
      <c r="AU64" s="301"/>
      <c r="AV64" s="301"/>
      <c r="AW64" s="301"/>
      <c r="AX64" s="301"/>
      <c r="AY64" s="301"/>
      <c r="AZ64" s="301"/>
      <c r="BA64" s="301"/>
      <c r="BB64" s="301"/>
      <c r="BC64" s="301"/>
      <c r="BD64" s="301"/>
      <c r="BE64" s="301"/>
      <c r="BF64" s="301"/>
      <c r="BG64" s="301"/>
      <c r="BH64" s="301"/>
      <c r="BI64" s="301"/>
      <c r="BJ64" s="301"/>
      <c r="BK64" s="301"/>
      <c r="BL64" s="301"/>
      <c r="BM64" s="301"/>
      <c r="BN64" s="301"/>
      <c r="BO64" s="301"/>
      <c r="BP64" s="301"/>
      <c r="BQ64" s="301"/>
      <c r="BR64" s="301"/>
      <c r="BS64" s="301"/>
      <c r="BT64" s="301"/>
      <c r="BU64" s="301"/>
      <c r="BV64" s="301"/>
      <c r="BW64" s="303"/>
    </row>
    <row r="65" spans="1:75" s="315" customFormat="1">
      <c r="A65" s="307">
        <v>10</v>
      </c>
      <c r="B65" s="308" t="s">
        <v>468</v>
      </c>
      <c r="C65" s="309"/>
      <c r="D65" s="310" t="s">
        <v>469</v>
      </c>
      <c r="E65" s="311" t="s">
        <v>436</v>
      </c>
      <c r="F65" s="310">
        <v>324114</v>
      </c>
      <c r="G65" s="312">
        <v>330000</v>
      </c>
      <c r="H65" s="313" t="s">
        <v>437</v>
      </c>
      <c r="I65" s="314"/>
      <c r="J65" s="314"/>
      <c r="K65" s="314"/>
      <c r="L65" s="314"/>
      <c r="M65" s="314"/>
      <c r="N65" s="314"/>
      <c r="O65" s="314"/>
      <c r="P65" s="314"/>
      <c r="Q65" s="314"/>
      <c r="R65" s="314"/>
      <c r="S65" s="314"/>
      <c r="T65" s="314"/>
      <c r="U65" s="314"/>
      <c r="V65" s="314"/>
      <c r="W65" s="314"/>
      <c r="X65" s="314"/>
      <c r="Y65" s="314"/>
      <c r="Z65" s="314"/>
      <c r="AA65" s="314"/>
      <c r="AB65" s="314">
        <v>33000</v>
      </c>
      <c r="AC65" s="314">
        <v>5316.62</v>
      </c>
      <c r="AD65" s="314">
        <v>5329.22</v>
      </c>
      <c r="AE65" s="314">
        <v>5341.86</v>
      </c>
      <c r="AF65" s="314">
        <v>5354.52</v>
      </c>
      <c r="AG65" s="314">
        <v>5367.21</v>
      </c>
      <c r="AH65" s="314">
        <v>5379.93</v>
      </c>
      <c r="AI65" s="314">
        <v>5392.68</v>
      </c>
      <c r="AJ65" s="314">
        <v>5405.46</v>
      </c>
      <c r="AK65" s="314">
        <v>5418.27</v>
      </c>
      <c r="AL65" s="314">
        <v>5431.11</v>
      </c>
      <c r="AM65" s="314">
        <v>5443.98</v>
      </c>
      <c r="AN65" s="314">
        <v>5456.89</v>
      </c>
      <c r="AO65" s="314">
        <v>5469.82</v>
      </c>
      <c r="AP65" s="314">
        <v>5482.78</v>
      </c>
      <c r="AQ65" s="314">
        <v>5495.78</v>
      </c>
      <c r="AR65" s="314">
        <v>5508.8</v>
      </c>
      <c r="AS65" s="314">
        <v>5521.86</v>
      </c>
      <c r="AT65" s="314">
        <v>5534.95</v>
      </c>
      <c r="AU65" s="314">
        <v>5548.07</v>
      </c>
      <c r="AV65" s="314">
        <v>5561.22</v>
      </c>
      <c r="AW65" s="314">
        <v>5574.4</v>
      </c>
      <c r="AX65" s="314">
        <v>5587.61</v>
      </c>
      <c r="AY65" s="314">
        <v>5600.85</v>
      </c>
      <c r="AZ65" s="314">
        <v>5614.13</v>
      </c>
      <c r="BA65" s="314">
        <v>5627.43</v>
      </c>
      <c r="BB65" s="314">
        <v>5640.77</v>
      </c>
      <c r="BC65" s="314">
        <v>5654.14</v>
      </c>
      <c r="BD65" s="314">
        <v>5667.54</v>
      </c>
      <c r="BE65" s="314">
        <v>5680.97</v>
      </c>
      <c r="BF65" s="314">
        <v>5694.44</v>
      </c>
      <c r="BG65" s="314">
        <v>5707.93</v>
      </c>
      <c r="BH65" s="314">
        <v>5721.46</v>
      </c>
      <c r="BI65" s="314">
        <v>5735.02</v>
      </c>
      <c r="BJ65" s="314">
        <v>5748.61</v>
      </c>
      <c r="BK65" s="314">
        <v>5762.24</v>
      </c>
      <c r="BL65" s="314">
        <v>5775.9</v>
      </c>
      <c r="BM65" s="314">
        <v>5789.59</v>
      </c>
      <c r="BN65" s="314">
        <v>5803.31</v>
      </c>
      <c r="BO65" s="314">
        <v>5817.06</v>
      </c>
      <c r="BP65" s="314">
        <v>5830.85</v>
      </c>
      <c r="BQ65" s="314">
        <v>5844.67</v>
      </c>
      <c r="BR65" s="314">
        <v>5858.52</v>
      </c>
      <c r="BS65" s="314">
        <v>5872.41</v>
      </c>
      <c r="BT65" s="314">
        <v>5886.32</v>
      </c>
      <c r="BU65" s="314">
        <v>5900.28</v>
      </c>
      <c r="BV65" s="314">
        <v>5914.26</v>
      </c>
      <c r="BW65" s="321">
        <f>5928.26+33000</f>
        <v>38928.26</v>
      </c>
    </row>
    <row r="66" spans="1:75">
      <c r="A66" s="288"/>
      <c r="B66" s="289">
        <v>297000</v>
      </c>
      <c r="C66" s="316"/>
      <c r="D66" s="316"/>
      <c r="E66" s="316"/>
      <c r="F66" s="316"/>
      <c r="G66" s="318"/>
      <c r="H66" s="305" t="s">
        <v>438</v>
      </c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  <c r="X66" s="293"/>
      <c r="Y66" s="293"/>
      <c r="Z66" s="293"/>
      <c r="AA66" s="293"/>
      <c r="AB66" s="293">
        <f>G65-AB65</f>
        <v>297000</v>
      </c>
      <c r="AC66" s="293">
        <f>AB66-AC65</f>
        <v>291683.38</v>
      </c>
      <c r="AD66" s="293">
        <f t="shared" ref="AD66:BW66" si="64">AC66-AD65</f>
        <v>286354.16000000003</v>
      </c>
      <c r="AE66" s="293">
        <f t="shared" si="64"/>
        <v>281012.30000000005</v>
      </c>
      <c r="AF66" s="293">
        <f t="shared" si="64"/>
        <v>275657.78000000003</v>
      </c>
      <c r="AG66" s="293">
        <f t="shared" si="64"/>
        <v>270290.57</v>
      </c>
      <c r="AH66" s="293">
        <f t="shared" si="64"/>
        <v>264910.64</v>
      </c>
      <c r="AI66" s="293">
        <f t="shared" si="64"/>
        <v>259517.96000000002</v>
      </c>
      <c r="AJ66" s="293">
        <f t="shared" si="64"/>
        <v>254112.50000000003</v>
      </c>
      <c r="AK66" s="293">
        <f t="shared" si="64"/>
        <v>248694.23000000004</v>
      </c>
      <c r="AL66" s="293">
        <f t="shared" si="64"/>
        <v>243263.12000000005</v>
      </c>
      <c r="AM66" s="293">
        <f t="shared" si="64"/>
        <v>237819.14000000004</v>
      </c>
      <c r="AN66" s="293">
        <f t="shared" si="64"/>
        <v>232362.25000000003</v>
      </c>
      <c r="AO66" s="293">
        <f t="shared" si="64"/>
        <v>226892.43000000002</v>
      </c>
      <c r="AP66" s="293">
        <f t="shared" si="64"/>
        <v>221409.65000000002</v>
      </c>
      <c r="AQ66" s="293">
        <f t="shared" si="64"/>
        <v>215913.87000000002</v>
      </c>
      <c r="AR66" s="293">
        <f t="shared" si="64"/>
        <v>210405.07000000004</v>
      </c>
      <c r="AS66" s="293">
        <f t="shared" si="64"/>
        <v>204883.21000000005</v>
      </c>
      <c r="AT66" s="293">
        <f t="shared" si="64"/>
        <v>199348.26000000004</v>
      </c>
      <c r="AU66" s="293">
        <f t="shared" si="64"/>
        <v>193800.19000000003</v>
      </c>
      <c r="AV66" s="293">
        <f t="shared" si="64"/>
        <v>188238.97000000003</v>
      </c>
      <c r="AW66" s="293">
        <f t="shared" si="64"/>
        <v>182664.57000000004</v>
      </c>
      <c r="AX66" s="293">
        <f t="shared" si="64"/>
        <v>177076.96000000005</v>
      </c>
      <c r="AY66" s="293">
        <f t="shared" si="64"/>
        <v>171476.11000000004</v>
      </c>
      <c r="AZ66" s="293">
        <f t="shared" si="64"/>
        <v>165861.98000000004</v>
      </c>
      <c r="BA66" s="293">
        <f t="shared" si="64"/>
        <v>160234.55000000005</v>
      </c>
      <c r="BB66" s="293">
        <f t="shared" si="64"/>
        <v>154593.78000000006</v>
      </c>
      <c r="BC66" s="293">
        <f t="shared" si="64"/>
        <v>148939.64000000004</v>
      </c>
      <c r="BD66" s="293">
        <f t="shared" si="64"/>
        <v>143272.10000000003</v>
      </c>
      <c r="BE66" s="293">
        <f t="shared" si="64"/>
        <v>137591.13000000003</v>
      </c>
      <c r="BF66" s="293">
        <f t="shared" si="64"/>
        <v>131896.69000000003</v>
      </c>
      <c r="BG66" s="293">
        <f t="shared" si="64"/>
        <v>126188.76000000004</v>
      </c>
      <c r="BH66" s="293">
        <f t="shared" si="64"/>
        <v>120467.30000000003</v>
      </c>
      <c r="BI66" s="293">
        <f t="shared" si="64"/>
        <v>114732.28000000003</v>
      </c>
      <c r="BJ66" s="293">
        <f t="shared" si="64"/>
        <v>108983.67000000003</v>
      </c>
      <c r="BK66" s="293">
        <f t="shared" si="64"/>
        <v>103221.43000000002</v>
      </c>
      <c r="BL66" s="293">
        <f t="shared" si="64"/>
        <v>97445.530000000028</v>
      </c>
      <c r="BM66" s="293">
        <f t="shared" si="64"/>
        <v>91655.940000000031</v>
      </c>
      <c r="BN66" s="293">
        <f t="shared" si="64"/>
        <v>85852.630000000034</v>
      </c>
      <c r="BO66" s="293">
        <f t="shared" si="64"/>
        <v>80035.570000000036</v>
      </c>
      <c r="BP66" s="293">
        <f t="shared" si="64"/>
        <v>74204.72000000003</v>
      </c>
      <c r="BQ66" s="293">
        <f t="shared" si="64"/>
        <v>68360.050000000032</v>
      </c>
      <c r="BR66" s="293">
        <f t="shared" si="64"/>
        <v>62501.530000000028</v>
      </c>
      <c r="BS66" s="293">
        <f t="shared" si="64"/>
        <v>56629.120000000024</v>
      </c>
      <c r="BT66" s="293">
        <f t="shared" si="64"/>
        <v>50742.800000000025</v>
      </c>
      <c r="BU66" s="293">
        <f t="shared" si="64"/>
        <v>44842.520000000026</v>
      </c>
      <c r="BV66" s="293">
        <f t="shared" si="64"/>
        <v>38928.260000000024</v>
      </c>
      <c r="BW66" s="322">
        <f t="shared" si="64"/>
        <v>0</v>
      </c>
    </row>
    <row r="67" spans="1:75">
      <c r="A67" s="288"/>
      <c r="B67" s="289"/>
      <c r="C67" s="316"/>
      <c r="D67" s="316"/>
      <c r="E67" s="316"/>
      <c r="F67" s="316"/>
      <c r="G67" s="318"/>
      <c r="H67" s="292" t="s">
        <v>439</v>
      </c>
      <c r="I67" s="293"/>
      <c r="J67" s="293"/>
      <c r="K67" s="293"/>
      <c r="L67" s="293"/>
      <c r="M67" s="293"/>
      <c r="N67" s="293"/>
      <c r="O67" s="293"/>
      <c r="P67" s="293"/>
      <c r="Q67" s="293"/>
      <c r="R67" s="293"/>
      <c r="S67" s="293"/>
      <c r="T67" s="293"/>
      <c r="U67" s="293"/>
      <c r="V67" s="293"/>
      <c r="W67" s="293"/>
      <c r="X67" s="293"/>
      <c r="Y67" s="293"/>
      <c r="Z67" s="293"/>
      <c r="AA67" s="293"/>
      <c r="AB67" s="293">
        <v>33000</v>
      </c>
      <c r="AC67" s="293">
        <v>6020.54</v>
      </c>
      <c r="AD67" s="293">
        <v>6020.54</v>
      </c>
      <c r="AE67" s="293">
        <v>6020.54</v>
      </c>
      <c r="AF67" s="293">
        <v>6020.54</v>
      </c>
      <c r="AG67" s="293">
        <v>6020.54</v>
      </c>
      <c r="AH67" s="293">
        <v>6020.54</v>
      </c>
      <c r="AI67" s="293">
        <v>6020.54</v>
      </c>
      <c r="AJ67" s="293">
        <v>6020.54</v>
      </c>
      <c r="AK67" s="293">
        <v>6020.54</v>
      </c>
      <c r="AL67" s="293">
        <v>6020.54</v>
      </c>
      <c r="AM67" s="293">
        <v>6020.54</v>
      </c>
      <c r="AN67" s="293">
        <v>6020.54</v>
      </c>
      <c r="AO67" s="293">
        <v>6020.54</v>
      </c>
      <c r="AP67" s="293">
        <v>6020.54</v>
      </c>
      <c r="AQ67" s="293">
        <v>6020.54</v>
      </c>
      <c r="AR67" s="293">
        <v>6020.54</v>
      </c>
      <c r="AS67" s="293">
        <v>6020.54</v>
      </c>
      <c r="AT67" s="293">
        <v>6020.54</v>
      </c>
      <c r="AU67" s="293">
        <v>6020.54</v>
      </c>
      <c r="AV67" s="293">
        <v>6020.54</v>
      </c>
      <c r="AW67" s="293">
        <v>6020.54</v>
      </c>
      <c r="AX67" s="293">
        <v>6020.54</v>
      </c>
      <c r="AY67" s="293">
        <v>6020.54</v>
      </c>
      <c r="AZ67" s="293">
        <v>6020.54</v>
      </c>
      <c r="BA67" s="293">
        <v>6020.54</v>
      </c>
      <c r="BB67" s="293">
        <v>6020.54</v>
      </c>
      <c r="BC67" s="293">
        <v>6020.54</v>
      </c>
      <c r="BD67" s="293">
        <v>6020.54</v>
      </c>
      <c r="BE67" s="293">
        <v>6020.54</v>
      </c>
      <c r="BF67" s="293">
        <v>6020.54</v>
      </c>
      <c r="BG67" s="293">
        <v>6020.54</v>
      </c>
      <c r="BH67" s="293">
        <v>6020.54</v>
      </c>
      <c r="BI67" s="293">
        <v>6020.54</v>
      </c>
      <c r="BJ67" s="293">
        <v>6020.54</v>
      </c>
      <c r="BK67" s="293">
        <v>6020.54</v>
      </c>
      <c r="BL67" s="293">
        <v>6020.54</v>
      </c>
      <c r="BM67" s="293">
        <v>6020.54</v>
      </c>
      <c r="BN67" s="293">
        <v>6020.54</v>
      </c>
      <c r="BO67" s="293">
        <v>6020.54</v>
      </c>
      <c r="BP67" s="293">
        <v>6020.54</v>
      </c>
      <c r="BQ67" s="293">
        <v>6020.54</v>
      </c>
      <c r="BR67" s="293">
        <v>6020.54</v>
      </c>
      <c r="BS67" s="293">
        <v>6020.54</v>
      </c>
      <c r="BT67" s="293">
        <v>6020.54</v>
      </c>
      <c r="BU67" s="293">
        <v>6020.54</v>
      </c>
      <c r="BV67" s="293">
        <v>6020.54</v>
      </c>
      <c r="BW67" s="322">
        <v>6020.54</v>
      </c>
    </row>
    <row r="68" spans="1:75">
      <c r="A68" s="288"/>
      <c r="B68" s="289"/>
      <c r="C68" s="316"/>
      <c r="D68" s="316"/>
      <c r="E68" s="316"/>
      <c r="F68" s="316"/>
      <c r="G68" s="318"/>
      <c r="H68" s="292" t="s">
        <v>440</v>
      </c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93"/>
      <c r="Y68" s="293"/>
      <c r="Z68" s="293"/>
      <c r="AA68" s="293"/>
      <c r="AB68" s="293">
        <f t="shared" ref="AB68:BV68" si="65">AB67-AB65</f>
        <v>0</v>
      </c>
      <c r="AC68" s="293">
        <f t="shared" si="65"/>
        <v>703.92000000000007</v>
      </c>
      <c r="AD68" s="293">
        <f t="shared" si="65"/>
        <v>691.31999999999971</v>
      </c>
      <c r="AE68" s="293">
        <f t="shared" si="65"/>
        <v>678.68000000000029</v>
      </c>
      <c r="AF68" s="293">
        <f t="shared" si="65"/>
        <v>666.01999999999953</v>
      </c>
      <c r="AG68" s="293">
        <f t="shared" si="65"/>
        <v>653.32999999999993</v>
      </c>
      <c r="AH68" s="293">
        <f t="shared" si="65"/>
        <v>640.60999999999967</v>
      </c>
      <c r="AI68" s="293">
        <f t="shared" si="65"/>
        <v>627.85999999999967</v>
      </c>
      <c r="AJ68" s="293">
        <f t="shared" si="65"/>
        <v>615.07999999999993</v>
      </c>
      <c r="AK68" s="293">
        <f t="shared" si="65"/>
        <v>602.26999999999953</v>
      </c>
      <c r="AL68" s="293">
        <f t="shared" si="65"/>
        <v>589.43000000000029</v>
      </c>
      <c r="AM68" s="293">
        <f t="shared" si="65"/>
        <v>576.5600000000004</v>
      </c>
      <c r="AN68" s="293">
        <f t="shared" si="65"/>
        <v>563.64999999999964</v>
      </c>
      <c r="AO68" s="293">
        <f t="shared" si="65"/>
        <v>550.72000000000025</v>
      </c>
      <c r="AP68" s="293">
        <f t="shared" si="65"/>
        <v>537.76000000000022</v>
      </c>
      <c r="AQ68" s="293">
        <f t="shared" si="65"/>
        <v>524.76000000000022</v>
      </c>
      <c r="AR68" s="293">
        <f t="shared" si="65"/>
        <v>511.73999999999978</v>
      </c>
      <c r="AS68" s="293">
        <f t="shared" si="65"/>
        <v>498.68000000000029</v>
      </c>
      <c r="AT68" s="293">
        <f t="shared" si="65"/>
        <v>485.59000000000015</v>
      </c>
      <c r="AU68" s="293">
        <f t="shared" si="65"/>
        <v>472.47000000000025</v>
      </c>
      <c r="AV68" s="293">
        <f t="shared" si="65"/>
        <v>459.31999999999971</v>
      </c>
      <c r="AW68" s="293">
        <f t="shared" si="65"/>
        <v>446.14000000000033</v>
      </c>
      <c r="AX68" s="293">
        <f t="shared" si="65"/>
        <v>432.93000000000029</v>
      </c>
      <c r="AY68" s="293">
        <f t="shared" si="65"/>
        <v>419.6899999999996</v>
      </c>
      <c r="AZ68" s="293">
        <f t="shared" si="65"/>
        <v>406.40999999999985</v>
      </c>
      <c r="BA68" s="293">
        <f t="shared" si="65"/>
        <v>393.10999999999967</v>
      </c>
      <c r="BB68" s="293">
        <f t="shared" si="65"/>
        <v>379.76999999999953</v>
      </c>
      <c r="BC68" s="293">
        <f t="shared" si="65"/>
        <v>366.39999999999964</v>
      </c>
      <c r="BD68" s="293">
        <f t="shared" si="65"/>
        <v>353</v>
      </c>
      <c r="BE68" s="293">
        <f t="shared" si="65"/>
        <v>339.56999999999971</v>
      </c>
      <c r="BF68" s="293">
        <f t="shared" si="65"/>
        <v>326.10000000000036</v>
      </c>
      <c r="BG68" s="293">
        <f t="shared" si="65"/>
        <v>312.60999999999967</v>
      </c>
      <c r="BH68" s="293">
        <f t="shared" si="65"/>
        <v>299.07999999999993</v>
      </c>
      <c r="BI68" s="293">
        <f t="shared" si="65"/>
        <v>285.51999999999953</v>
      </c>
      <c r="BJ68" s="293">
        <f t="shared" si="65"/>
        <v>271.93000000000029</v>
      </c>
      <c r="BK68" s="293">
        <f t="shared" si="65"/>
        <v>258.30000000000018</v>
      </c>
      <c r="BL68" s="293">
        <f t="shared" si="65"/>
        <v>244.64000000000033</v>
      </c>
      <c r="BM68" s="293">
        <f t="shared" si="65"/>
        <v>230.94999999999982</v>
      </c>
      <c r="BN68" s="293">
        <f t="shared" si="65"/>
        <v>217.22999999999956</v>
      </c>
      <c r="BO68" s="293">
        <f t="shared" si="65"/>
        <v>203.47999999999956</v>
      </c>
      <c r="BP68" s="293">
        <f t="shared" si="65"/>
        <v>189.6899999999996</v>
      </c>
      <c r="BQ68" s="293">
        <f t="shared" si="65"/>
        <v>175.86999999999989</v>
      </c>
      <c r="BR68" s="293">
        <f t="shared" si="65"/>
        <v>162.01999999999953</v>
      </c>
      <c r="BS68" s="293">
        <f t="shared" si="65"/>
        <v>148.13000000000011</v>
      </c>
      <c r="BT68" s="293">
        <f t="shared" si="65"/>
        <v>134.22000000000025</v>
      </c>
      <c r="BU68" s="293">
        <f t="shared" si="65"/>
        <v>120.26000000000022</v>
      </c>
      <c r="BV68" s="293">
        <f t="shared" si="65"/>
        <v>106.27999999999975</v>
      </c>
      <c r="BW68" s="322">
        <f>BW67-BW65+33000</f>
        <v>92.279999999998836</v>
      </c>
    </row>
    <row r="69" spans="1:75">
      <c r="A69" s="288"/>
      <c r="B69" s="289"/>
      <c r="C69" s="316"/>
      <c r="D69" s="316"/>
      <c r="E69" s="316"/>
      <c r="F69" s="316"/>
      <c r="G69" s="318"/>
      <c r="H69" s="292" t="s">
        <v>441</v>
      </c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  <c r="X69" s="293"/>
      <c r="Y69" s="293"/>
      <c r="Z69" s="293"/>
      <c r="AA69" s="293"/>
      <c r="AB69" s="293">
        <f>AB67-AB68</f>
        <v>33000</v>
      </c>
      <c r="AC69" s="293">
        <f t="shared" ref="AC69:BU69" si="66">AC67-AC68</f>
        <v>5316.62</v>
      </c>
      <c r="AD69" s="293">
        <f t="shared" si="66"/>
        <v>5329.22</v>
      </c>
      <c r="AE69" s="293">
        <f t="shared" si="66"/>
        <v>5341.86</v>
      </c>
      <c r="AF69" s="293">
        <f t="shared" si="66"/>
        <v>5354.52</v>
      </c>
      <c r="AG69" s="293">
        <f t="shared" si="66"/>
        <v>5367.21</v>
      </c>
      <c r="AH69" s="293">
        <f t="shared" si="66"/>
        <v>5379.93</v>
      </c>
      <c r="AI69" s="293">
        <f t="shared" si="66"/>
        <v>5392.68</v>
      </c>
      <c r="AJ69" s="293">
        <f t="shared" si="66"/>
        <v>5405.46</v>
      </c>
      <c r="AK69" s="293">
        <f t="shared" si="66"/>
        <v>5418.27</v>
      </c>
      <c r="AL69" s="293">
        <f t="shared" si="66"/>
        <v>5431.11</v>
      </c>
      <c r="AM69" s="293">
        <f t="shared" si="66"/>
        <v>5443.98</v>
      </c>
      <c r="AN69" s="293">
        <f t="shared" si="66"/>
        <v>5456.89</v>
      </c>
      <c r="AO69" s="293">
        <f t="shared" si="66"/>
        <v>5469.82</v>
      </c>
      <c r="AP69" s="293">
        <f t="shared" si="66"/>
        <v>5482.78</v>
      </c>
      <c r="AQ69" s="293">
        <f t="shared" si="66"/>
        <v>5495.78</v>
      </c>
      <c r="AR69" s="293">
        <f t="shared" si="66"/>
        <v>5508.8</v>
      </c>
      <c r="AS69" s="293">
        <f t="shared" si="66"/>
        <v>5521.86</v>
      </c>
      <c r="AT69" s="293">
        <f t="shared" si="66"/>
        <v>5534.95</v>
      </c>
      <c r="AU69" s="293">
        <f t="shared" si="66"/>
        <v>5548.07</v>
      </c>
      <c r="AV69" s="293">
        <f t="shared" si="66"/>
        <v>5561.22</v>
      </c>
      <c r="AW69" s="293">
        <f t="shared" si="66"/>
        <v>5574.4</v>
      </c>
      <c r="AX69" s="293">
        <f t="shared" si="66"/>
        <v>5587.61</v>
      </c>
      <c r="AY69" s="293">
        <f t="shared" si="66"/>
        <v>5600.85</v>
      </c>
      <c r="AZ69" s="293">
        <f t="shared" si="66"/>
        <v>5614.13</v>
      </c>
      <c r="BA69" s="293">
        <f t="shared" si="66"/>
        <v>5627.43</v>
      </c>
      <c r="BB69" s="293">
        <f t="shared" si="66"/>
        <v>5640.77</v>
      </c>
      <c r="BC69" s="293">
        <f t="shared" si="66"/>
        <v>5654.14</v>
      </c>
      <c r="BD69" s="293">
        <f t="shared" si="66"/>
        <v>5667.54</v>
      </c>
      <c r="BE69" s="293">
        <f t="shared" si="66"/>
        <v>5680.97</v>
      </c>
      <c r="BF69" s="293">
        <f t="shared" si="66"/>
        <v>5694.44</v>
      </c>
      <c r="BG69" s="293">
        <f t="shared" si="66"/>
        <v>5707.93</v>
      </c>
      <c r="BH69" s="293">
        <f t="shared" si="66"/>
        <v>5721.46</v>
      </c>
      <c r="BI69" s="293">
        <f t="shared" si="66"/>
        <v>5735.02</v>
      </c>
      <c r="BJ69" s="293">
        <f t="shared" si="66"/>
        <v>5748.61</v>
      </c>
      <c r="BK69" s="293">
        <f t="shared" si="66"/>
        <v>5762.24</v>
      </c>
      <c r="BL69" s="293">
        <f t="shared" si="66"/>
        <v>5775.9</v>
      </c>
      <c r="BM69" s="293">
        <f t="shared" si="66"/>
        <v>5789.59</v>
      </c>
      <c r="BN69" s="293">
        <f t="shared" si="66"/>
        <v>5803.31</v>
      </c>
      <c r="BO69" s="293">
        <f t="shared" si="66"/>
        <v>5817.06</v>
      </c>
      <c r="BP69" s="293">
        <f t="shared" si="66"/>
        <v>5830.85</v>
      </c>
      <c r="BQ69" s="293">
        <f t="shared" si="66"/>
        <v>5844.67</v>
      </c>
      <c r="BR69" s="293">
        <f t="shared" si="66"/>
        <v>5858.52</v>
      </c>
      <c r="BS69" s="293">
        <f t="shared" si="66"/>
        <v>5872.41</v>
      </c>
      <c r="BT69" s="293">
        <f t="shared" si="66"/>
        <v>5886.32</v>
      </c>
      <c r="BU69" s="293">
        <f t="shared" si="66"/>
        <v>5900.28</v>
      </c>
      <c r="BV69" s="293">
        <f>BV67-BV68</f>
        <v>5914.26</v>
      </c>
      <c r="BW69" s="322">
        <f>BV67-BV68</f>
        <v>5914.26</v>
      </c>
    </row>
    <row r="70" spans="1:75">
      <c r="A70" s="288"/>
      <c r="B70" s="289"/>
      <c r="C70" s="316"/>
      <c r="D70" s="316"/>
      <c r="E70" s="316"/>
      <c r="F70" s="316"/>
      <c r="G70" s="318"/>
      <c r="H70" s="305" t="s">
        <v>412</v>
      </c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93"/>
      <c r="Y70" s="293"/>
      <c r="Z70" s="293"/>
      <c r="AA70" s="293"/>
      <c r="AB70" s="293"/>
      <c r="AC70" s="293"/>
      <c r="AD70" s="293"/>
      <c r="AE70" s="293"/>
      <c r="AF70" s="293"/>
      <c r="AG70" s="293"/>
      <c r="AH70" s="293"/>
      <c r="AI70" s="293"/>
      <c r="AJ70" s="293"/>
      <c r="AK70" s="293"/>
      <c r="AL70" s="293"/>
      <c r="AM70" s="293"/>
      <c r="AN70" s="293"/>
      <c r="AO70" s="293"/>
      <c r="AP70" s="293"/>
      <c r="AQ70" s="293"/>
      <c r="AR70" s="293"/>
      <c r="AS70" s="293"/>
      <c r="AT70" s="293"/>
      <c r="AU70" s="293"/>
      <c r="AV70" s="293"/>
      <c r="AW70" s="293"/>
      <c r="AX70" s="293"/>
      <c r="AY70" s="293"/>
      <c r="AZ70" s="293"/>
      <c r="BA70" s="293"/>
      <c r="BB70" s="293"/>
      <c r="BC70" s="293"/>
      <c r="BD70" s="293"/>
      <c r="BE70" s="293"/>
      <c r="BF70" s="293"/>
      <c r="BG70" s="293"/>
      <c r="BH70" s="293"/>
      <c r="BI70" s="293"/>
      <c r="BJ70" s="293"/>
      <c r="BK70" s="293"/>
      <c r="BL70" s="293"/>
      <c r="BM70" s="293"/>
      <c r="BN70" s="293"/>
      <c r="BO70" s="293"/>
      <c r="BP70" s="293"/>
      <c r="BQ70" s="293"/>
      <c r="BR70" s="293"/>
      <c r="BS70" s="293"/>
      <c r="BT70" s="293"/>
      <c r="BU70" s="293"/>
      <c r="BV70" s="293"/>
      <c r="BW70" s="295"/>
    </row>
    <row r="71" spans="1:75" ht="13.5" thickBot="1">
      <c r="A71" s="296"/>
      <c r="B71" s="297"/>
      <c r="C71" s="319"/>
      <c r="D71" s="319"/>
      <c r="E71" s="319"/>
      <c r="F71" s="319"/>
      <c r="G71" s="320"/>
      <c r="H71" s="306" t="s">
        <v>442</v>
      </c>
      <c r="I71" s="301"/>
      <c r="J71" s="301"/>
      <c r="K71" s="301"/>
      <c r="L71" s="301"/>
      <c r="M71" s="301"/>
      <c r="N71" s="301"/>
      <c r="O71" s="301"/>
      <c r="P71" s="301"/>
      <c r="Q71" s="301"/>
      <c r="R71" s="301"/>
      <c r="S71" s="301"/>
      <c r="T71" s="301"/>
      <c r="U71" s="301"/>
      <c r="V71" s="301"/>
      <c r="W71" s="301"/>
      <c r="X71" s="301"/>
      <c r="Y71" s="301"/>
      <c r="Z71" s="301"/>
      <c r="AA71" s="301"/>
      <c r="AB71" s="301"/>
      <c r="AC71" s="301"/>
      <c r="AD71" s="301"/>
      <c r="AE71" s="301"/>
      <c r="AF71" s="301"/>
      <c r="AG71" s="301"/>
      <c r="AH71" s="301"/>
      <c r="AI71" s="301"/>
      <c r="AJ71" s="301"/>
      <c r="AK71" s="301"/>
      <c r="AL71" s="301"/>
      <c r="AM71" s="301"/>
      <c r="AN71" s="301"/>
      <c r="AO71" s="301">
        <f t="shared" ref="AO71:BW71" si="67">AO70-AO66</f>
        <v>-226892.43000000002</v>
      </c>
      <c r="AP71" s="301">
        <f t="shared" si="67"/>
        <v>-221409.65000000002</v>
      </c>
      <c r="AQ71" s="301">
        <f t="shared" si="67"/>
        <v>-215913.87000000002</v>
      </c>
      <c r="AR71" s="301">
        <f t="shared" si="67"/>
        <v>-210405.07000000004</v>
      </c>
      <c r="AS71" s="301">
        <f t="shared" si="67"/>
        <v>-204883.21000000005</v>
      </c>
      <c r="AT71" s="301">
        <f t="shared" si="67"/>
        <v>-199348.26000000004</v>
      </c>
      <c r="AU71" s="301">
        <f t="shared" si="67"/>
        <v>-193800.19000000003</v>
      </c>
      <c r="AV71" s="301">
        <f t="shared" si="67"/>
        <v>-188238.97000000003</v>
      </c>
      <c r="AW71" s="301">
        <f t="shared" si="67"/>
        <v>-182664.57000000004</v>
      </c>
      <c r="AX71" s="301">
        <f t="shared" si="67"/>
        <v>-177076.96000000005</v>
      </c>
      <c r="AY71" s="301">
        <f t="shared" si="67"/>
        <v>-171476.11000000004</v>
      </c>
      <c r="AZ71" s="301">
        <f t="shared" si="67"/>
        <v>-165861.98000000004</v>
      </c>
      <c r="BA71" s="301">
        <f t="shared" si="67"/>
        <v>-160234.55000000005</v>
      </c>
      <c r="BB71" s="301">
        <f t="shared" si="67"/>
        <v>-154593.78000000006</v>
      </c>
      <c r="BC71" s="301">
        <f t="shared" si="67"/>
        <v>-148939.64000000004</v>
      </c>
      <c r="BD71" s="301">
        <f t="shared" si="67"/>
        <v>-143272.10000000003</v>
      </c>
      <c r="BE71" s="301">
        <f t="shared" si="67"/>
        <v>-137591.13000000003</v>
      </c>
      <c r="BF71" s="301">
        <f t="shared" si="67"/>
        <v>-131896.69000000003</v>
      </c>
      <c r="BG71" s="301">
        <f t="shared" si="67"/>
        <v>-126188.76000000004</v>
      </c>
      <c r="BH71" s="301">
        <f t="shared" si="67"/>
        <v>-120467.30000000003</v>
      </c>
      <c r="BI71" s="301">
        <f t="shared" si="67"/>
        <v>-114732.28000000003</v>
      </c>
      <c r="BJ71" s="301">
        <f t="shared" si="67"/>
        <v>-108983.67000000003</v>
      </c>
      <c r="BK71" s="301">
        <f t="shared" si="67"/>
        <v>-103221.43000000002</v>
      </c>
      <c r="BL71" s="301">
        <f t="shared" si="67"/>
        <v>-97445.530000000028</v>
      </c>
      <c r="BM71" s="301">
        <f t="shared" si="67"/>
        <v>-91655.940000000031</v>
      </c>
      <c r="BN71" s="301">
        <f t="shared" si="67"/>
        <v>-85852.630000000034</v>
      </c>
      <c r="BO71" s="301">
        <f t="shared" si="67"/>
        <v>-80035.570000000036</v>
      </c>
      <c r="BP71" s="301">
        <f t="shared" si="67"/>
        <v>-74204.72000000003</v>
      </c>
      <c r="BQ71" s="301">
        <f t="shared" si="67"/>
        <v>-68360.050000000032</v>
      </c>
      <c r="BR71" s="301">
        <f t="shared" si="67"/>
        <v>-62501.530000000028</v>
      </c>
      <c r="BS71" s="301">
        <f t="shared" si="67"/>
        <v>-56629.120000000024</v>
      </c>
      <c r="BT71" s="301">
        <f t="shared" si="67"/>
        <v>-50742.800000000025</v>
      </c>
      <c r="BU71" s="301">
        <f t="shared" si="67"/>
        <v>-44842.520000000026</v>
      </c>
      <c r="BV71" s="301">
        <f t="shared" si="67"/>
        <v>-38928.260000000024</v>
      </c>
      <c r="BW71" s="323">
        <f t="shared" si="67"/>
        <v>0</v>
      </c>
    </row>
    <row r="73" spans="1:75"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  <c r="T73" s="324"/>
      <c r="U73" s="324"/>
      <c r="V73" s="324"/>
      <c r="W73" s="324"/>
      <c r="X73" s="324"/>
      <c r="Y73" s="324"/>
      <c r="Z73" s="324"/>
      <c r="AA73" s="324"/>
      <c r="AB73" s="324"/>
    </row>
    <row r="74" spans="1:75" ht="13.5" thickBot="1">
      <c r="Q74" s="324"/>
      <c r="R74" s="324"/>
      <c r="S74" s="324"/>
      <c r="T74" s="324"/>
      <c r="U74" s="324"/>
      <c r="V74" s="324"/>
      <c r="W74" s="324"/>
      <c r="X74" s="324"/>
      <c r="Y74" s="324"/>
      <c r="Z74" s="324"/>
      <c r="AA74" s="324"/>
      <c r="AB74" s="324"/>
    </row>
    <row r="75" spans="1:75" s="326" customFormat="1" ht="13.5" thickBot="1">
      <c r="A75" s="592" t="s">
        <v>1018</v>
      </c>
      <c r="B75" s="593"/>
      <c r="C75" s="593"/>
      <c r="D75" s="593"/>
      <c r="E75" s="593"/>
      <c r="F75" s="593"/>
      <c r="G75" s="593"/>
      <c r="H75" s="593"/>
      <c r="I75" s="325">
        <f t="shared" ref="I75:P75" si="68">I2+I9+I16+I23+I30+I37+I44+I51+I58+I65</f>
        <v>266975.59999999998</v>
      </c>
      <c r="J75" s="325">
        <f t="shared" si="68"/>
        <v>69405.36</v>
      </c>
      <c r="K75" s="325">
        <f t="shared" si="68"/>
        <v>70102.75</v>
      </c>
      <c r="L75" s="325">
        <f t="shared" si="68"/>
        <v>43380.09</v>
      </c>
      <c r="M75" s="325">
        <f t="shared" si="68"/>
        <v>81611.430000000008</v>
      </c>
      <c r="N75" s="325">
        <f t="shared" si="68"/>
        <v>53006.460000000006</v>
      </c>
      <c r="O75" s="325">
        <f t="shared" si="68"/>
        <v>53232.45</v>
      </c>
      <c r="P75" s="325">
        <f t="shared" si="68"/>
        <v>53459.49</v>
      </c>
      <c r="Q75" s="325">
        <f>Q2+Q9+Q16+Q23+Q30+Q37+Q44+Q51+Q58+Q65</f>
        <v>53687.53</v>
      </c>
      <c r="R75" s="325">
        <f t="shared" ref="R75:BW75" si="69">R2+R9+R16+R23+R30+R37+R44+R51+R58+R65</f>
        <v>53916.61</v>
      </c>
      <c r="S75" s="325">
        <f t="shared" si="69"/>
        <v>54146.720000000008</v>
      </c>
      <c r="T75" s="325">
        <f t="shared" si="69"/>
        <v>54377.849999999991</v>
      </c>
      <c r="U75" s="325">
        <f t="shared" si="69"/>
        <v>71090.039999999994</v>
      </c>
      <c r="V75" s="325">
        <f t="shared" si="69"/>
        <v>124062.41</v>
      </c>
      <c r="W75" s="325">
        <f t="shared" si="69"/>
        <v>70154.069999999992</v>
      </c>
      <c r="X75" s="325">
        <f t="shared" si="69"/>
        <v>70426.239999999991</v>
      </c>
      <c r="Y75" s="325">
        <f t="shared" si="69"/>
        <v>70696.97</v>
      </c>
      <c r="Z75" s="325">
        <f t="shared" si="69"/>
        <v>69116.14</v>
      </c>
      <c r="AA75" s="325">
        <f t="shared" si="69"/>
        <v>67964.149999999994</v>
      </c>
      <c r="AB75" s="325">
        <f t="shared" si="69"/>
        <v>101223.96</v>
      </c>
      <c r="AC75" s="325">
        <f t="shared" si="69"/>
        <v>73801.490000000005</v>
      </c>
      <c r="AD75" s="325">
        <f t="shared" si="69"/>
        <v>74076.08</v>
      </c>
      <c r="AE75" s="325">
        <f t="shared" si="69"/>
        <v>74351.820000000007</v>
      </c>
      <c r="AF75" s="325">
        <f t="shared" si="69"/>
        <v>74628.67</v>
      </c>
      <c r="AG75" s="325">
        <f t="shared" si="69"/>
        <v>74906.650000000009</v>
      </c>
      <c r="AH75" s="325">
        <f t="shared" si="69"/>
        <v>75185.76999999999</v>
      </c>
      <c r="AI75" s="325">
        <f t="shared" si="69"/>
        <v>75466.040000000008</v>
      </c>
      <c r="AJ75" s="325">
        <f t="shared" si="69"/>
        <v>75747.44</v>
      </c>
      <c r="AK75" s="325">
        <f t="shared" si="69"/>
        <v>76030.03</v>
      </c>
      <c r="AL75" s="325">
        <f t="shared" si="69"/>
        <v>76313.760000000009</v>
      </c>
      <c r="AM75" s="325">
        <f t="shared" si="69"/>
        <v>76598.67</v>
      </c>
      <c r="AN75" s="325">
        <f t="shared" si="69"/>
        <v>76884.739999999991</v>
      </c>
      <c r="AO75" s="325">
        <f t="shared" si="69"/>
        <v>77171.989999999991</v>
      </c>
      <c r="AP75" s="325">
        <f t="shared" si="69"/>
        <v>77460.41</v>
      </c>
      <c r="AQ75" s="325">
        <f t="shared" si="69"/>
        <v>77750.02</v>
      </c>
      <c r="AR75" s="325">
        <f t="shared" si="69"/>
        <v>78040.84</v>
      </c>
      <c r="AS75" s="325">
        <f t="shared" si="69"/>
        <v>78332.85000000002</v>
      </c>
      <c r="AT75" s="325">
        <f t="shared" si="69"/>
        <v>99743.78</v>
      </c>
      <c r="AU75" s="325">
        <f t="shared" si="69"/>
        <v>73656.360000000015</v>
      </c>
      <c r="AV75" s="325">
        <f t="shared" si="69"/>
        <v>73938.150000000009</v>
      </c>
      <c r="AW75" s="325">
        <f t="shared" si="69"/>
        <v>67868.529999999984</v>
      </c>
      <c r="AX75" s="325">
        <f t="shared" si="69"/>
        <v>64321.570000000007</v>
      </c>
      <c r="AY75" s="325">
        <f t="shared" si="69"/>
        <v>64578.979999999996</v>
      </c>
      <c r="AZ75" s="325">
        <f t="shared" si="69"/>
        <v>64837.53</v>
      </c>
      <c r="BA75" s="325">
        <f t="shared" si="69"/>
        <v>65097.189999999995</v>
      </c>
      <c r="BB75" s="325">
        <f t="shared" si="69"/>
        <v>65357.98000000001</v>
      </c>
      <c r="BC75" s="325">
        <f t="shared" si="69"/>
        <v>65619.909999999989</v>
      </c>
      <c r="BD75" s="325">
        <f t="shared" si="69"/>
        <v>65882.989999999991</v>
      </c>
      <c r="BE75" s="325">
        <f t="shared" si="69"/>
        <v>66147.22</v>
      </c>
      <c r="BF75" s="325">
        <f t="shared" si="69"/>
        <v>66412.62</v>
      </c>
      <c r="BG75" s="325">
        <f t="shared" si="69"/>
        <v>66679.149999999994</v>
      </c>
      <c r="BH75" s="325">
        <f t="shared" si="69"/>
        <v>66946.86</v>
      </c>
      <c r="BI75" s="325">
        <f t="shared" si="69"/>
        <v>67215.72</v>
      </c>
      <c r="BJ75" s="325">
        <f t="shared" si="69"/>
        <v>67485.790000000008</v>
      </c>
      <c r="BK75" s="325">
        <f t="shared" si="69"/>
        <v>67757.02</v>
      </c>
      <c r="BL75" s="325">
        <f t="shared" si="69"/>
        <v>68029.440000000002</v>
      </c>
      <c r="BM75" s="325">
        <f t="shared" si="69"/>
        <v>68303.069999999992</v>
      </c>
      <c r="BN75" s="325">
        <f t="shared" si="69"/>
        <v>68577.87</v>
      </c>
      <c r="BO75" s="325">
        <f t="shared" si="69"/>
        <v>68853.88</v>
      </c>
      <c r="BP75" s="325">
        <f t="shared" si="69"/>
        <v>69131.14</v>
      </c>
      <c r="BQ75" s="325">
        <f t="shared" si="69"/>
        <v>64542.179999999993</v>
      </c>
      <c r="BR75" s="325">
        <f t="shared" si="69"/>
        <v>145892.32999999999</v>
      </c>
      <c r="BS75" s="325">
        <f t="shared" si="69"/>
        <v>77662.41</v>
      </c>
      <c r="BT75" s="325">
        <f t="shared" si="69"/>
        <v>5886.32</v>
      </c>
      <c r="BU75" s="325">
        <f t="shared" si="69"/>
        <v>5900.28</v>
      </c>
      <c r="BV75" s="325">
        <f t="shared" si="69"/>
        <v>5914.26</v>
      </c>
      <c r="BW75" s="325">
        <f t="shared" si="69"/>
        <v>38928.26</v>
      </c>
    </row>
    <row r="76" spans="1:75" s="326" customFormat="1" ht="13.5" thickBot="1">
      <c r="A76" s="592" t="s">
        <v>470</v>
      </c>
      <c r="B76" s="593"/>
      <c r="C76" s="593"/>
      <c r="D76" s="593"/>
      <c r="E76" s="593"/>
      <c r="F76" s="593"/>
      <c r="G76" s="593"/>
      <c r="H76" s="593"/>
      <c r="I76" s="325">
        <f t="shared" ref="I76:BT76" si="70">I61+I54+I47+I40+I33+I26+I19+I12+I5+I68</f>
        <v>0</v>
      </c>
      <c r="J76" s="325">
        <f t="shared" si="70"/>
        <v>6943.1900000000005</v>
      </c>
      <c r="K76" s="325">
        <f t="shared" si="70"/>
        <v>10934.29</v>
      </c>
      <c r="L76" s="325">
        <f t="shared" si="70"/>
        <v>13621.210000000003</v>
      </c>
      <c r="M76" s="325">
        <f t="shared" si="70"/>
        <v>13422.390000000001</v>
      </c>
      <c r="N76" s="325">
        <f t="shared" si="70"/>
        <v>14161.07</v>
      </c>
      <c r="O76" s="325">
        <f t="shared" si="70"/>
        <v>13935.080000000002</v>
      </c>
      <c r="P76" s="325">
        <f t="shared" si="70"/>
        <v>13708.04</v>
      </c>
      <c r="Q76" s="325">
        <f t="shared" si="70"/>
        <v>13480.000000000004</v>
      </c>
      <c r="R76" s="325">
        <f t="shared" si="70"/>
        <v>13250.920000000002</v>
      </c>
      <c r="S76" s="325">
        <f t="shared" si="70"/>
        <v>13020.810000000001</v>
      </c>
      <c r="T76" s="325">
        <f t="shared" si="70"/>
        <v>12789.68</v>
      </c>
      <c r="U76" s="325">
        <f t="shared" si="70"/>
        <v>12557.49</v>
      </c>
      <c r="V76" s="325">
        <f t="shared" si="70"/>
        <v>12724.710000000001</v>
      </c>
      <c r="W76" s="325">
        <f t="shared" si="70"/>
        <v>13837.670000000006</v>
      </c>
      <c r="X76" s="325">
        <f t="shared" si="70"/>
        <v>13565.500000000004</v>
      </c>
      <c r="Y76" s="325">
        <f t="shared" si="70"/>
        <v>13294.770000000002</v>
      </c>
      <c r="Z76" s="325">
        <f t="shared" si="70"/>
        <v>13010.460000000003</v>
      </c>
      <c r="AA76" s="325">
        <f t="shared" si="70"/>
        <v>12751.720000000003</v>
      </c>
      <c r="AB76" s="325">
        <f t="shared" si="70"/>
        <v>12491.910000000002</v>
      </c>
      <c r="AC76" s="325">
        <f t="shared" si="70"/>
        <v>12934.920000000004</v>
      </c>
      <c r="AD76" s="325">
        <f t="shared" si="70"/>
        <v>12660.330000000002</v>
      </c>
      <c r="AE76" s="325">
        <f t="shared" si="70"/>
        <v>12384.590000000004</v>
      </c>
      <c r="AF76" s="325">
        <f t="shared" si="70"/>
        <v>12107.740000000002</v>
      </c>
      <c r="AG76" s="325">
        <f t="shared" si="70"/>
        <v>11829.760000000004</v>
      </c>
      <c r="AH76" s="325">
        <f t="shared" si="70"/>
        <v>11550.640000000003</v>
      </c>
      <c r="AI76" s="325">
        <f t="shared" si="70"/>
        <v>11270.370000000003</v>
      </c>
      <c r="AJ76" s="325">
        <f t="shared" si="70"/>
        <v>10988.970000000003</v>
      </c>
      <c r="AK76" s="325">
        <f t="shared" si="70"/>
        <v>10706.380000000005</v>
      </c>
      <c r="AL76" s="325">
        <f t="shared" si="70"/>
        <v>10422.650000000005</v>
      </c>
      <c r="AM76" s="325">
        <f t="shared" si="70"/>
        <v>10137.740000000002</v>
      </c>
      <c r="AN76" s="325">
        <f t="shared" si="70"/>
        <v>9851.67</v>
      </c>
      <c r="AO76" s="325">
        <f t="shared" si="70"/>
        <v>9564.4200000000055</v>
      </c>
      <c r="AP76" s="325">
        <f t="shared" si="70"/>
        <v>9276.0000000000018</v>
      </c>
      <c r="AQ76" s="325">
        <f t="shared" si="70"/>
        <v>8986.39</v>
      </c>
      <c r="AR76" s="325">
        <f t="shared" si="70"/>
        <v>8695.5700000000033</v>
      </c>
      <c r="AS76" s="325">
        <f t="shared" si="70"/>
        <v>8403.5600000000013</v>
      </c>
      <c r="AT76" s="325">
        <f t="shared" si="70"/>
        <v>8031.0400000000009</v>
      </c>
      <c r="AU76" s="325">
        <f t="shared" si="70"/>
        <v>7750.4600000000037</v>
      </c>
      <c r="AV76" s="325">
        <f t="shared" si="70"/>
        <v>7468.67</v>
      </c>
      <c r="AW76" s="325">
        <f t="shared" si="70"/>
        <v>7175.310000000004</v>
      </c>
      <c r="AX76" s="325">
        <f t="shared" si="70"/>
        <v>6919.0200000000023</v>
      </c>
      <c r="AY76" s="325">
        <f t="shared" si="70"/>
        <v>6661.6100000000006</v>
      </c>
      <c r="AZ76" s="325">
        <f t="shared" si="70"/>
        <v>6403.0600000000031</v>
      </c>
      <c r="BA76" s="325">
        <f t="shared" si="70"/>
        <v>6143.4000000000024</v>
      </c>
      <c r="BB76" s="325">
        <f t="shared" si="70"/>
        <v>5882.6100000000015</v>
      </c>
      <c r="BC76" s="325">
        <f t="shared" si="70"/>
        <v>5620.680000000003</v>
      </c>
      <c r="BD76" s="325">
        <f t="shared" si="70"/>
        <v>5357.6000000000031</v>
      </c>
      <c r="BE76" s="325">
        <f t="shared" si="70"/>
        <v>5093.3700000000008</v>
      </c>
      <c r="BF76" s="325">
        <f t="shared" si="70"/>
        <v>4827.9700000000066</v>
      </c>
      <c r="BG76" s="325">
        <f t="shared" si="70"/>
        <v>4561.4400000000032</v>
      </c>
      <c r="BH76" s="325">
        <f t="shared" si="70"/>
        <v>4293.7300000000041</v>
      </c>
      <c r="BI76" s="325">
        <f t="shared" si="70"/>
        <v>4024.8700000000008</v>
      </c>
      <c r="BJ76" s="325">
        <f t="shared" si="70"/>
        <v>3754.8000000000011</v>
      </c>
      <c r="BK76" s="325">
        <f t="shared" si="70"/>
        <v>3483.5700000000056</v>
      </c>
      <c r="BL76" s="325">
        <f t="shared" si="70"/>
        <v>3211.1500000000051</v>
      </c>
      <c r="BM76" s="325">
        <f t="shared" si="70"/>
        <v>2937.5200000000027</v>
      </c>
      <c r="BN76" s="325">
        <f t="shared" si="70"/>
        <v>2662.7200000000012</v>
      </c>
      <c r="BO76" s="325">
        <f t="shared" si="70"/>
        <v>2386.7100000000032</v>
      </c>
      <c r="BP76" s="325">
        <f t="shared" si="70"/>
        <v>2109.4500000000007</v>
      </c>
      <c r="BQ76" s="325">
        <f t="shared" si="70"/>
        <v>1804.5200000000032</v>
      </c>
      <c r="BR76" s="325">
        <f t="shared" si="70"/>
        <v>423.10000000000127</v>
      </c>
      <c r="BS76" s="325">
        <f t="shared" si="70"/>
        <v>148.13000000000011</v>
      </c>
      <c r="BT76" s="325">
        <f t="shared" si="70"/>
        <v>134.22000000000025</v>
      </c>
      <c r="BU76" s="325">
        <f t="shared" ref="BU76:BW76" si="71">BU61+BU54+BU47+BU40+BU33+BU26+BU19+BU12+BU5+BU68</f>
        <v>120.26000000000022</v>
      </c>
      <c r="BV76" s="325">
        <f t="shared" si="71"/>
        <v>106.27999999999975</v>
      </c>
      <c r="BW76" s="325">
        <f t="shared" si="71"/>
        <v>92.279999999998836</v>
      </c>
    </row>
    <row r="78" spans="1:75">
      <c r="G78" s="324"/>
      <c r="H78" s="324"/>
      <c r="P78" s="324">
        <f>SUM(I75:P75)</f>
        <v>691173.62999999989</v>
      </c>
      <c r="Q78" s="324"/>
      <c r="AB78" s="324">
        <f>SUM(Q75:AB75)</f>
        <v>860862.69</v>
      </c>
      <c r="AM78" s="324"/>
      <c r="AN78" s="324">
        <f>SUM(AC75:AN75)</f>
        <v>903991.16</v>
      </c>
      <c r="AZ78" s="324">
        <f>SUM(AO75:AZ75)</f>
        <v>897701.01</v>
      </c>
      <c r="BL78" s="324">
        <f>SUM(BA75:BL75)</f>
        <v>798631.89000000013</v>
      </c>
      <c r="BW78" s="324">
        <f>SUM(BM75:BW75)</f>
        <v>619592</v>
      </c>
    </row>
    <row r="79" spans="1:75">
      <c r="P79" s="324"/>
      <c r="AB79" s="324">
        <f>SUM(Q76:AB76)</f>
        <v>156775.64000000004</v>
      </c>
      <c r="AN79" s="324">
        <f>SUM(AC76:AN76)</f>
        <v>136845.76000000007</v>
      </c>
      <c r="AZ79" s="324">
        <f>SUM(AO76:AZ76)</f>
        <v>95335.110000000015</v>
      </c>
      <c r="BL79" s="324">
        <f>SUM(BA76:BL76)</f>
        <v>56255.190000000046</v>
      </c>
      <c r="BW79" s="324">
        <f>SUM(BM76:BW76)</f>
        <v>12925.190000000013</v>
      </c>
    </row>
    <row r="80" spans="1:75">
      <c r="G80" s="324">
        <f>SUM(G2:G71)</f>
        <v>4771952.38</v>
      </c>
      <c r="P80" s="324">
        <f>G80-P78-P79</f>
        <v>4080778.75</v>
      </c>
      <c r="AB80" s="324">
        <f>P80-AB78</f>
        <v>3219916.06</v>
      </c>
      <c r="AN80" s="324">
        <f>AB80-AN78</f>
        <v>2315924.9</v>
      </c>
      <c r="AZ80" s="324">
        <f>AN80-AZ78</f>
        <v>1418223.89</v>
      </c>
      <c r="BL80" s="324">
        <f>AZ80-BL78</f>
        <v>619591.99999999977</v>
      </c>
      <c r="BW80" s="324">
        <f>BL80-BW78</f>
        <v>0</v>
      </c>
    </row>
    <row r="81" spans="2:75">
      <c r="AB81" s="274"/>
      <c r="AN81" s="324"/>
    </row>
    <row r="82" spans="2:75">
      <c r="F82" s="324"/>
      <c r="G82" s="287" t="s">
        <v>4063</v>
      </c>
      <c r="Q82" s="324">
        <f>Q16+Q23+Q30+Q37+Q51+Q58</f>
        <v>38631.620000000003</v>
      </c>
      <c r="R82" s="324">
        <f t="shared" ref="R82:AA82" si="72">R16+R23+R30+R37+R51+R58</f>
        <v>38809.789999999994</v>
      </c>
      <c r="S82" s="324">
        <f t="shared" si="72"/>
        <v>38988.810000000005</v>
      </c>
      <c r="T82" s="324">
        <f t="shared" si="72"/>
        <v>39168.679999999993</v>
      </c>
      <c r="U82" s="324">
        <f t="shared" si="72"/>
        <v>39349.410000000003</v>
      </c>
      <c r="V82" s="324">
        <f t="shared" si="72"/>
        <v>103821</v>
      </c>
      <c r="W82" s="324">
        <f t="shared" si="72"/>
        <v>49847.850000000006</v>
      </c>
      <c r="X82" s="324">
        <f t="shared" si="72"/>
        <v>50055</v>
      </c>
      <c r="Y82" s="324">
        <f t="shared" si="72"/>
        <v>50260.480000000003</v>
      </c>
      <c r="Z82" s="324">
        <f t="shared" si="72"/>
        <v>48614.19000000001</v>
      </c>
      <c r="AA82" s="324">
        <f t="shared" si="72"/>
        <v>47396.509999999995</v>
      </c>
      <c r="AB82" s="324">
        <f t="shared" ref="AB82" si="73">AB16+AB23+AB30+AB37+AB51+AB58</f>
        <v>47590.41</v>
      </c>
      <c r="AC82" s="324">
        <f>AC16+AC23+AC30+AC37+AC51+AC58</f>
        <v>47785.18</v>
      </c>
      <c r="AD82" s="324">
        <f t="shared" ref="AD82:AM82" si="74">AD16+AD23+AD30+AD37+AD51+AD58</f>
        <v>47980.81</v>
      </c>
      <c r="AE82" s="324">
        <f t="shared" si="74"/>
        <v>48177.319999999992</v>
      </c>
      <c r="AF82" s="324">
        <f t="shared" si="74"/>
        <v>48374.700000000004</v>
      </c>
      <c r="AG82" s="324">
        <f t="shared" si="74"/>
        <v>48572.95</v>
      </c>
      <c r="AH82" s="324">
        <f t="shared" si="74"/>
        <v>48772.09</v>
      </c>
      <c r="AI82" s="324">
        <f t="shared" si="74"/>
        <v>48972.11</v>
      </c>
      <c r="AJ82" s="324">
        <f t="shared" si="74"/>
        <v>49173.020000000004</v>
      </c>
      <c r="AK82" s="324">
        <f t="shared" si="74"/>
        <v>49374.840000000004</v>
      </c>
      <c r="AL82" s="324">
        <f t="shared" si="74"/>
        <v>49577.54</v>
      </c>
      <c r="AM82" s="324">
        <f t="shared" si="74"/>
        <v>49781.16</v>
      </c>
      <c r="AN82" s="324">
        <f t="shared" ref="AN82:BW82" si="75">AN16+AN23+AN30+AN37+AN51+AN58</f>
        <v>49985.66</v>
      </c>
      <c r="AO82" s="324">
        <f t="shared" si="75"/>
        <v>50191.109999999993</v>
      </c>
      <c r="AP82" s="324">
        <f t="shared" si="75"/>
        <v>50397.439999999995</v>
      </c>
      <c r="AQ82" s="324">
        <f t="shared" si="75"/>
        <v>50604.710000000006</v>
      </c>
      <c r="AR82" s="324">
        <f t="shared" si="75"/>
        <v>50812.91</v>
      </c>
      <c r="AS82" s="324">
        <f t="shared" si="75"/>
        <v>51022.030000000006</v>
      </c>
      <c r="AT82" s="324">
        <f t="shared" si="75"/>
        <v>51232.09</v>
      </c>
      <c r="AU82" s="324">
        <f t="shared" si="75"/>
        <v>51443.08</v>
      </c>
      <c r="AV82" s="324">
        <f t="shared" si="75"/>
        <v>51655.030000000006</v>
      </c>
      <c r="AW82" s="324">
        <f t="shared" si="75"/>
        <v>51867.909999999989</v>
      </c>
      <c r="AX82" s="324">
        <f t="shared" si="75"/>
        <v>52081.740000000005</v>
      </c>
      <c r="AY82" s="324">
        <f t="shared" si="75"/>
        <v>52296.54</v>
      </c>
      <c r="AZ82" s="324">
        <f t="shared" si="75"/>
        <v>52512.3</v>
      </c>
      <c r="BA82" s="324">
        <f t="shared" si="75"/>
        <v>52729.03</v>
      </c>
      <c r="BB82" s="324">
        <f t="shared" si="75"/>
        <v>52946.710000000006</v>
      </c>
      <c r="BC82" s="324">
        <f t="shared" si="75"/>
        <v>53165.37999999999</v>
      </c>
      <c r="BD82" s="324">
        <f t="shared" si="75"/>
        <v>53385.03</v>
      </c>
      <c r="BE82" s="324">
        <f t="shared" si="75"/>
        <v>53605.67</v>
      </c>
      <c r="BF82" s="324">
        <f t="shared" si="75"/>
        <v>53827.299999999996</v>
      </c>
      <c r="BG82" s="324">
        <f t="shared" si="75"/>
        <v>54049.909999999996</v>
      </c>
      <c r="BH82" s="324">
        <f t="shared" si="75"/>
        <v>54273.53</v>
      </c>
      <c r="BI82" s="324">
        <f t="shared" si="75"/>
        <v>54498.130000000005</v>
      </c>
      <c r="BJ82" s="324">
        <f t="shared" si="75"/>
        <v>54723.780000000006</v>
      </c>
      <c r="BK82" s="324">
        <f t="shared" si="75"/>
        <v>54950.409999999989</v>
      </c>
      <c r="BL82" s="324">
        <f t="shared" si="75"/>
        <v>55178.060000000005</v>
      </c>
      <c r="BM82" s="324">
        <f t="shared" si="75"/>
        <v>55406.759999999995</v>
      </c>
      <c r="BN82" s="324">
        <f t="shared" si="75"/>
        <v>55636.46</v>
      </c>
      <c r="BO82" s="324">
        <f t="shared" si="75"/>
        <v>55867.199999999997</v>
      </c>
      <c r="BP82" s="324">
        <f t="shared" si="75"/>
        <v>56098.979999999996</v>
      </c>
      <c r="BQ82" s="324">
        <f t="shared" si="75"/>
        <v>54708.509999999995</v>
      </c>
      <c r="BR82" s="324">
        <f t="shared" si="75"/>
        <v>140033.81</v>
      </c>
      <c r="BS82" s="324">
        <f t="shared" si="75"/>
        <v>71790</v>
      </c>
      <c r="BT82" s="324">
        <f t="shared" si="75"/>
        <v>0</v>
      </c>
      <c r="BU82" s="324">
        <f t="shared" si="75"/>
        <v>0</v>
      </c>
      <c r="BV82" s="324">
        <f t="shared" si="75"/>
        <v>0</v>
      </c>
      <c r="BW82" s="324">
        <f t="shared" si="75"/>
        <v>0</v>
      </c>
    </row>
    <row r="83" spans="2:75">
      <c r="B83" s="324"/>
      <c r="F83" s="324"/>
      <c r="G83" s="287" t="s">
        <v>4064</v>
      </c>
      <c r="Q83" s="324">
        <f>Q2+Q9+Q44+Q65</f>
        <v>15055.91</v>
      </c>
      <c r="R83" s="324">
        <f t="shared" ref="R83:AA83" si="76">R2+R9+R44+R65</f>
        <v>15106.82</v>
      </c>
      <c r="S83" s="324">
        <f t="shared" si="76"/>
        <v>15157.91</v>
      </c>
      <c r="T83" s="324">
        <f t="shared" si="76"/>
        <v>15209.170000000002</v>
      </c>
      <c r="U83" s="324">
        <f t="shared" si="76"/>
        <v>31740.63</v>
      </c>
      <c r="V83" s="324">
        <f t="shared" si="76"/>
        <v>20241.410000000003</v>
      </c>
      <c r="W83" s="324">
        <f t="shared" si="76"/>
        <v>20306.219999999998</v>
      </c>
      <c r="X83" s="324">
        <f t="shared" si="76"/>
        <v>20371.240000000002</v>
      </c>
      <c r="Y83" s="324">
        <f t="shared" si="76"/>
        <v>20436.490000000002</v>
      </c>
      <c r="Z83" s="324">
        <f t="shared" si="76"/>
        <v>20501.95</v>
      </c>
      <c r="AA83" s="324">
        <f t="shared" si="76"/>
        <v>20567.64</v>
      </c>
      <c r="AB83" s="324">
        <f t="shared" ref="AB83" si="77">AB2+AB9+AB44+AB65</f>
        <v>53633.55</v>
      </c>
      <c r="AC83" s="324">
        <f>AC2+AC9+AC44+AC65</f>
        <v>26016.31</v>
      </c>
      <c r="AD83" s="324">
        <f t="shared" ref="AD83:AM83" si="78">AD2+AD9+AD44+AD65</f>
        <v>26095.27</v>
      </c>
      <c r="AE83" s="324">
        <f t="shared" si="78"/>
        <v>26174.5</v>
      </c>
      <c r="AF83" s="324">
        <f t="shared" si="78"/>
        <v>26253.97</v>
      </c>
      <c r="AG83" s="324">
        <f t="shared" si="78"/>
        <v>26333.699999999997</v>
      </c>
      <c r="AH83" s="324">
        <f t="shared" si="78"/>
        <v>26413.68</v>
      </c>
      <c r="AI83" s="324">
        <f t="shared" si="78"/>
        <v>26493.93</v>
      </c>
      <c r="AJ83" s="324">
        <f t="shared" si="78"/>
        <v>26574.42</v>
      </c>
      <c r="AK83" s="324">
        <f t="shared" si="78"/>
        <v>26655.19</v>
      </c>
      <c r="AL83" s="324">
        <f t="shared" si="78"/>
        <v>26736.22</v>
      </c>
      <c r="AM83" s="324">
        <f t="shared" si="78"/>
        <v>26817.51</v>
      </c>
      <c r="AN83" s="324">
        <f t="shared" ref="AN83:BW83" si="79">AN2+AN9+AN44+AN65</f>
        <v>26899.08</v>
      </c>
      <c r="AO83" s="324">
        <f t="shared" si="79"/>
        <v>26980.880000000001</v>
      </c>
      <c r="AP83" s="324">
        <f t="shared" si="79"/>
        <v>27062.97</v>
      </c>
      <c r="AQ83" s="324">
        <f t="shared" si="79"/>
        <v>27145.309999999998</v>
      </c>
      <c r="AR83" s="324">
        <f t="shared" si="79"/>
        <v>27227.929999999997</v>
      </c>
      <c r="AS83" s="324">
        <f t="shared" si="79"/>
        <v>27310.82</v>
      </c>
      <c r="AT83" s="324">
        <f t="shared" si="79"/>
        <v>48511.689999999995</v>
      </c>
      <c r="AU83" s="324">
        <f t="shared" si="79"/>
        <v>22213.279999999999</v>
      </c>
      <c r="AV83" s="324">
        <f t="shared" si="79"/>
        <v>22283.120000000003</v>
      </c>
      <c r="AW83" s="324">
        <f t="shared" si="79"/>
        <v>16000.62</v>
      </c>
      <c r="AX83" s="324">
        <f t="shared" si="79"/>
        <v>12239.83</v>
      </c>
      <c r="AY83" s="324">
        <f t="shared" si="79"/>
        <v>12282.44</v>
      </c>
      <c r="AZ83" s="324">
        <f t="shared" si="79"/>
        <v>12325.23</v>
      </c>
      <c r="BA83" s="324">
        <f t="shared" si="79"/>
        <v>12368.16</v>
      </c>
      <c r="BB83" s="324">
        <f t="shared" si="79"/>
        <v>12411.27</v>
      </c>
      <c r="BC83" s="324">
        <f t="shared" si="79"/>
        <v>12454.53</v>
      </c>
      <c r="BD83" s="324">
        <f t="shared" si="79"/>
        <v>12497.96</v>
      </c>
      <c r="BE83" s="324">
        <f t="shared" si="79"/>
        <v>12541.55</v>
      </c>
      <c r="BF83" s="324">
        <f t="shared" si="79"/>
        <v>12585.32</v>
      </c>
      <c r="BG83" s="324">
        <f t="shared" si="79"/>
        <v>12629.240000000002</v>
      </c>
      <c r="BH83" s="324">
        <f t="shared" si="79"/>
        <v>12673.33</v>
      </c>
      <c r="BI83" s="324">
        <f t="shared" si="79"/>
        <v>12717.59</v>
      </c>
      <c r="BJ83" s="324">
        <f t="shared" si="79"/>
        <v>12762.009999999998</v>
      </c>
      <c r="BK83" s="324">
        <f t="shared" si="79"/>
        <v>12806.61</v>
      </c>
      <c r="BL83" s="324">
        <f t="shared" si="79"/>
        <v>12851.38</v>
      </c>
      <c r="BM83" s="324">
        <f t="shared" si="79"/>
        <v>12896.310000000001</v>
      </c>
      <c r="BN83" s="324">
        <f t="shared" si="79"/>
        <v>12941.41</v>
      </c>
      <c r="BO83" s="324">
        <f t="shared" si="79"/>
        <v>12986.68</v>
      </c>
      <c r="BP83" s="324">
        <f t="shared" si="79"/>
        <v>13032.16</v>
      </c>
      <c r="BQ83" s="324">
        <f t="shared" si="79"/>
        <v>9833.67</v>
      </c>
      <c r="BR83" s="324">
        <f t="shared" si="79"/>
        <v>5858.52</v>
      </c>
      <c r="BS83" s="324">
        <f t="shared" si="79"/>
        <v>5872.41</v>
      </c>
      <c r="BT83" s="324">
        <f t="shared" si="79"/>
        <v>5886.32</v>
      </c>
      <c r="BU83" s="324">
        <f t="shared" si="79"/>
        <v>5900.28</v>
      </c>
      <c r="BV83" s="324">
        <f t="shared" si="79"/>
        <v>5914.26</v>
      </c>
      <c r="BW83" s="324">
        <f t="shared" si="79"/>
        <v>38928.26</v>
      </c>
    </row>
    <row r="85" spans="2:75">
      <c r="G85" s="287" t="s">
        <v>4065</v>
      </c>
      <c r="Q85" s="324">
        <f t="shared" ref="Q85:AN85" si="80">Q19+Q26+Q33+Q40+Q54+Q61</f>
        <v>11118.990000000002</v>
      </c>
      <c r="R85" s="324">
        <f t="shared" si="80"/>
        <v>10940.820000000003</v>
      </c>
      <c r="S85" s="324">
        <f t="shared" si="80"/>
        <v>10761.800000000003</v>
      </c>
      <c r="T85" s="324">
        <f t="shared" si="80"/>
        <v>10581.93</v>
      </c>
      <c r="U85" s="324">
        <f t="shared" si="80"/>
        <v>10401.200000000001</v>
      </c>
      <c r="V85" s="324">
        <f t="shared" si="80"/>
        <v>10219.610000000002</v>
      </c>
      <c r="W85" s="324">
        <f t="shared" si="80"/>
        <v>11397.380000000005</v>
      </c>
      <c r="X85" s="324">
        <f t="shared" si="80"/>
        <v>11190.230000000003</v>
      </c>
      <c r="Y85" s="324">
        <f t="shared" si="80"/>
        <v>10984.750000000002</v>
      </c>
      <c r="Z85" s="324">
        <f t="shared" si="80"/>
        <v>10765.900000000001</v>
      </c>
      <c r="AA85" s="324">
        <f t="shared" si="80"/>
        <v>10572.850000000002</v>
      </c>
      <c r="AB85" s="324">
        <f t="shared" si="80"/>
        <v>10378.950000000001</v>
      </c>
      <c r="AC85" s="324">
        <f t="shared" si="80"/>
        <v>10184.180000000004</v>
      </c>
      <c r="AD85" s="324">
        <f t="shared" si="80"/>
        <v>9988.5500000000029</v>
      </c>
      <c r="AE85" s="324">
        <f t="shared" si="80"/>
        <v>9792.0400000000045</v>
      </c>
      <c r="AF85" s="324">
        <f t="shared" si="80"/>
        <v>9594.6600000000017</v>
      </c>
      <c r="AG85" s="324">
        <f t="shared" si="80"/>
        <v>9396.4100000000035</v>
      </c>
      <c r="AH85" s="324">
        <f t="shared" si="80"/>
        <v>9197.2700000000023</v>
      </c>
      <c r="AI85" s="324">
        <f t="shared" si="80"/>
        <v>8997.2500000000036</v>
      </c>
      <c r="AJ85" s="324">
        <f t="shared" si="80"/>
        <v>8796.3400000000038</v>
      </c>
      <c r="AK85" s="324">
        <f t="shared" si="80"/>
        <v>8594.5200000000023</v>
      </c>
      <c r="AL85" s="324">
        <f t="shared" si="80"/>
        <v>8391.8200000000033</v>
      </c>
      <c r="AM85" s="324">
        <f t="shared" si="80"/>
        <v>8188.2000000000035</v>
      </c>
      <c r="AN85" s="324">
        <f t="shared" si="80"/>
        <v>7983.7000000000025</v>
      </c>
      <c r="AO85" s="324">
        <f t="shared" ref="AO85:BW85" si="81">AO19+AO26+AO33+AO40+AO54+AO61</f>
        <v>7778.2500000000055</v>
      </c>
      <c r="AP85" s="324">
        <f t="shared" si="81"/>
        <v>7571.9200000000028</v>
      </c>
      <c r="AQ85" s="324">
        <f t="shared" si="81"/>
        <v>7364.65</v>
      </c>
      <c r="AR85" s="324">
        <f t="shared" si="81"/>
        <v>7156.4500000000035</v>
      </c>
      <c r="AS85" s="324">
        <f t="shared" si="81"/>
        <v>6947.3300000000027</v>
      </c>
      <c r="AT85" s="324">
        <f t="shared" si="81"/>
        <v>6737.2700000000013</v>
      </c>
      <c r="AU85" s="324">
        <f t="shared" si="81"/>
        <v>6526.2800000000043</v>
      </c>
      <c r="AV85" s="324">
        <f t="shared" si="81"/>
        <v>6314.3300000000017</v>
      </c>
      <c r="AW85" s="324">
        <f t="shared" si="81"/>
        <v>6101.4500000000044</v>
      </c>
      <c r="AX85" s="324">
        <f t="shared" si="81"/>
        <v>5887.6200000000026</v>
      </c>
      <c r="AY85" s="324">
        <f t="shared" si="81"/>
        <v>5672.8200000000015</v>
      </c>
      <c r="AZ85" s="324">
        <f t="shared" si="81"/>
        <v>5457.060000000004</v>
      </c>
      <c r="BA85" s="324">
        <f t="shared" si="81"/>
        <v>5240.3300000000027</v>
      </c>
      <c r="BB85" s="324">
        <f t="shared" si="81"/>
        <v>5022.6500000000024</v>
      </c>
      <c r="BC85" s="324">
        <f t="shared" si="81"/>
        <v>4803.9800000000041</v>
      </c>
      <c r="BD85" s="324">
        <f t="shared" si="81"/>
        <v>4584.3300000000036</v>
      </c>
      <c r="BE85" s="324">
        <f t="shared" si="81"/>
        <v>4363.6900000000014</v>
      </c>
      <c r="BF85" s="324">
        <f t="shared" si="81"/>
        <v>4142.0600000000068</v>
      </c>
      <c r="BG85" s="324">
        <f t="shared" si="81"/>
        <v>3919.4500000000039</v>
      </c>
      <c r="BH85" s="324">
        <f t="shared" si="81"/>
        <v>3695.8300000000045</v>
      </c>
      <c r="BI85" s="324">
        <f t="shared" si="81"/>
        <v>3471.2300000000014</v>
      </c>
      <c r="BJ85" s="324">
        <f t="shared" si="81"/>
        <v>3245.5800000000008</v>
      </c>
      <c r="BK85" s="324">
        <f t="shared" si="81"/>
        <v>3018.9500000000057</v>
      </c>
      <c r="BL85" s="324">
        <f t="shared" si="81"/>
        <v>2791.3000000000047</v>
      </c>
      <c r="BM85" s="324">
        <f t="shared" si="81"/>
        <v>2562.6000000000035</v>
      </c>
      <c r="BN85" s="324">
        <f t="shared" si="81"/>
        <v>2332.9000000000024</v>
      </c>
      <c r="BO85" s="324">
        <f t="shared" si="81"/>
        <v>2102.1600000000039</v>
      </c>
      <c r="BP85" s="324">
        <f t="shared" si="81"/>
        <v>1870.3800000000019</v>
      </c>
      <c r="BQ85" s="324">
        <f t="shared" si="81"/>
        <v>1628.6500000000033</v>
      </c>
      <c r="BR85" s="324">
        <f t="shared" si="81"/>
        <v>261.08000000000175</v>
      </c>
      <c r="BS85" s="324">
        <f t="shared" si="81"/>
        <v>0</v>
      </c>
      <c r="BT85" s="324">
        <f t="shared" si="81"/>
        <v>0</v>
      </c>
      <c r="BU85" s="324">
        <f t="shared" si="81"/>
        <v>0</v>
      </c>
      <c r="BV85" s="324">
        <f t="shared" si="81"/>
        <v>0</v>
      </c>
      <c r="BW85" s="324">
        <f t="shared" si="81"/>
        <v>0</v>
      </c>
    </row>
    <row r="86" spans="2:75">
      <c r="G86" s="287" t="s">
        <v>4066</v>
      </c>
      <c r="Q86" s="324">
        <f>Q5+Q12+Q47+Q68</f>
        <v>2361.0100000000002</v>
      </c>
      <c r="R86" s="324">
        <f t="shared" ref="R86:AA86" si="82">R5+R12+R47+R68</f>
        <v>2310.0999999999995</v>
      </c>
      <c r="S86" s="324">
        <f t="shared" si="82"/>
        <v>2259.0100000000002</v>
      </c>
      <c r="T86" s="324">
        <f t="shared" si="82"/>
        <v>2207.7499999999982</v>
      </c>
      <c r="U86" s="324">
        <f t="shared" si="82"/>
        <v>2156.2899999999991</v>
      </c>
      <c r="V86" s="324">
        <f t="shared" si="82"/>
        <v>2505.0999999999985</v>
      </c>
      <c r="W86" s="324">
        <f t="shared" si="82"/>
        <v>2440.29</v>
      </c>
      <c r="X86" s="324">
        <f t="shared" si="82"/>
        <v>2375.2699999999995</v>
      </c>
      <c r="Y86" s="324">
        <f t="shared" si="82"/>
        <v>2310.0199999999986</v>
      </c>
      <c r="Z86" s="324">
        <f t="shared" si="82"/>
        <v>2244.5599999999995</v>
      </c>
      <c r="AA86" s="324">
        <f t="shared" si="82"/>
        <v>2178.87</v>
      </c>
      <c r="AB86" s="324">
        <f t="shared" ref="AB86" si="83">AB5+AB12+AB47+AB68</f>
        <v>2112.9599999999991</v>
      </c>
      <c r="AC86" s="324">
        <f>AC5+AC12+AC47+AC68</f>
        <v>2750.74</v>
      </c>
      <c r="AD86" s="324">
        <f t="shared" ref="AD86:AM86" si="84">AD5+AD12+AD47+AD68</f>
        <v>2671.7799999999997</v>
      </c>
      <c r="AE86" s="324">
        <f t="shared" si="84"/>
        <v>2592.5499999999993</v>
      </c>
      <c r="AF86" s="324">
        <f t="shared" si="84"/>
        <v>2513.0799999999981</v>
      </c>
      <c r="AG86" s="324">
        <f t="shared" si="84"/>
        <v>2433.3499999999995</v>
      </c>
      <c r="AH86" s="324">
        <f t="shared" si="84"/>
        <v>2353.369999999999</v>
      </c>
      <c r="AI86" s="324">
        <f t="shared" si="84"/>
        <v>2273.12</v>
      </c>
      <c r="AJ86" s="324">
        <f t="shared" si="84"/>
        <v>2192.6299999999992</v>
      </c>
      <c r="AK86" s="324">
        <f t="shared" si="84"/>
        <v>2111.8599999999997</v>
      </c>
      <c r="AL86" s="324">
        <f t="shared" si="84"/>
        <v>2030.829999999999</v>
      </c>
      <c r="AM86" s="324">
        <f t="shared" si="84"/>
        <v>1949.5399999999991</v>
      </c>
      <c r="AN86" s="324">
        <f t="shared" ref="AN86:BW86" si="85">AN5+AN12+AN47+AN68</f>
        <v>1867.9699999999984</v>
      </c>
      <c r="AO86" s="324">
        <f t="shared" si="85"/>
        <v>1786.1699999999992</v>
      </c>
      <c r="AP86" s="324">
        <f t="shared" si="85"/>
        <v>1704.079999999999</v>
      </c>
      <c r="AQ86" s="324">
        <f t="shared" si="85"/>
        <v>1621.7399999999989</v>
      </c>
      <c r="AR86" s="324">
        <f t="shared" si="85"/>
        <v>1539.12</v>
      </c>
      <c r="AS86" s="324">
        <f t="shared" si="85"/>
        <v>1456.2299999999987</v>
      </c>
      <c r="AT86" s="324">
        <f t="shared" si="85"/>
        <v>1293.7699999999995</v>
      </c>
      <c r="AU86" s="324">
        <f t="shared" si="85"/>
        <v>1224.1799999999994</v>
      </c>
      <c r="AV86" s="324">
        <f t="shared" si="85"/>
        <v>1154.3399999999983</v>
      </c>
      <c r="AW86" s="324">
        <f t="shared" si="85"/>
        <v>1073.8599999999997</v>
      </c>
      <c r="AX86" s="324">
        <f t="shared" si="85"/>
        <v>1031.3999999999996</v>
      </c>
      <c r="AY86" s="324">
        <f t="shared" si="85"/>
        <v>988.78999999999905</v>
      </c>
      <c r="AZ86" s="324">
        <f t="shared" si="85"/>
        <v>945.99999999999909</v>
      </c>
      <c r="BA86" s="324">
        <f t="shared" si="85"/>
        <v>903.06999999999971</v>
      </c>
      <c r="BB86" s="324">
        <f t="shared" si="85"/>
        <v>859.95999999999913</v>
      </c>
      <c r="BC86" s="324">
        <f t="shared" si="85"/>
        <v>816.69999999999891</v>
      </c>
      <c r="BD86" s="324">
        <f t="shared" si="85"/>
        <v>773.26999999999953</v>
      </c>
      <c r="BE86" s="324">
        <f t="shared" si="85"/>
        <v>729.67999999999938</v>
      </c>
      <c r="BF86" s="324">
        <f t="shared" si="85"/>
        <v>685.90999999999985</v>
      </c>
      <c r="BG86" s="324">
        <f t="shared" si="85"/>
        <v>641.98999999999887</v>
      </c>
      <c r="BH86" s="324">
        <f t="shared" si="85"/>
        <v>597.89999999999964</v>
      </c>
      <c r="BI86" s="324">
        <f t="shared" si="85"/>
        <v>553.63999999999942</v>
      </c>
      <c r="BJ86" s="324">
        <f t="shared" si="85"/>
        <v>509.22000000000025</v>
      </c>
      <c r="BK86" s="324">
        <f t="shared" si="85"/>
        <v>464.61999999999989</v>
      </c>
      <c r="BL86" s="324">
        <f t="shared" si="85"/>
        <v>419.85000000000036</v>
      </c>
      <c r="BM86" s="324">
        <f t="shared" si="85"/>
        <v>374.91999999999916</v>
      </c>
      <c r="BN86" s="324">
        <f t="shared" si="85"/>
        <v>329.8199999999988</v>
      </c>
      <c r="BO86" s="324">
        <f t="shared" si="85"/>
        <v>284.54999999999927</v>
      </c>
      <c r="BP86" s="324">
        <f t="shared" si="85"/>
        <v>239.0699999999988</v>
      </c>
      <c r="BQ86" s="324">
        <f t="shared" si="85"/>
        <v>175.86999999999989</v>
      </c>
      <c r="BR86" s="324">
        <f t="shared" si="85"/>
        <v>162.01999999999953</v>
      </c>
      <c r="BS86" s="324">
        <f t="shared" si="85"/>
        <v>148.13000000000011</v>
      </c>
      <c r="BT86" s="324">
        <f t="shared" si="85"/>
        <v>134.22000000000025</v>
      </c>
      <c r="BU86" s="324">
        <f t="shared" si="85"/>
        <v>120.26000000000022</v>
      </c>
      <c r="BV86" s="324">
        <f t="shared" si="85"/>
        <v>106.27999999999975</v>
      </c>
      <c r="BW86" s="324">
        <f t="shared" si="85"/>
        <v>92.279999999998836</v>
      </c>
    </row>
    <row r="88" spans="2:75">
      <c r="G88" s="287" t="s">
        <v>4063</v>
      </c>
      <c r="AB88" s="324">
        <f>SUM(Q82:AB82)</f>
        <v>592533.75</v>
      </c>
      <c r="AN88" s="324">
        <f>SUM(AC82:AN82)</f>
        <v>586527.38000000012</v>
      </c>
      <c r="AZ88" s="324">
        <f>SUM(AO82:AZ82)</f>
        <v>616116.89000000013</v>
      </c>
      <c r="BL88" s="324">
        <f>SUM(BA82:BL82)</f>
        <v>647332.94000000006</v>
      </c>
      <c r="BW88" s="324">
        <f>SUM(BM82:BW82)</f>
        <v>489541.72</v>
      </c>
    </row>
    <row r="89" spans="2:75">
      <c r="G89" s="287" t="s">
        <v>4064</v>
      </c>
      <c r="AB89" s="324">
        <f>SUM(Q83:AB83)</f>
        <v>268328.94</v>
      </c>
      <c r="AN89" s="324">
        <f>SUM(AC83:AN83)</f>
        <v>317463.77999999997</v>
      </c>
      <c r="AZ89" s="324">
        <f>SUM(AO83:AZ83)</f>
        <v>281584.11999999994</v>
      </c>
      <c r="BL89" s="324">
        <f>SUM(BA83:BL83)</f>
        <v>151298.95000000001</v>
      </c>
      <c r="BW89" s="324">
        <f>SUM(BM83:BW83)</f>
        <v>130050.28</v>
      </c>
    </row>
    <row r="91" spans="2:75">
      <c r="G91" s="287" t="s">
        <v>4065</v>
      </c>
      <c r="AB91" s="324">
        <f>SUM(Q85:AB85)</f>
        <v>129314.41000000002</v>
      </c>
      <c r="AN91" s="324">
        <f>SUM(AC85:AN85)</f>
        <v>109104.94000000005</v>
      </c>
      <c r="AZ91" s="324">
        <f>SUM(AO85:AZ85)</f>
        <v>79515.430000000037</v>
      </c>
      <c r="BL91" s="324">
        <f>SUM(BA85:BL85)</f>
        <v>48299.380000000041</v>
      </c>
      <c r="BW91" s="324">
        <f>SUM(BM85:BW85)</f>
        <v>10757.770000000017</v>
      </c>
    </row>
    <row r="92" spans="2:75">
      <c r="G92" s="287" t="s">
        <v>4066</v>
      </c>
      <c r="AB92" s="324">
        <f>SUM(Q86:AB86)</f>
        <v>27461.229999999992</v>
      </c>
      <c r="AN92" s="324">
        <f>SUM(AC86:AN86)</f>
        <v>27740.819999999989</v>
      </c>
      <c r="AZ92" s="324">
        <f>SUM(AO86:AZ86)</f>
        <v>15819.679999999989</v>
      </c>
      <c r="BL92" s="324">
        <f>SUM(BA86:BL86)</f>
        <v>7955.8099999999949</v>
      </c>
      <c r="BW92" s="324">
        <f>SUM(BM86:BW86)</f>
        <v>2167.4199999999946</v>
      </c>
    </row>
  </sheetData>
  <mergeCells count="2">
    <mergeCell ref="A75:H75"/>
    <mergeCell ref="A76:H76"/>
  </mergeCells>
  <hyperlinks>
    <hyperlink ref="F58" r:id="rId1" display="IDEA_LEASING_Toyota\Umowa_140468.pdf" xr:uid="{00000000-0004-0000-1000-000000000000}"/>
    <hyperlink ref="D58" r:id="rId2" xr:uid="{00000000-0004-0000-1000-000001000000}"/>
    <hyperlink ref="F51" r:id="rId3" display="IDEA_GETIN_System_ppoż\Umowa_166473.pdf" xr:uid="{00000000-0004-0000-1000-000002000000}"/>
    <hyperlink ref="D51" r:id="rId4" xr:uid="{00000000-0004-0000-1000-000003000000}"/>
    <hyperlink ref="F52" r:id="rId5" xr:uid="{00000000-0004-0000-1000-000004000000}"/>
    <hyperlink ref="F44" r:id="rId6" xr:uid="{00000000-0004-0000-1000-000005000000}"/>
    <hyperlink ref="D44" r:id="rId7" xr:uid="{00000000-0004-0000-1000-000006000000}"/>
    <hyperlink ref="F37" r:id="rId8" xr:uid="{00000000-0004-0000-1000-000007000000}"/>
    <hyperlink ref="D37" r:id="rId9" xr:uid="{00000000-0004-0000-1000-000008000000}"/>
    <hyperlink ref="F30" r:id="rId10" display="SGEquipment_zamiatarka\Umowa_73304.pdf" xr:uid="{00000000-0004-0000-1000-000009000000}"/>
    <hyperlink ref="D30" r:id="rId11" xr:uid="{00000000-0004-0000-1000-00000A000000}"/>
    <hyperlink ref="F23" r:id="rId12" display="SGEquipment_spycharka\Umowa_76851.pdf" xr:uid="{00000000-0004-0000-1000-00000B000000}"/>
    <hyperlink ref="D23" r:id="rId13" xr:uid="{00000000-0004-0000-1000-00000C000000}"/>
    <hyperlink ref="F16" r:id="rId14" display="Millennium_ładowarka\Umowa_316083.pdf" xr:uid="{00000000-0004-0000-1000-00000D000000}"/>
    <hyperlink ref="D16" r:id="rId15" xr:uid="{00000000-0004-0000-1000-00000E000000}"/>
    <hyperlink ref="F9" r:id="rId16" display="Millennium_ST5157R\Umowa_315289.pdf" xr:uid="{00000000-0004-0000-1000-00000F000000}"/>
    <hyperlink ref="D9" r:id="rId17" xr:uid="{00000000-0004-0000-1000-000010000000}"/>
    <hyperlink ref="F2" r:id="rId18" display="Millennium_ST9437K\Umowa_298066.pdf" xr:uid="{00000000-0004-0000-1000-000011000000}"/>
    <hyperlink ref="D2" r:id="rId19" xr:uid="{00000000-0004-0000-1000-000012000000}"/>
    <hyperlink ref="F65" r:id="rId20" display="Millennium_maszyna przeładunkowa\Umowa.pdf" xr:uid="{00000000-0004-0000-1000-000013000000}"/>
    <hyperlink ref="D65" r:id="rId21" xr:uid="{00000000-0004-0000-1000-000014000000}"/>
  </hyperlinks>
  <pageMargins left="0.23622047244094491" right="0.23622047244094491" top="0.74803149606299213" bottom="0.74803149606299213" header="0.31496062992125984" footer="0.31496062992125984"/>
  <pageSetup paperSize="8" scale="27" orientation="landscape" r:id="rId2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FQ59"/>
  <sheetViews>
    <sheetView topLeftCell="A2" workbookViewId="0">
      <pane xSplit="2" topLeftCell="C1" activePane="topRight" state="frozen"/>
      <selection pane="topRight" activeCell="E26" sqref="E26"/>
    </sheetView>
  </sheetViews>
  <sheetFormatPr defaultColWidth="8.85546875" defaultRowHeight="12.75" outlineLevelCol="1"/>
  <cols>
    <col min="1" max="1" width="14.85546875" style="355" customWidth="1"/>
    <col min="2" max="2" width="35" style="355" bestFit="1" customWidth="1"/>
    <col min="3" max="3" width="19.28515625" style="355" customWidth="1"/>
    <col min="4" max="4" width="13.42578125" style="355" customWidth="1" outlineLevel="1"/>
    <col min="5" max="16" width="12.42578125" style="355" customWidth="1" outlineLevel="1"/>
    <col min="17" max="81" width="12.42578125" style="355" bestFit="1" customWidth="1"/>
    <col min="82" max="82" width="11.42578125" style="355" bestFit="1" customWidth="1"/>
    <col min="83" max="173" width="12.42578125" style="355" bestFit="1" customWidth="1"/>
    <col min="174" max="16384" width="8.85546875" style="355"/>
  </cols>
  <sheetData>
    <row r="1" spans="1:173" hidden="1">
      <c r="A1" s="356" t="s">
        <v>386</v>
      </c>
    </row>
    <row r="4" spans="1:173">
      <c r="A4" s="380" t="s">
        <v>387</v>
      </c>
      <c r="B4" s="382"/>
      <c r="C4" s="357" t="s">
        <v>388</v>
      </c>
      <c r="D4" s="358" t="s">
        <v>389</v>
      </c>
      <c r="E4" s="358">
        <v>43831</v>
      </c>
      <c r="F4" s="358">
        <v>43862</v>
      </c>
      <c r="G4" s="358">
        <v>43891</v>
      </c>
      <c r="H4" s="358">
        <v>43922</v>
      </c>
      <c r="I4" s="358">
        <v>43952</v>
      </c>
      <c r="J4" s="358">
        <v>43983</v>
      </c>
      <c r="K4" s="358">
        <v>44013</v>
      </c>
      <c r="L4" s="358">
        <v>44044</v>
      </c>
      <c r="M4" s="358">
        <v>44075</v>
      </c>
      <c r="N4" s="358">
        <v>44105</v>
      </c>
      <c r="O4" s="358">
        <v>44136</v>
      </c>
      <c r="P4" s="358">
        <v>44166</v>
      </c>
      <c r="Q4" s="359" t="s">
        <v>390</v>
      </c>
      <c r="R4" s="358">
        <v>44197</v>
      </c>
      <c r="S4" s="358">
        <v>44228</v>
      </c>
      <c r="T4" s="358">
        <v>44256</v>
      </c>
      <c r="U4" s="358">
        <v>44287</v>
      </c>
      <c r="V4" s="358">
        <v>44317</v>
      </c>
      <c r="W4" s="358">
        <v>44348</v>
      </c>
      <c r="X4" s="358">
        <v>44378</v>
      </c>
      <c r="Y4" s="358">
        <v>44409</v>
      </c>
      <c r="Z4" s="358">
        <v>44440</v>
      </c>
      <c r="AA4" s="358">
        <v>44470</v>
      </c>
      <c r="AB4" s="358">
        <v>44501</v>
      </c>
      <c r="AC4" s="358">
        <v>44531</v>
      </c>
      <c r="AD4" s="359" t="s">
        <v>391</v>
      </c>
      <c r="AE4" s="358">
        <v>44562</v>
      </c>
      <c r="AF4" s="358">
        <v>44593</v>
      </c>
      <c r="AG4" s="358">
        <v>44621</v>
      </c>
      <c r="AH4" s="358">
        <v>44652</v>
      </c>
      <c r="AI4" s="358">
        <v>44682</v>
      </c>
      <c r="AJ4" s="358">
        <v>44713</v>
      </c>
      <c r="AK4" s="358">
        <v>44743</v>
      </c>
      <c r="AL4" s="358">
        <v>44774</v>
      </c>
      <c r="AM4" s="358">
        <v>44805</v>
      </c>
      <c r="AN4" s="358">
        <v>44835</v>
      </c>
      <c r="AO4" s="358">
        <v>44866</v>
      </c>
      <c r="AP4" s="358">
        <v>44896</v>
      </c>
      <c r="AQ4" s="359" t="s">
        <v>392</v>
      </c>
      <c r="AR4" s="358">
        <v>44927</v>
      </c>
      <c r="AS4" s="358">
        <v>44958</v>
      </c>
      <c r="AT4" s="358">
        <v>44986</v>
      </c>
      <c r="AU4" s="358">
        <v>45017</v>
      </c>
      <c r="AV4" s="358">
        <v>45047</v>
      </c>
      <c r="AW4" s="358">
        <v>45078</v>
      </c>
      <c r="AX4" s="358">
        <v>45108</v>
      </c>
      <c r="AY4" s="358">
        <v>45139</v>
      </c>
      <c r="AZ4" s="358">
        <v>45170</v>
      </c>
      <c r="BA4" s="358">
        <v>45200</v>
      </c>
      <c r="BB4" s="358">
        <v>45231</v>
      </c>
      <c r="BC4" s="358">
        <v>45261</v>
      </c>
      <c r="BD4" s="358" t="s">
        <v>393</v>
      </c>
      <c r="BE4" s="358">
        <v>45292</v>
      </c>
      <c r="BF4" s="358">
        <v>45323</v>
      </c>
      <c r="BG4" s="358">
        <v>45352</v>
      </c>
      <c r="BH4" s="358">
        <v>45383</v>
      </c>
      <c r="BI4" s="358">
        <v>45413</v>
      </c>
      <c r="BJ4" s="358">
        <v>45444</v>
      </c>
      <c r="BK4" s="358">
        <v>45474</v>
      </c>
      <c r="BL4" s="358">
        <v>45505</v>
      </c>
      <c r="BM4" s="358">
        <v>45536</v>
      </c>
      <c r="BN4" s="358">
        <v>45566</v>
      </c>
      <c r="BO4" s="358">
        <v>45597</v>
      </c>
      <c r="BP4" s="358">
        <v>45627</v>
      </c>
      <c r="BQ4" s="358" t="s">
        <v>394</v>
      </c>
      <c r="BR4" s="358">
        <v>45658</v>
      </c>
      <c r="BS4" s="358">
        <v>45689</v>
      </c>
      <c r="BT4" s="358">
        <v>45717</v>
      </c>
      <c r="BU4" s="358">
        <v>45748</v>
      </c>
      <c r="BV4" s="358">
        <v>45778</v>
      </c>
      <c r="BW4" s="358">
        <v>45809</v>
      </c>
      <c r="BX4" s="358">
        <v>45839</v>
      </c>
      <c r="BY4" s="358">
        <v>45870</v>
      </c>
      <c r="BZ4" s="358">
        <v>45901</v>
      </c>
      <c r="CA4" s="358">
        <v>45931</v>
      </c>
      <c r="CB4" s="358">
        <v>45962</v>
      </c>
      <c r="CC4" s="358">
        <v>45992</v>
      </c>
      <c r="CD4" s="358" t="s">
        <v>395</v>
      </c>
      <c r="CE4" s="358">
        <v>46023</v>
      </c>
      <c r="CF4" s="358">
        <v>46054</v>
      </c>
      <c r="CG4" s="358">
        <v>46082</v>
      </c>
      <c r="CH4" s="358">
        <v>46113</v>
      </c>
      <c r="CI4" s="358">
        <v>46143</v>
      </c>
      <c r="CJ4" s="358">
        <v>46174</v>
      </c>
      <c r="CK4" s="358">
        <v>46204</v>
      </c>
      <c r="CL4" s="358">
        <v>46235</v>
      </c>
      <c r="CM4" s="358">
        <v>46266</v>
      </c>
      <c r="CN4" s="358">
        <v>46296</v>
      </c>
      <c r="CO4" s="358">
        <v>46327</v>
      </c>
      <c r="CP4" s="358">
        <v>46357</v>
      </c>
      <c r="CQ4" s="358" t="s">
        <v>396</v>
      </c>
      <c r="CR4" s="358">
        <v>46388</v>
      </c>
      <c r="CS4" s="358">
        <v>46419</v>
      </c>
      <c r="CT4" s="358">
        <v>46447</v>
      </c>
      <c r="CU4" s="358">
        <v>46478</v>
      </c>
      <c r="CV4" s="358">
        <v>46508</v>
      </c>
      <c r="CW4" s="358">
        <v>46539</v>
      </c>
      <c r="CX4" s="358">
        <v>46569</v>
      </c>
      <c r="CY4" s="358">
        <v>46600</v>
      </c>
      <c r="CZ4" s="358">
        <v>46631</v>
      </c>
      <c r="DA4" s="358">
        <v>46661</v>
      </c>
      <c r="DB4" s="358">
        <v>46692</v>
      </c>
      <c r="DC4" s="358">
        <v>46722</v>
      </c>
      <c r="DD4" s="358" t="s">
        <v>397</v>
      </c>
      <c r="DE4" s="358">
        <v>46753</v>
      </c>
      <c r="DF4" s="358">
        <v>46784</v>
      </c>
      <c r="DG4" s="358">
        <v>46813</v>
      </c>
      <c r="DH4" s="358">
        <v>46844</v>
      </c>
      <c r="DI4" s="358">
        <v>46874</v>
      </c>
      <c r="DJ4" s="358">
        <v>46905</v>
      </c>
      <c r="DK4" s="358">
        <v>46935</v>
      </c>
      <c r="DL4" s="358">
        <v>46966</v>
      </c>
      <c r="DM4" s="358">
        <v>46997</v>
      </c>
      <c r="DN4" s="358">
        <v>47027</v>
      </c>
      <c r="DO4" s="358">
        <v>47058</v>
      </c>
      <c r="DP4" s="358">
        <v>47088</v>
      </c>
      <c r="DQ4" s="358" t="s">
        <v>398</v>
      </c>
      <c r="DR4" s="358">
        <v>47119</v>
      </c>
      <c r="DS4" s="358">
        <v>47150</v>
      </c>
      <c r="DT4" s="358">
        <v>47178</v>
      </c>
      <c r="DU4" s="358">
        <v>47209</v>
      </c>
      <c r="DV4" s="358">
        <v>47239</v>
      </c>
      <c r="DW4" s="358">
        <v>47270</v>
      </c>
      <c r="DX4" s="358">
        <v>47300</v>
      </c>
      <c r="DY4" s="358">
        <v>47331</v>
      </c>
      <c r="DZ4" s="358">
        <v>47362</v>
      </c>
      <c r="EA4" s="358">
        <v>47392</v>
      </c>
      <c r="EB4" s="358">
        <v>47423</v>
      </c>
      <c r="EC4" s="358">
        <v>47453</v>
      </c>
      <c r="ED4" s="358" t="s">
        <v>399</v>
      </c>
      <c r="EE4" s="358">
        <v>47484</v>
      </c>
      <c r="EF4" s="358">
        <v>47515</v>
      </c>
      <c r="EG4" s="358">
        <v>47543</v>
      </c>
      <c r="EH4" s="358">
        <v>47574</v>
      </c>
      <c r="EI4" s="358">
        <v>47604</v>
      </c>
      <c r="EJ4" s="358">
        <v>47635</v>
      </c>
      <c r="EK4" s="358">
        <v>47665</v>
      </c>
      <c r="EL4" s="358">
        <v>47696</v>
      </c>
      <c r="EM4" s="358">
        <v>47727</v>
      </c>
      <c r="EN4" s="358">
        <v>47757</v>
      </c>
      <c r="EO4" s="358">
        <v>47788</v>
      </c>
      <c r="EP4" s="358">
        <v>47818</v>
      </c>
      <c r="EQ4" s="358" t="s">
        <v>400</v>
      </c>
      <c r="ER4" s="358">
        <v>47849</v>
      </c>
      <c r="ES4" s="358">
        <v>47880</v>
      </c>
      <c r="ET4" s="358">
        <v>47908</v>
      </c>
      <c r="EU4" s="358">
        <v>47939</v>
      </c>
      <c r="EV4" s="358">
        <v>47969</v>
      </c>
      <c r="EW4" s="358">
        <v>48000</v>
      </c>
      <c r="EX4" s="358">
        <v>48030</v>
      </c>
      <c r="EY4" s="358">
        <v>48061</v>
      </c>
      <c r="EZ4" s="358">
        <v>48092</v>
      </c>
      <c r="FA4" s="358">
        <v>48122</v>
      </c>
      <c r="FB4" s="358">
        <v>48153</v>
      </c>
      <c r="FC4" s="358">
        <v>48183</v>
      </c>
      <c r="FD4" s="358" t="s">
        <v>401</v>
      </c>
      <c r="FE4" s="358">
        <v>48214</v>
      </c>
      <c r="FF4" s="358">
        <v>48245</v>
      </c>
      <c r="FG4" s="358">
        <v>48274</v>
      </c>
      <c r="FH4" s="358">
        <v>48305</v>
      </c>
      <c r="FI4" s="358">
        <v>48335</v>
      </c>
      <c r="FJ4" s="358">
        <v>48366</v>
      </c>
      <c r="FK4" s="358">
        <v>48396</v>
      </c>
      <c r="FL4" s="358">
        <v>48427</v>
      </c>
      <c r="FM4" s="358">
        <v>48458</v>
      </c>
      <c r="FN4" s="358">
        <v>48488</v>
      </c>
      <c r="FO4" s="358">
        <v>48519</v>
      </c>
      <c r="FP4" s="358">
        <v>48549</v>
      </c>
      <c r="FQ4" s="358" t="s">
        <v>402</v>
      </c>
    </row>
    <row r="5" spans="1:173">
      <c r="A5" s="381" t="s">
        <v>403</v>
      </c>
      <c r="B5" s="382"/>
    </row>
    <row r="6" spans="1:173">
      <c r="A6" s="360"/>
      <c r="B6" s="346" t="s">
        <v>404</v>
      </c>
      <c r="C6" s="347">
        <v>274891.5</v>
      </c>
      <c r="D6" s="361"/>
      <c r="E6" s="362"/>
      <c r="F6" s="362"/>
      <c r="G6" s="362"/>
      <c r="H6" s="362"/>
      <c r="I6" s="362"/>
      <c r="J6" s="362"/>
      <c r="K6" s="362"/>
      <c r="L6" s="362"/>
      <c r="M6" s="362"/>
      <c r="N6" s="362">
        <v>2545</v>
      </c>
      <c r="O6" s="362">
        <v>2545</v>
      </c>
      <c r="P6" s="362">
        <v>2545</v>
      </c>
      <c r="Q6" s="363">
        <f>SUM(J6:P6)</f>
        <v>7635</v>
      </c>
      <c r="R6" s="362">
        <v>2545</v>
      </c>
      <c r="S6" s="362">
        <v>2545</v>
      </c>
      <c r="T6" s="362">
        <v>2545</v>
      </c>
      <c r="U6" s="362">
        <v>2545</v>
      </c>
      <c r="V6" s="362">
        <v>2545</v>
      </c>
      <c r="W6" s="362">
        <v>2545</v>
      </c>
      <c r="X6" s="362">
        <v>2545</v>
      </c>
      <c r="Y6" s="362">
        <v>2545</v>
      </c>
      <c r="Z6" s="362">
        <v>2545</v>
      </c>
      <c r="AA6" s="362">
        <v>2545</v>
      </c>
      <c r="AB6" s="362">
        <v>2545</v>
      </c>
      <c r="AC6" s="362">
        <v>2545</v>
      </c>
      <c r="AD6" s="362">
        <f>SUM(R6:AC6)</f>
        <v>30540</v>
      </c>
      <c r="AE6" s="362">
        <v>2545</v>
      </c>
      <c r="AF6" s="362">
        <v>2545</v>
      </c>
      <c r="AG6" s="362">
        <v>2545</v>
      </c>
      <c r="AH6" s="362">
        <v>2545</v>
      </c>
      <c r="AI6" s="362">
        <v>2545</v>
      </c>
      <c r="AJ6" s="362">
        <v>2545</v>
      </c>
      <c r="AK6" s="362">
        <v>2545</v>
      </c>
      <c r="AL6" s="362">
        <v>2545</v>
      </c>
      <c r="AM6" s="362">
        <v>2545</v>
      </c>
      <c r="AN6" s="362">
        <v>2545</v>
      </c>
      <c r="AO6" s="362">
        <v>2545</v>
      </c>
      <c r="AP6" s="362">
        <v>2545</v>
      </c>
      <c r="AQ6" s="361"/>
      <c r="AR6" s="362">
        <v>2545</v>
      </c>
      <c r="AS6" s="362">
        <v>2545</v>
      </c>
      <c r="AT6" s="362">
        <v>2545</v>
      </c>
      <c r="AU6" s="362">
        <v>2545</v>
      </c>
      <c r="AV6" s="362">
        <v>2545</v>
      </c>
      <c r="AW6" s="362">
        <v>2545</v>
      </c>
      <c r="AX6" s="362">
        <v>2545</v>
      </c>
      <c r="AY6" s="362">
        <v>2545</v>
      </c>
      <c r="AZ6" s="362">
        <v>2545</v>
      </c>
      <c r="BA6" s="362">
        <v>2545</v>
      </c>
      <c r="BB6" s="362">
        <v>2545</v>
      </c>
      <c r="BC6" s="362">
        <v>2545</v>
      </c>
      <c r="BD6" s="362"/>
      <c r="BE6" s="362">
        <v>2545</v>
      </c>
      <c r="BF6" s="362">
        <v>2545</v>
      </c>
      <c r="BG6" s="362">
        <v>2545</v>
      </c>
      <c r="BH6" s="362">
        <v>2545</v>
      </c>
      <c r="BI6" s="362">
        <v>2545</v>
      </c>
      <c r="BJ6" s="362">
        <v>2545</v>
      </c>
      <c r="BK6" s="362">
        <v>2545</v>
      </c>
      <c r="BL6" s="362">
        <v>2545</v>
      </c>
      <c r="BM6" s="362">
        <v>2545</v>
      </c>
      <c r="BN6" s="362">
        <v>2545</v>
      </c>
      <c r="BO6" s="362">
        <v>2545</v>
      </c>
      <c r="BP6" s="362">
        <v>2545</v>
      </c>
      <c r="BQ6" s="362"/>
      <c r="BR6" s="362">
        <v>2545</v>
      </c>
      <c r="BS6" s="362">
        <v>2545</v>
      </c>
      <c r="BT6" s="362">
        <v>2545</v>
      </c>
      <c r="BU6" s="362">
        <v>2545</v>
      </c>
      <c r="BV6" s="362">
        <v>2545</v>
      </c>
      <c r="BW6" s="362">
        <v>2545</v>
      </c>
      <c r="BX6" s="362">
        <v>2545</v>
      </c>
      <c r="BY6" s="362">
        <v>2545</v>
      </c>
      <c r="BZ6" s="362">
        <v>2545</v>
      </c>
      <c r="CA6" s="362">
        <v>2545</v>
      </c>
      <c r="CB6" s="362">
        <v>2545</v>
      </c>
      <c r="CC6" s="362">
        <v>2545</v>
      </c>
      <c r="CD6" s="362"/>
      <c r="CE6" s="362">
        <v>2545</v>
      </c>
      <c r="CF6" s="362">
        <v>2545</v>
      </c>
      <c r="CG6" s="362">
        <v>2545</v>
      </c>
      <c r="CH6" s="362">
        <v>2545</v>
      </c>
      <c r="CI6" s="362">
        <v>2545</v>
      </c>
      <c r="CJ6" s="362">
        <v>2545</v>
      </c>
      <c r="CK6" s="362">
        <v>2545</v>
      </c>
      <c r="CL6" s="362">
        <v>2545</v>
      </c>
      <c r="CM6" s="362">
        <v>2545</v>
      </c>
      <c r="CN6" s="362">
        <v>2545</v>
      </c>
      <c r="CO6" s="362">
        <v>2545</v>
      </c>
      <c r="CP6" s="362">
        <v>2545</v>
      </c>
      <c r="CQ6" s="362"/>
      <c r="CR6" s="362">
        <v>2545</v>
      </c>
      <c r="CS6" s="362">
        <v>2545</v>
      </c>
      <c r="CT6" s="362">
        <v>2545</v>
      </c>
      <c r="CU6" s="362">
        <v>2545</v>
      </c>
      <c r="CV6" s="362">
        <v>2545</v>
      </c>
      <c r="CW6" s="362">
        <v>2545</v>
      </c>
      <c r="CX6" s="362">
        <v>2545</v>
      </c>
      <c r="CY6" s="362">
        <v>2545</v>
      </c>
      <c r="CZ6" s="362">
        <v>2545</v>
      </c>
      <c r="DA6" s="362">
        <v>2545</v>
      </c>
      <c r="DB6" s="362">
        <v>2545</v>
      </c>
      <c r="DC6" s="362">
        <v>2545</v>
      </c>
      <c r="DD6" s="362"/>
      <c r="DE6" s="362">
        <v>2545</v>
      </c>
      <c r="DF6" s="362">
        <v>2545</v>
      </c>
      <c r="DG6" s="362">
        <v>2545</v>
      </c>
      <c r="DH6" s="362">
        <v>2545</v>
      </c>
      <c r="DI6" s="362">
        <v>2545</v>
      </c>
      <c r="DJ6" s="362">
        <v>2545</v>
      </c>
      <c r="DK6" s="362">
        <v>2545</v>
      </c>
      <c r="DL6" s="362">
        <v>2545</v>
      </c>
      <c r="DM6" s="362">
        <v>2545</v>
      </c>
      <c r="DN6" s="362">
        <v>2545</v>
      </c>
      <c r="DO6" s="362">
        <v>2545</v>
      </c>
      <c r="DP6" s="362">
        <v>2545</v>
      </c>
      <c r="DQ6" s="362"/>
      <c r="DR6" s="362">
        <v>2545</v>
      </c>
      <c r="DS6" s="362">
        <v>2545</v>
      </c>
      <c r="DT6" s="362">
        <v>2545</v>
      </c>
      <c r="DU6" s="362">
        <v>2545</v>
      </c>
      <c r="DV6" s="362">
        <v>2545</v>
      </c>
      <c r="DW6" s="362">
        <v>2545</v>
      </c>
      <c r="DX6" s="362">
        <v>2545</v>
      </c>
      <c r="DY6" s="362">
        <v>2545</v>
      </c>
      <c r="DZ6" s="362">
        <v>2576.5</v>
      </c>
      <c r="EA6" s="362"/>
      <c r="EB6" s="362"/>
      <c r="EC6" s="362"/>
      <c r="ED6" s="362"/>
      <c r="EE6" s="362"/>
      <c r="EF6" s="362"/>
      <c r="EG6" s="362"/>
      <c r="EH6" s="362"/>
      <c r="EI6" s="362"/>
      <c r="EJ6" s="362"/>
      <c r="EK6" s="362"/>
      <c r="EL6" s="362"/>
      <c r="EM6" s="362"/>
      <c r="EN6" s="362"/>
      <c r="EO6" s="362"/>
      <c r="EP6" s="362"/>
      <c r="EQ6" s="362"/>
      <c r="ER6" s="362"/>
      <c r="ES6" s="362"/>
      <c r="ET6" s="362"/>
      <c r="EU6" s="362"/>
      <c r="EV6" s="362"/>
      <c r="EW6" s="362"/>
      <c r="EX6" s="362"/>
      <c r="EY6" s="362"/>
      <c r="EZ6" s="362"/>
      <c r="FA6" s="362"/>
      <c r="FB6" s="362"/>
      <c r="FC6" s="362"/>
      <c r="FD6" s="362"/>
      <c r="FE6" s="362"/>
      <c r="FF6" s="362"/>
      <c r="FG6" s="362"/>
      <c r="FH6" s="362"/>
      <c r="FI6" s="362"/>
      <c r="FJ6" s="362"/>
      <c r="FK6" s="362"/>
      <c r="FL6" s="362"/>
      <c r="FM6" s="362"/>
      <c r="FN6" s="362"/>
      <c r="FO6" s="362"/>
      <c r="FP6" s="362"/>
      <c r="FQ6" s="362"/>
    </row>
    <row r="7" spans="1:173">
      <c r="A7" s="352"/>
      <c r="B7" s="348"/>
      <c r="C7" s="364" t="s">
        <v>405</v>
      </c>
      <c r="D7" s="362">
        <v>0</v>
      </c>
      <c r="E7" s="362"/>
      <c r="F7" s="362"/>
      <c r="G7" s="362"/>
      <c r="H7" s="362"/>
      <c r="I7" s="362"/>
      <c r="J7" s="362">
        <v>274891.5</v>
      </c>
      <c r="K7" s="362">
        <f t="shared" ref="K7:P7" si="0">J7-K6</f>
        <v>274891.5</v>
      </c>
      <c r="L7" s="362">
        <f t="shared" si="0"/>
        <v>274891.5</v>
      </c>
      <c r="M7" s="362">
        <f t="shared" si="0"/>
        <v>274891.5</v>
      </c>
      <c r="N7" s="362">
        <f t="shared" si="0"/>
        <v>272346.5</v>
      </c>
      <c r="O7" s="362">
        <f t="shared" si="0"/>
        <v>269801.5</v>
      </c>
      <c r="P7" s="362">
        <f t="shared" si="0"/>
        <v>267256.5</v>
      </c>
      <c r="Q7" s="362">
        <f>P7</f>
        <v>267256.5</v>
      </c>
      <c r="R7" s="362">
        <f>Q7-R6</f>
        <v>264711.5</v>
      </c>
      <c r="S7" s="362">
        <f t="shared" ref="S7:AC7" si="1">R7-S6</f>
        <v>262166.5</v>
      </c>
      <c r="T7" s="362">
        <f t="shared" si="1"/>
        <v>259621.5</v>
      </c>
      <c r="U7" s="362">
        <f t="shared" si="1"/>
        <v>257076.5</v>
      </c>
      <c r="V7" s="362">
        <f t="shared" si="1"/>
        <v>254531.5</v>
      </c>
      <c r="W7" s="362">
        <f t="shared" si="1"/>
        <v>251986.5</v>
      </c>
      <c r="X7" s="362">
        <f t="shared" si="1"/>
        <v>249441.5</v>
      </c>
      <c r="Y7" s="362">
        <f t="shared" si="1"/>
        <v>246896.5</v>
      </c>
      <c r="Z7" s="362">
        <f t="shared" si="1"/>
        <v>244351.5</v>
      </c>
      <c r="AA7" s="362">
        <f t="shared" si="1"/>
        <v>241806.5</v>
      </c>
      <c r="AB7" s="362">
        <f t="shared" si="1"/>
        <v>239261.5</v>
      </c>
      <c r="AC7" s="362">
        <f t="shared" si="1"/>
        <v>236716.5</v>
      </c>
      <c r="AD7" s="362">
        <f>AC7</f>
        <v>236716.5</v>
      </c>
      <c r="AE7" s="362">
        <f>AD7-AE6</f>
        <v>234171.5</v>
      </c>
      <c r="AF7" s="362">
        <f t="shared" ref="AF7:AP7" si="2">AE7-AF6</f>
        <v>231626.5</v>
      </c>
      <c r="AG7" s="362">
        <f t="shared" si="2"/>
        <v>229081.5</v>
      </c>
      <c r="AH7" s="362">
        <f t="shared" si="2"/>
        <v>226536.5</v>
      </c>
      <c r="AI7" s="362">
        <f t="shared" si="2"/>
        <v>223991.5</v>
      </c>
      <c r="AJ7" s="362">
        <f t="shared" si="2"/>
        <v>221446.5</v>
      </c>
      <c r="AK7" s="362">
        <f t="shared" si="2"/>
        <v>218901.5</v>
      </c>
      <c r="AL7" s="362">
        <f t="shared" si="2"/>
        <v>216356.5</v>
      </c>
      <c r="AM7" s="362">
        <f t="shared" si="2"/>
        <v>213811.5</v>
      </c>
      <c r="AN7" s="362">
        <f t="shared" si="2"/>
        <v>211266.5</v>
      </c>
      <c r="AO7" s="362">
        <f t="shared" si="2"/>
        <v>208721.5</v>
      </c>
      <c r="AP7" s="362">
        <f t="shared" si="2"/>
        <v>206176.5</v>
      </c>
      <c r="AQ7" s="362">
        <f>AP7</f>
        <v>206176.5</v>
      </c>
      <c r="AR7" s="362">
        <f>AQ7-AR6</f>
        <v>203631.5</v>
      </c>
      <c r="AS7" s="362">
        <f t="shared" ref="AS7:BC7" si="3">AR7-AS6</f>
        <v>201086.5</v>
      </c>
      <c r="AT7" s="362">
        <f t="shared" si="3"/>
        <v>198541.5</v>
      </c>
      <c r="AU7" s="362">
        <f t="shared" si="3"/>
        <v>195996.5</v>
      </c>
      <c r="AV7" s="362">
        <f t="shared" si="3"/>
        <v>193451.5</v>
      </c>
      <c r="AW7" s="362">
        <f t="shared" si="3"/>
        <v>190906.5</v>
      </c>
      <c r="AX7" s="362">
        <f t="shared" si="3"/>
        <v>188361.5</v>
      </c>
      <c r="AY7" s="362">
        <f t="shared" si="3"/>
        <v>185816.5</v>
      </c>
      <c r="AZ7" s="362">
        <f t="shared" si="3"/>
        <v>183271.5</v>
      </c>
      <c r="BA7" s="362">
        <f t="shared" si="3"/>
        <v>180726.5</v>
      </c>
      <c r="BB7" s="362">
        <f t="shared" si="3"/>
        <v>178181.5</v>
      </c>
      <c r="BC7" s="362">
        <f t="shared" si="3"/>
        <v>175636.5</v>
      </c>
      <c r="BD7" s="362">
        <f>BC7</f>
        <v>175636.5</v>
      </c>
      <c r="BE7" s="362">
        <f>BD7-BE6</f>
        <v>173091.5</v>
      </c>
      <c r="BF7" s="362">
        <f t="shared" ref="BF7:BP7" si="4">BE7-BF6</f>
        <v>170546.5</v>
      </c>
      <c r="BG7" s="362">
        <f t="shared" si="4"/>
        <v>168001.5</v>
      </c>
      <c r="BH7" s="362">
        <f t="shared" si="4"/>
        <v>165456.5</v>
      </c>
      <c r="BI7" s="362">
        <f t="shared" si="4"/>
        <v>162911.5</v>
      </c>
      <c r="BJ7" s="362">
        <f t="shared" si="4"/>
        <v>160366.5</v>
      </c>
      <c r="BK7" s="362">
        <f t="shared" si="4"/>
        <v>157821.5</v>
      </c>
      <c r="BL7" s="362">
        <f t="shared" si="4"/>
        <v>155276.5</v>
      </c>
      <c r="BM7" s="362">
        <f t="shared" si="4"/>
        <v>152731.5</v>
      </c>
      <c r="BN7" s="362">
        <f t="shared" si="4"/>
        <v>150186.5</v>
      </c>
      <c r="BO7" s="362">
        <f t="shared" si="4"/>
        <v>147641.5</v>
      </c>
      <c r="BP7" s="362">
        <f t="shared" si="4"/>
        <v>145096.5</v>
      </c>
      <c r="BQ7" s="362">
        <f>BP7</f>
        <v>145096.5</v>
      </c>
      <c r="BR7" s="362">
        <f>BQ7-BR6</f>
        <v>142551.5</v>
      </c>
      <c r="BS7" s="362">
        <f t="shared" ref="BS7:CC7" si="5">BR7-BS6</f>
        <v>140006.5</v>
      </c>
      <c r="BT7" s="362">
        <f t="shared" si="5"/>
        <v>137461.5</v>
      </c>
      <c r="BU7" s="362">
        <f t="shared" si="5"/>
        <v>134916.5</v>
      </c>
      <c r="BV7" s="362">
        <f t="shared" si="5"/>
        <v>132371.5</v>
      </c>
      <c r="BW7" s="362">
        <f t="shared" si="5"/>
        <v>129826.5</v>
      </c>
      <c r="BX7" s="362">
        <f t="shared" si="5"/>
        <v>127281.5</v>
      </c>
      <c r="BY7" s="362">
        <f t="shared" si="5"/>
        <v>124736.5</v>
      </c>
      <c r="BZ7" s="362">
        <f t="shared" si="5"/>
        <v>122191.5</v>
      </c>
      <c r="CA7" s="362">
        <f t="shared" si="5"/>
        <v>119646.5</v>
      </c>
      <c r="CB7" s="362">
        <f t="shared" si="5"/>
        <v>117101.5</v>
      </c>
      <c r="CC7" s="362">
        <f t="shared" si="5"/>
        <v>114556.5</v>
      </c>
      <c r="CD7" s="362">
        <f>CC7</f>
        <v>114556.5</v>
      </c>
      <c r="CE7" s="362">
        <f>CD7-CE6</f>
        <v>112011.5</v>
      </c>
      <c r="CF7" s="362">
        <f t="shared" ref="CF7:CP7" si="6">CE7-CF6</f>
        <v>109466.5</v>
      </c>
      <c r="CG7" s="362">
        <f t="shared" si="6"/>
        <v>106921.5</v>
      </c>
      <c r="CH7" s="362">
        <f t="shared" si="6"/>
        <v>104376.5</v>
      </c>
      <c r="CI7" s="362">
        <f t="shared" si="6"/>
        <v>101831.5</v>
      </c>
      <c r="CJ7" s="362">
        <f t="shared" si="6"/>
        <v>99286.5</v>
      </c>
      <c r="CK7" s="362">
        <f t="shared" si="6"/>
        <v>96741.5</v>
      </c>
      <c r="CL7" s="362">
        <f t="shared" si="6"/>
        <v>94196.5</v>
      </c>
      <c r="CM7" s="362">
        <f t="shared" si="6"/>
        <v>91651.5</v>
      </c>
      <c r="CN7" s="362">
        <f t="shared" si="6"/>
        <v>89106.5</v>
      </c>
      <c r="CO7" s="362">
        <f t="shared" si="6"/>
        <v>86561.5</v>
      </c>
      <c r="CP7" s="362">
        <f t="shared" si="6"/>
        <v>84016.5</v>
      </c>
      <c r="CQ7" s="362">
        <f>CP7</f>
        <v>84016.5</v>
      </c>
      <c r="CR7" s="362">
        <f>CQ7-CR6</f>
        <v>81471.5</v>
      </c>
      <c r="CS7" s="362">
        <f t="shared" ref="CS7:DC7" si="7">CR7-CS6</f>
        <v>78926.5</v>
      </c>
      <c r="CT7" s="362">
        <f t="shared" si="7"/>
        <v>76381.5</v>
      </c>
      <c r="CU7" s="362">
        <f t="shared" si="7"/>
        <v>73836.5</v>
      </c>
      <c r="CV7" s="362">
        <f t="shared" si="7"/>
        <v>71291.5</v>
      </c>
      <c r="CW7" s="362">
        <f t="shared" si="7"/>
        <v>68746.5</v>
      </c>
      <c r="CX7" s="362">
        <f t="shared" si="7"/>
        <v>66201.5</v>
      </c>
      <c r="CY7" s="362">
        <f t="shared" si="7"/>
        <v>63656.5</v>
      </c>
      <c r="CZ7" s="362">
        <f t="shared" si="7"/>
        <v>61111.5</v>
      </c>
      <c r="DA7" s="362">
        <f t="shared" si="7"/>
        <v>58566.5</v>
      </c>
      <c r="DB7" s="362">
        <f t="shared" si="7"/>
        <v>56021.5</v>
      </c>
      <c r="DC7" s="362">
        <f t="shared" si="7"/>
        <v>53476.5</v>
      </c>
      <c r="DD7" s="362">
        <f>DC7</f>
        <v>53476.5</v>
      </c>
      <c r="DE7" s="362">
        <f>DD7-DE6</f>
        <v>50931.5</v>
      </c>
      <c r="DF7" s="362">
        <f t="shared" ref="DF7:DP7" si="8">DE7-DF6</f>
        <v>48386.5</v>
      </c>
      <c r="DG7" s="362">
        <f t="shared" si="8"/>
        <v>45841.5</v>
      </c>
      <c r="DH7" s="362">
        <f t="shared" si="8"/>
        <v>43296.5</v>
      </c>
      <c r="DI7" s="362">
        <f t="shared" si="8"/>
        <v>40751.5</v>
      </c>
      <c r="DJ7" s="362">
        <f t="shared" si="8"/>
        <v>38206.5</v>
      </c>
      <c r="DK7" s="362">
        <f t="shared" si="8"/>
        <v>35661.5</v>
      </c>
      <c r="DL7" s="362">
        <f t="shared" si="8"/>
        <v>33116.5</v>
      </c>
      <c r="DM7" s="362">
        <f t="shared" si="8"/>
        <v>30571.5</v>
      </c>
      <c r="DN7" s="362">
        <f t="shared" si="8"/>
        <v>28026.5</v>
      </c>
      <c r="DO7" s="362">
        <f t="shared" si="8"/>
        <v>25481.5</v>
      </c>
      <c r="DP7" s="362">
        <f t="shared" si="8"/>
        <v>22936.5</v>
      </c>
      <c r="DQ7" s="362">
        <f>DP7</f>
        <v>22936.5</v>
      </c>
      <c r="DR7" s="362">
        <f>DQ7-DR6</f>
        <v>20391.5</v>
      </c>
      <c r="DS7" s="362">
        <f t="shared" ref="DS7:EC7" si="9">DR7-DS6</f>
        <v>17846.5</v>
      </c>
      <c r="DT7" s="362">
        <f t="shared" si="9"/>
        <v>15301.5</v>
      </c>
      <c r="DU7" s="362">
        <f t="shared" si="9"/>
        <v>12756.5</v>
      </c>
      <c r="DV7" s="362">
        <f t="shared" si="9"/>
        <v>10211.5</v>
      </c>
      <c r="DW7" s="362">
        <f t="shared" si="9"/>
        <v>7666.5</v>
      </c>
      <c r="DX7" s="362">
        <f t="shared" si="9"/>
        <v>5121.5</v>
      </c>
      <c r="DY7" s="362">
        <f t="shared" si="9"/>
        <v>2576.5</v>
      </c>
      <c r="DZ7" s="362">
        <f t="shared" si="9"/>
        <v>0</v>
      </c>
      <c r="EA7" s="362">
        <f t="shared" si="9"/>
        <v>0</v>
      </c>
      <c r="EB7" s="362">
        <f t="shared" si="9"/>
        <v>0</v>
      </c>
      <c r="EC7" s="362">
        <f t="shared" si="9"/>
        <v>0</v>
      </c>
      <c r="ED7" s="362">
        <f>EC7</f>
        <v>0</v>
      </c>
      <c r="EE7" s="362">
        <f>ED7-EE6</f>
        <v>0</v>
      </c>
      <c r="EF7" s="362">
        <f t="shared" ref="EF7:EP7" si="10">EE7-EF6</f>
        <v>0</v>
      </c>
      <c r="EG7" s="362">
        <f t="shared" si="10"/>
        <v>0</v>
      </c>
      <c r="EH7" s="362">
        <f t="shared" si="10"/>
        <v>0</v>
      </c>
      <c r="EI7" s="362">
        <f t="shared" si="10"/>
        <v>0</v>
      </c>
      <c r="EJ7" s="362">
        <f t="shared" si="10"/>
        <v>0</v>
      </c>
      <c r="EK7" s="362">
        <f t="shared" si="10"/>
        <v>0</v>
      </c>
      <c r="EL7" s="362">
        <f t="shared" si="10"/>
        <v>0</v>
      </c>
      <c r="EM7" s="362">
        <f t="shared" si="10"/>
        <v>0</v>
      </c>
      <c r="EN7" s="362">
        <f t="shared" si="10"/>
        <v>0</v>
      </c>
      <c r="EO7" s="362">
        <f t="shared" si="10"/>
        <v>0</v>
      </c>
      <c r="EP7" s="362">
        <f t="shared" si="10"/>
        <v>0</v>
      </c>
      <c r="EQ7" s="362">
        <f>EP7</f>
        <v>0</v>
      </c>
      <c r="ER7" s="362">
        <f>EQ7-ER6</f>
        <v>0</v>
      </c>
      <c r="ES7" s="362">
        <f t="shared" ref="ES7:FC7" si="11">ER7-ES6</f>
        <v>0</v>
      </c>
      <c r="ET7" s="362">
        <f t="shared" si="11"/>
        <v>0</v>
      </c>
      <c r="EU7" s="362">
        <f t="shared" si="11"/>
        <v>0</v>
      </c>
      <c r="EV7" s="362">
        <f t="shared" si="11"/>
        <v>0</v>
      </c>
      <c r="EW7" s="362">
        <f t="shared" si="11"/>
        <v>0</v>
      </c>
      <c r="EX7" s="362">
        <f t="shared" si="11"/>
        <v>0</v>
      </c>
      <c r="EY7" s="362">
        <f t="shared" si="11"/>
        <v>0</v>
      </c>
      <c r="EZ7" s="362">
        <f t="shared" si="11"/>
        <v>0</v>
      </c>
      <c r="FA7" s="362">
        <f t="shared" si="11"/>
        <v>0</v>
      </c>
      <c r="FB7" s="362">
        <f t="shared" si="11"/>
        <v>0</v>
      </c>
      <c r="FC7" s="362">
        <f t="shared" si="11"/>
        <v>0</v>
      </c>
      <c r="FD7" s="362">
        <f>FC7</f>
        <v>0</v>
      </c>
      <c r="FE7" s="362">
        <f>FD7-FE6</f>
        <v>0</v>
      </c>
      <c r="FF7" s="362">
        <f t="shared" ref="FF7:FP7" si="12">FE7-FF6</f>
        <v>0</v>
      </c>
      <c r="FG7" s="362">
        <f t="shared" si="12"/>
        <v>0</v>
      </c>
      <c r="FH7" s="362">
        <f t="shared" si="12"/>
        <v>0</v>
      </c>
      <c r="FI7" s="362">
        <f t="shared" si="12"/>
        <v>0</v>
      </c>
      <c r="FJ7" s="362">
        <f t="shared" si="12"/>
        <v>0</v>
      </c>
      <c r="FK7" s="362">
        <f t="shared" si="12"/>
        <v>0</v>
      </c>
      <c r="FL7" s="362">
        <f t="shared" si="12"/>
        <v>0</v>
      </c>
      <c r="FM7" s="362">
        <f t="shared" si="12"/>
        <v>0</v>
      </c>
      <c r="FN7" s="362">
        <f t="shared" si="12"/>
        <v>0</v>
      </c>
      <c r="FO7" s="362">
        <f t="shared" si="12"/>
        <v>0</v>
      </c>
      <c r="FP7" s="362">
        <f t="shared" si="12"/>
        <v>0</v>
      </c>
      <c r="FQ7" s="362">
        <f>FP7</f>
        <v>0</v>
      </c>
    </row>
    <row r="8" spans="1:173">
      <c r="A8" s="365"/>
      <c r="B8" s="349" t="s">
        <v>406</v>
      </c>
      <c r="C8" s="347">
        <v>1199163.8799999999</v>
      </c>
      <c r="D8" s="361"/>
      <c r="E8" s="362"/>
      <c r="F8" s="362"/>
      <c r="G8" s="362"/>
      <c r="H8" s="362"/>
      <c r="I8" s="362"/>
      <c r="J8" s="362"/>
      <c r="K8" s="362"/>
      <c r="L8" s="362">
        <v>14275</v>
      </c>
      <c r="M8" s="362">
        <v>14275</v>
      </c>
      <c r="N8" s="362">
        <v>14275</v>
      </c>
      <c r="O8" s="362">
        <v>14275</v>
      </c>
      <c r="P8" s="362">
        <v>14275</v>
      </c>
      <c r="Q8" s="363">
        <f>SUM(J8:P8)</f>
        <v>71375</v>
      </c>
      <c r="R8" s="362">
        <v>14275</v>
      </c>
      <c r="S8" s="362">
        <v>14275</v>
      </c>
      <c r="T8" s="362">
        <v>14275</v>
      </c>
      <c r="U8" s="362">
        <v>14275</v>
      </c>
      <c r="V8" s="362">
        <v>14275</v>
      </c>
      <c r="W8" s="362">
        <v>14275</v>
      </c>
      <c r="X8" s="362">
        <v>14275</v>
      </c>
      <c r="Y8" s="362">
        <v>14275</v>
      </c>
      <c r="Z8" s="362">
        <v>14275</v>
      </c>
      <c r="AA8" s="362">
        <v>14275</v>
      </c>
      <c r="AB8" s="362">
        <v>14275</v>
      </c>
      <c r="AC8" s="362">
        <v>14275</v>
      </c>
      <c r="AD8" s="362">
        <f>SUM(R8:AC8)</f>
        <v>171300</v>
      </c>
      <c r="AE8" s="362">
        <v>14275</v>
      </c>
      <c r="AF8" s="362">
        <v>14275</v>
      </c>
      <c r="AG8" s="362">
        <v>14275</v>
      </c>
      <c r="AH8" s="362">
        <v>14275</v>
      </c>
      <c r="AI8" s="362">
        <v>14275</v>
      </c>
      <c r="AJ8" s="362">
        <v>14275</v>
      </c>
      <c r="AK8" s="362">
        <v>14275</v>
      </c>
      <c r="AL8" s="362">
        <v>14275</v>
      </c>
      <c r="AM8" s="362">
        <v>14275</v>
      </c>
      <c r="AN8" s="362">
        <v>14275</v>
      </c>
      <c r="AO8" s="362">
        <v>14275</v>
      </c>
      <c r="AP8" s="362">
        <v>14275</v>
      </c>
      <c r="AQ8" s="361"/>
      <c r="AR8" s="362">
        <v>14275</v>
      </c>
      <c r="AS8" s="362">
        <v>14275</v>
      </c>
      <c r="AT8" s="362">
        <v>14275</v>
      </c>
      <c r="AU8" s="362">
        <v>14275</v>
      </c>
      <c r="AV8" s="362">
        <v>14275</v>
      </c>
      <c r="AW8" s="362">
        <v>14275</v>
      </c>
      <c r="AX8" s="362">
        <v>14275</v>
      </c>
      <c r="AY8" s="362">
        <v>14275</v>
      </c>
      <c r="AZ8" s="362">
        <v>14275</v>
      </c>
      <c r="BA8" s="362">
        <v>14275</v>
      </c>
      <c r="BB8" s="362">
        <v>14275</v>
      </c>
      <c r="BC8" s="362">
        <v>14275</v>
      </c>
      <c r="BD8" s="362"/>
      <c r="BE8" s="362">
        <v>14275</v>
      </c>
      <c r="BF8" s="362">
        <v>14275</v>
      </c>
      <c r="BG8" s="362">
        <v>14275</v>
      </c>
      <c r="BH8" s="362">
        <v>14275</v>
      </c>
      <c r="BI8" s="362">
        <v>14275</v>
      </c>
      <c r="BJ8" s="362">
        <v>14275</v>
      </c>
      <c r="BK8" s="362">
        <v>14275</v>
      </c>
      <c r="BL8" s="362">
        <v>14275</v>
      </c>
      <c r="BM8" s="362">
        <v>14275</v>
      </c>
      <c r="BN8" s="362">
        <v>14275</v>
      </c>
      <c r="BO8" s="362">
        <v>14275</v>
      </c>
      <c r="BP8" s="362">
        <v>14275</v>
      </c>
      <c r="BQ8" s="362"/>
      <c r="BR8" s="362">
        <v>14275</v>
      </c>
      <c r="BS8" s="362">
        <v>14275</v>
      </c>
      <c r="BT8" s="362">
        <v>14275</v>
      </c>
      <c r="BU8" s="362">
        <v>14275</v>
      </c>
      <c r="BV8" s="362">
        <v>14275</v>
      </c>
      <c r="BW8" s="362">
        <v>14275</v>
      </c>
      <c r="BX8" s="362">
        <v>14275</v>
      </c>
      <c r="BY8" s="362">
        <v>14275</v>
      </c>
      <c r="BZ8" s="362">
        <v>14275</v>
      </c>
      <c r="CA8" s="362">
        <v>14275</v>
      </c>
      <c r="CB8" s="362">
        <v>14275</v>
      </c>
      <c r="CC8" s="362">
        <v>14275</v>
      </c>
      <c r="CD8" s="362"/>
      <c r="CE8" s="362">
        <v>14275</v>
      </c>
      <c r="CF8" s="362">
        <v>14275</v>
      </c>
      <c r="CG8" s="362">
        <v>14275</v>
      </c>
      <c r="CH8" s="362">
        <v>14275</v>
      </c>
      <c r="CI8" s="362">
        <v>14275</v>
      </c>
      <c r="CJ8" s="362">
        <v>14275</v>
      </c>
      <c r="CK8" s="362">
        <v>14275</v>
      </c>
      <c r="CL8" s="362">
        <v>14275</v>
      </c>
      <c r="CM8" s="362">
        <v>14275</v>
      </c>
      <c r="CN8" s="362">
        <v>14275</v>
      </c>
      <c r="CO8" s="362">
        <v>14275</v>
      </c>
      <c r="CP8" s="362">
        <v>14275</v>
      </c>
      <c r="CQ8" s="362"/>
      <c r="CR8" s="362">
        <v>14275</v>
      </c>
      <c r="CS8" s="362">
        <v>14275</v>
      </c>
      <c r="CT8" s="362">
        <v>14275</v>
      </c>
      <c r="CU8" s="362">
        <v>14275</v>
      </c>
      <c r="CV8" s="362">
        <v>14275</v>
      </c>
      <c r="CW8" s="362">
        <v>14275</v>
      </c>
      <c r="CX8" s="362">
        <v>14338.88</v>
      </c>
      <c r="CY8" s="362"/>
      <c r="CZ8" s="362"/>
      <c r="DA8" s="362"/>
      <c r="DB8" s="362"/>
      <c r="DC8" s="362"/>
      <c r="DD8" s="362"/>
      <c r="DE8" s="362"/>
      <c r="DF8" s="362"/>
      <c r="DG8" s="362"/>
      <c r="DH8" s="362"/>
      <c r="DI8" s="362"/>
      <c r="DJ8" s="362"/>
      <c r="DK8" s="362"/>
      <c r="DL8" s="362"/>
      <c r="DM8" s="362"/>
      <c r="DN8" s="362"/>
      <c r="DO8" s="362"/>
      <c r="DP8" s="362"/>
      <c r="DQ8" s="362"/>
      <c r="DR8" s="362"/>
      <c r="DS8" s="362"/>
      <c r="DT8" s="362"/>
      <c r="DU8" s="362"/>
      <c r="DV8" s="362"/>
      <c r="DW8" s="362"/>
      <c r="DX8" s="362"/>
      <c r="DY8" s="362"/>
      <c r="DZ8" s="362"/>
      <c r="EA8" s="362"/>
      <c r="EB8" s="362"/>
      <c r="EC8" s="362"/>
      <c r="ED8" s="362"/>
      <c r="EE8" s="362"/>
      <c r="EF8" s="362"/>
      <c r="EG8" s="362"/>
      <c r="EH8" s="362"/>
      <c r="EI8" s="362"/>
      <c r="EJ8" s="362"/>
      <c r="EK8" s="362"/>
      <c r="EL8" s="362"/>
      <c r="EM8" s="362"/>
      <c r="EN8" s="362"/>
      <c r="EO8" s="362"/>
      <c r="EP8" s="362"/>
      <c r="EQ8" s="362"/>
      <c r="ER8" s="362"/>
      <c r="ES8" s="362"/>
      <c r="ET8" s="362"/>
      <c r="EU8" s="362"/>
      <c r="EV8" s="362"/>
      <c r="EW8" s="362"/>
      <c r="EX8" s="362"/>
      <c r="EY8" s="362"/>
      <c r="EZ8" s="362"/>
      <c r="FA8" s="362"/>
      <c r="FB8" s="362"/>
      <c r="FC8" s="362"/>
      <c r="FD8" s="362"/>
      <c r="FE8" s="362"/>
      <c r="FF8" s="362"/>
      <c r="FG8" s="362"/>
      <c r="FH8" s="362"/>
      <c r="FI8" s="362"/>
      <c r="FJ8" s="362"/>
      <c r="FK8" s="362"/>
      <c r="FL8" s="362"/>
      <c r="FM8" s="362"/>
      <c r="FN8" s="362"/>
      <c r="FO8" s="362"/>
      <c r="FP8" s="362"/>
      <c r="FQ8" s="362"/>
    </row>
    <row r="9" spans="1:173">
      <c r="A9" s="352"/>
      <c r="B9" s="350"/>
      <c r="C9" s="364" t="s">
        <v>405</v>
      </c>
      <c r="D9" s="362">
        <v>0</v>
      </c>
      <c r="E9" s="362"/>
      <c r="F9" s="362"/>
      <c r="G9" s="362"/>
      <c r="H9" s="362"/>
      <c r="I9" s="362"/>
      <c r="J9" s="362">
        <v>1199163.8799999999</v>
      </c>
      <c r="K9" s="362">
        <f t="shared" ref="K9:P9" si="13">J9-K8</f>
        <v>1199163.8799999999</v>
      </c>
      <c r="L9" s="362">
        <f t="shared" si="13"/>
        <v>1184888.8799999999</v>
      </c>
      <c r="M9" s="362">
        <f t="shared" si="13"/>
        <v>1170613.8799999999</v>
      </c>
      <c r="N9" s="362">
        <f t="shared" si="13"/>
        <v>1156338.8799999999</v>
      </c>
      <c r="O9" s="362">
        <f t="shared" si="13"/>
        <v>1142063.8799999999</v>
      </c>
      <c r="P9" s="362">
        <f t="shared" si="13"/>
        <v>1127788.8799999999</v>
      </c>
      <c r="Q9" s="362">
        <f>P9</f>
        <v>1127788.8799999999</v>
      </c>
      <c r="R9" s="362">
        <f>Q9-R8</f>
        <v>1113513.8799999999</v>
      </c>
      <c r="S9" s="362">
        <f t="shared" ref="S9:AC9" si="14">R9-S8</f>
        <v>1099238.8799999999</v>
      </c>
      <c r="T9" s="362">
        <f t="shared" si="14"/>
        <v>1084963.8799999999</v>
      </c>
      <c r="U9" s="362">
        <f t="shared" si="14"/>
        <v>1070688.8799999999</v>
      </c>
      <c r="V9" s="362">
        <f t="shared" si="14"/>
        <v>1056413.8799999999</v>
      </c>
      <c r="W9" s="362">
        <f t="shared" si="14"/>
        <v>1042138.8799999999</v>
      </c>
      <c r="X9" s="362">
        <f t="shared" si="14"/>
        <v>1027863.8799999999</v>
      </c>
      <c r="Y9" s="362">
        <f t="shared" si="14"/>
        <v>1013588.8799999999</v>
      </c>
      <c r="Z9" s="362">
        <f t="shared" si="14"/>
        <v>999313.87999999989</v>
      </c>
      <c r="AA9" s="362">
        <f t="shared" si="14"/>
        <v>985038.87999999989</v>
      </c>
      <c r="AB9" s="362">
        <f t="shared" si="14"/>
        <v>970763.87999999989</v>
      </c>
      <c r="AC9" s="362">
        <f t="shared" si="14"/>
        <v>956488.87999999989</v>
      </c>
      <c r="AD9" s="362">
        <f>AC9</f>
        <v>956488.87999999989</v>
      </c>
      <c r="AE9" s="362">
        <f>AD9-AE8</f>
        <v>942213.87999999989</v>
      </c>
      <c r="AF9" s="362">
        <f t="shared" ref="AF9:AP9" si="15">AE9-AF8</f>
        <v>927938.87999999989</v>
      </c>
      <c r="AG9" s="362">
        <f t="shared" si="15"/>
        <v>913663.87999999989</v>
      </c>
      <c r="AH9" s="362">
        <f t="shared" si="15"/>
        <v>899388.87999999989</v>
      </c>
      <c r="AI9" s="362">
        <f t="shared" si="15"/>
        <v>885113.87999999989</v>
      </c>
      <c r="AJ9" s="362">
        <f t="shared" si="15"/>
        <v>870838.87999999989</v>
      </c>
      <c r="AK9" s="362">
        <f t="shared" si="15"/>
        <v>856563.87999999989</v>
      </c>
      <c r="AL9" s="362">
        <f t="shared" si="15"/>
        <v>842288.87999999989</v>
      </c>
      <c r="AM9" s="362">
        <f t="shared" si="15"/>
        <v>828013.87999999989</v>
      </c>
      <c r="AN9" s="362">
        <f t="shared" si="15"/>
        <v>813738.87999999989</v>
      </c>
      <c r="AO9" s="362">
        <f t="shared" si="15"/>
        <v>799463.87999999989</v>
      </c>
      <c r="AP9" s="362">
        <f t="shared" si="15"/>
        <v>785188.87999999989</v>
      </c>
      <c r="AQ9" s="362">
        <f>AP9</f>
        <v>785188.87999999989</v>
      </c>
      <c r="AR9" s="362">
        <f>AQ9-AR8</f>
        <v>770913.87999999989</v>
      </c>
      <c r="AS9" s="362">
        <f t="shared" ref="AS9:BC9" si="16">AR9-AS8</f>
        <v>756638.87999999989</v>
      </c>
      <c r="AT9" s="362">
        <f t="shared" si="16"/>
        <v>742363.87999999989</v>
      </c>
      <c r="AU9" s="362">
        <f t="shared" si="16"/>
        <v>728088.87999999989</v>
      </c>
      <c r="AV9" s="362">
        <f t="shared" si="16"/>
        <v>713813.87999999989</v>
      </c>
      <c r="AW9" s="362">
        <f t="shared" si="16"/>
        <v>699538.87999999989</v>
      </c>
      <c r="AX9" s="362">
        <f t="shared" si="16"/>
        <v>685263.87999999989</v>
      </c>
      <c r="AY9" s="362">
        <f t="shared" si="16"/>
        <v>670988.87999999989</v>
      </c>
      <c r="AZ9" s="362">
        <f t="shared" si="16"/>
        <v>656713.87999999989</v>
      </c>
      <c r="BA9" s="362">
        <f t="shared" si="16"/>
        <v>642438.87999999989</v>
      </c>
      <c r="BB9" s="362">
        <f t="shared" si="16"/>
        <v>628163.87999999989</v>
      </c>
      <c r="BC9" s="362">
        <f t="shared" si="16"/>
        <v>613888.87999999989</v>
      </c>
      <c r="BD9" s="362">
        <f>BC9</f>
        <v>613888.87999999989</v>
      </c>
      <c r="BE9" s="362">
        <f>BD9-BE8</f>
        <v>599613.87999999989</v>
      </c>
      <c r="BF9" s="362">
        <f t="shared" ref="BF9:BP9" si="17">BE9-BF8</f>
        <v>585338.87999999989</v>
      </c>
      <c r="BG9" s="362">
        <f t="shared" si="17"/>
        <v>571063.87999999989</v>
      </c>
      <c r="BH9" s="362">
        <f t="shared" si="17"/>
        <v>556788.87999999989</v>
      </c>
      <c r="BI9" s="362">
        <f t="shared" si="17"/>
        <v>542513.87999999989</v>
      </c>
      <c r="BJ9" s="362">
        <f t="shared" si="17"/>
        <v>528238.87999999989</v>
      </c>
      <c r="BK9" s="362">
        <f t="shared" si="17"/>
        <v>513963.87999999989</v>
      </c>
      <c r="BL9" s="362">
        <f t="shared" si="17"/>
        <v>499688.87999999989</v>
      </c>
      <c r="BM9" s="362">
        <f t="shared" si="17"/>
        <v>485413.87999999989</v>
      </c>
      <c r="BN9" s="362">
        <f t="shared" si="17"/>
        <v>471138.87999999989</v>
      </c>
      <c r="BO9" s="362">
        <f t="shared" si="17"/>
        <v>456863.87999999989</v>
      </c>
      <c r="BP9" s="362">
        <f t="shared" si="17"/>
        <v>442588.87999999989</v>
      </c>
      <c r="BQ9" s="362">
        <f>BP9</f>
        <v>442588.87999999989</v>
      </c>
      <c r="BR9" s="362">
        <f>BQ9-BR8</f>
        <v>428313.87999999989</v>
      </c>
      <c r="BS9" s="362">
        <f t="shared" ref="BS9:CC9" si="18">BR9-BS8</f>
        <v>414038.87999999989</v>
      </c>
      <c r="BT9" s="362">
        <f t="shared" si="18"/>
        <v>399763.87999999989</v>
      </c>
      <c r="BU9" s="362">
        <f t="shared" si="18"/>
        <v>385488.87999999989</v>
      </c>
      <c r="BV9" s="362">
        <f t="shared" si="18"/>
        <v>371213.87999999989</v>
      </c>
      <c r="BW9" s="362">
        <f t="shared" si="18"/>
        <v>356938.87999999989</v>
      </c>
      <c r="BX9" s="362">
        <f t="shared" si="18"/>
        <v>342663.87999999989</v>
      </c>
      <c r="BY9" s="362">
        <f t="shared" si="18"/>
        <v>328388.87999999989</v>
      </c>
      <c r="BZ9" s="362">
        <f t="shared" si="18"/>
        <v>314113.87999999989</v>
      </c>
      <c r="CA9" s="362">
        <f t="shared" si="18"/>
        <v>299838.87999999989</v>
      </c>
      <c r="CB9" s="362">
        <f t="shared" si="18"/>
        <v>285563.87999999989</v>
      </c>
      <c r="CC9" s="362">
        <f t="shared" si="18"/>
        <v>271288.87999999989</v>
      </c>
      <c r="CD9" s="362">
        <f>CC9</f>
        <v>271288.87999999989</v>
      </c>
      <c r="CE9" s="362">
        <f>CD9-CE8</f>
        <v>257013.87999999989</v>
      </c>
      <c r="CF9" s="362">
        <f t="shared" ref="CF9:CP9" si="19">CE9-CF8</f>
        <v>242738.87999999989</v>
      </c>
      <c r="CG9" s="362">
        <f t="shared" si="19"/>
        <v>228463.87999999989</v>
      </c>
      <c r="CH9" s="362">
        <f t="shared" si="19"/>
        <v>214188.87999999989</v>
      </c>
      <c r="CI9" s="362">
        <f t="shared" si="19"/>
        <v>199913.87999999989</v>
      </c>
      <c r="CJ9" s="362">
        <f t="shared" si="19"/>
        <v>185638.87999999989</v>
      </c>
      <c r="CK9" s="362">
        <f t="shared" si="19"/>
        <v>171363.87999999989</v>
      </c>
      <c r="CL9" s="362">
        <f t="shared" si="19"/>
        <v>157088.87999999989</v>
      </c>
      <c r="CM9" s="362">
        <f t="shared" si="19"/>
        <v>142813.87999999989</v>
      </c>
      <c r="CN9" s="362">
        <f t="shared" si="19"/>
        <v>128538.87999999989</v>
      </c>
      <c r="CO9" s="362">
        <f t="shared" si="19"/>
        <v>114263.87999999989</v>
      </c>
      <c r="CP9" s="362">
        <f t="shared" si="19"/>
        <v>99988.879999999888</v>
      </c>
      <c r="CQ9" s="362">
        <f>CP9</f>
        <v>99988.879999999888</v>
      </c>
      <c r="CR9" s="362">
        <f>CQ9-CR8</f>
        <v>85713.879999999888</v>
      </c>
      <c r="CS9" s="362">
        <f t="shared" ref="CS9:DC9" si="20">CR9-CS8</f>
        <v>71438.879999999888</v>
      </c>
      <c r="CT9" s="362">
        <f t="shared" si="20"/>
        <v>57163.879999999888</v>
      </c>
      <c r="CU9" s="362">
        <f t="shared" si="20"/>
        <v>42888.879999999888</v>
      </c>
      <c r="CV9" s="362">
        <f t="shared" si="20"/>
        <v>28613.879999999888</v>
      </c>
      <c r="CW9" s="362">
        <f t="shared" si="20"/>
        <v>14338.879999999888</v>
      </c>
      <c r="CX9" s="362">
        <f t="shared" si="20"/>
        <v>-1.1095835361629725E-10</v>
      </c>
      <c r="CY9" s="362">
        <f t="shared" si="20"/>
        <v>-1.1095835361629725E-10</v>
      </c>
      <c r="CZ9" s="362">
        <f t="shared" si="20"/>
        <v>-1.1095835361629725E-10</v>
      </c>
      <c r="DA9" s="362">
        <f t="shared" si="20"/>
        <v>-1.1095835361629725E-10</v>
      </c>
      <c r="DB9" s="362">
        <f t="shared" si="20"/>
        <v>-1.1095835361629725E-10</v>
      </c>
      <c r="DC9" s="362">
        <f t="shared" si="20"/>
        <v>-1.1095835361629725E-10</v>
      </c>
      <c r="DD9" s="362">
        <f>DC9</f>
        <v>-1.1095835361629725E-10</v>
      </c>
      <c r="DE9" s="362">
        <f>DD9-DE8</f>
        <v>-1.1095835361629725E-10</v>
      </c>
      <c r="DF9" s="362">
        <f t="shared" ref="DF9:DP9" si="21">DE9-DF8</f>
        <v>-1.1095835361629725E-10</v>
      </c>
      <c r="DG9" s="362">
        <f t="shared" si="21"/>
        <v>-1.1095835361629725E-10</v>
      </c>
      <c r="DH9" s="362">
        <f t="shared" si="21"/>
        <v>-1.1095835361629725E-10</v>
      </c>
      <c r="DI9" s="362">
        <f t="shared" si="21"/>
        <v>-1.1095835361629725E-10</v>
      </c>
      <c r="DJ9" s="362">
        <f t="shared" si="21"/>
        <v>-1.1095835361629725E-10</v>
      </c>
      <c r="DK9" s="362">
        <f t="shared" si="21"/>
        <v>-1.1095835361629725E-10</v>
      </c>
      <c r="DL9" s="362">
        <f t="shared" si="21"/>
        <v>-1.1095835361629725E-10</v>
      </c>
      <c r="DM9" s="362">
        <f t="shared" si="21"/>
        <v>-1.1095835361629725E-10</v>
      </c>
      <c r="DN9" s="362">
        <f t="shared" si="21"/>
        <v>-1.1095835361629725E-10</v>
      </c>
      <c r="DO9" s="362">
        <f t="shared" si="21"/>
        <v>-1.1095835361629725E-10</v>
      </c>
      <c r="DP9" s="362">
        <f t="shared" si="21"/>
        <v>-1.1095835361629725E-10</v>
      </c>
      <c r="DQ9" s="362">
        <f>DP9</f>
        <v>-1.1095835361629725E-10</v>
      </c>
      <c r="DR9" s="362">
        <f>DQ9-DR8</f>
        <v>-1.1095835361629725E-10</v>
      </c>
      <c r="DS9" s="362">
        <f t="shared" ref="DS9:EC9" si="22">DR9-DS8</f>
        <v>-1.1095835361629725E-10</v>
      </c>
      <c r="DT9" s="362">
        <f t="shared" si="22"/>
        <v>-1.1095835361629725E-10</v>
      </c>
      <c r="DU9" s="362">
        <f t="shared" si="22"/>
        <v>-1.1095835361629725E-10</v>
      </c>
      <c r="DV9" s="362">
        <f t="shared" si="22"/>
        <v>-1.1095835361629725E-10</v>
      </c>
      <c r="DW9" s="362">
        <f t="shared" si="22"/>
        <v>-1.1095835361629725E-10</v>
      </c>
      <c r="DX9" s="362">
        <f t="shared" si="22"/>
        <v>-1.1095835361629725E-10</v>
      </c>
      <c r="DY9" s="362">
        <f t="shared" si="22"/>
        <v>-1.1095835361629725E-10</v>
      </c>
      <c r="DZ9" s="362">
        <f t="shared" si="22"/>
        <v>-1.1095835361629725E-10</v>
      </c>
      <c r="EA9" s="362">
        <f t="shared" si="22"/>
        <v>-1.1095835361629725E-10</v>
      </c>
      <c r="EB9" s="362">
        <f t="shared" si="22"/>
        <v>-1.1095835361629725E-10</v>
      </c>
      <c r="EC9" s="362">
        <f t="shared" si="22"/>
        <v>-1.1095835361629725E-10</v>
      </c>
      <c r="ED9" s="362">
        <f>EC9</f>
        <v>-1.1095835361629725E-10</v>
      </c>
      <c r="EE9" s="362">
        <f>ED9-EE8</f>
        <v>-1.1095835361629725E-10</v>
      </c>
      <c r="EF9" s="362">
        <f t="shared" ref="EF9:EP9" si="23">EE9-EF8</f>
        <v>-1.1095835361629725E-10</v>
      </c>
      <c r="EG9" s="362">
        <f t="shared" si="23"/>
        <v>-1.1095835361629725E-10</v>
      </c>
      <c r="EH9" s="362">
        <f t="shared" si="23"/>
        <v>-1.1095835361629725E-10</v>
      </c>
      <c r="EI9" s="362">
        <f t="shared" si="23"/>
        <v>-1.1095835361629725E-10</v>
      </c>
      <c r="EJ9" s="362">
        <f t="shared" si="23"/>
        <v>-1.1095835361629725E-10</v>
      </c>
      <c r="EK9" s="362">
        <f t="shared" si="23"/>
        <v>-1.1095835361629725E-10</v>
      </c>
      <c r="EL9" s="362">
        <f t="shared" si="23"/>
        <v>-1.1095835361629725E-10</v>
      </c>
      <c r="EM9" s="362">
        <f t="shared" si="23"/>
        <v>-1.1095835361629725E-10</v>
      </c>
      <c r="EN9" s="362">
        <f t="shared" si="23"/>
        <v>-1.1095835361629725E-10</v>
      </c>
      <c r="EO9" s="362">
        <f t="shared" si="23"/>
        <v>-1.1095835361629725E-10</v>
      </c>
      <c r="EP9" s="362">
        <f t="shared" si="23"/>
        <v>-1.1095835361629725E-10</v>
      </c>
      <c r="EQ9" s="362">
        <f>EP9</f>
        <v>-1.1095835361629725E-10</v>
      </c>
      <c r="ER9" s="362">
        <f>EQ9-ER8</f>
        <v>-1.1095835361629725E-10</v>
      </c>
      <c r="ES9" s="362">
        <f t="shared" ref="ES9:FC9" si="24">ER9-ES8</f>
        <v>-1.1095835361629725E-10</v>
      </c>
      <c r="ET9" s="362">
        <f t="shared" si="24"/>
        <v>-1.1095835361629725E-10</v>
      </c>
      <c r="EU9" s="362">
        <f t="shared" si="24"/>
        <v>-1.1095835361629725E-10</v>
      </c>
      <c r="EV9" s="362">
        <f t="shared" si="24"/>
        <v>-1.1095835361629725E-10</v>
      </c>
      <c r="EW9" s="362">
        <f t="shared" si="24"/>
        <v>-1.1095835361629725E-10</v>
      </c>
      <c r="EX9" s="362">
        <f t="shared" si="24"/>
        <v>-1.1095835361629725E-10</v>
      </c>
      <c r="EY9" s="362">
        <f t="shared" si="24"/>
        <v>-1.1095835361629725E-10</v>
      </c>
      <c r="EZ9" s="362">
        <f t="shared" si="24"/>
        <v>-1.1095835361629725E-10</v>
      </c>
      <c r="FA9" s="362">
        <f t="shared" si="24"/>
        <v>-1.1095835361629725E-10</v>
      </c>
      <c r="FB9" s="362">
        <f t="shared" si="24"/>
        <v>-1.1095835361629725E-10</v>
      </c>
      <c r="FC9" s="362">
        <f t="shared" si="24"/>
        <v>-1.1095835361629725E-10</v>
      </c>
      <c r="FD9" s="362">
        <f>FC9</f>
        <v>-1.1095835361629725E-10</v>
      </c>
      <c r="FE9" s="362">
        <f>FD9-FE8</f>
        <v>-1.1095835361629725E-10</v>
      </c>
      <c r="FF9" s="362">
        <f t="shared" ref="FF9:FP9" si="25">FE9-FF8</f>
        <v>-1.1095835361629725E-10</v>
      </c>
      <c r="FG9" s="362">
        <f t="shared" si="25"/>
        <v>-1.1095835361629725E-10</v>
      </c>
      <c r="FH9" s="362">
        <f t="shared" si="25"/>
        <v>-1.1095835361629725E-10</v>
      </c>
      <c r="FI9" s="362">
        <f t="shared" si="25"/>
        <v>-1.1095835361629725E-10</v>
      </c>
      <c r="FJ9" s="362">
        <f t="shared" si="25"/>
        <v>-1.1095835361629725E-10</v>
      </c>
      <c r="FK9" s="362">
        <f t="shared" si="25"/>
        <v>-1.1095835361629725E-10</v>
      </c>
      <c r="FL9" s="362">
        <f t="shared" si="25"/>
        <v>-1.1095835361629725E-10</v>
      </c>
      <c r="FM9" s="362">
        <f t="shared" si="25"/>
        <v>-1.1095835361629725E-10</v>
      </c>
      <c r="FN9" s="362">
        <f t="shared" si="25"/>
        <v>-1.1095835361629725E-10</v>
      </c>
      <c r="FO9" s="362">
        <f t="shared" si="25"/>
        <v>-1.1095835361629725E-10</v>
      </c>
      <c r="FP9" s="362">
        <f t="shared" si="25"/>
        <v>-1.1095835361629725E-10</v>
      </c>
      <c r="FQ9" s="362">
        <f>FP9</f>
        <v>-1.1095835361629725E-10</v>
      </c>
    </row>
    <row r="10" spans="1:173">
      <c r="A10" s="365"/>
      <c r="B10" s="349" t="s">
        <v>407</v>
      </c>
      <c r="C10" s="347">
        <v>2114910</v>
      </c>
      <c r="D10" s="361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3">
        <f>SUM(J10:P10)</f>
        <v>0</v>
      </c>
      <c r="R10" s="362"/>
      <c r="S10" s="362"/>
      <c r="T10" s="362"/>
      <c r="U10" s="362">
        <v>16020</v>
      </c>
      <c r="V10" s="362">
        <v>16020</v>
      </c>
      <c r="W10" s="362">
        <v>16020</v>
      </c>
      <c r="X10" s="362">
        <v>16020</v>
      </c>
      <c r="Y10" s="362">
        <v>16020</v>
      </c>
      <c r="Z10" s="362">
        <v>16020</v>
      </c>
      <c r="AA10" s="362">
        <v>16020</v>
      </c>
      <c r="AB10" s="362">
        <v>16020</v>
      </c>
      <c r="AC10" s="362">
        <v>16020</v>
      </c>
      <c r="AD10" s="362">
        <f>SUM(R10:AC10)</f>
        <v>144180</v>
      </c>
      <c r="AE10" s="362">
        <v>16020</v>
      </c>
      <c r="AF10" s="362">
        <v>16020</v>
      </c>
      <c r="AG10" s="362">
        <v>16020</v>
      </c>
      <c r="AH10" s="362">
        <v>16020</v>
      </c>
      <c r="AI10" s="362">
        <v>16020</v>
      </c>
      <c r="AJ10" s="362">
        <v>16020</v>
      </c>
      <c r="AK10" s="362">
        <v>16020</v>
      </c>
      <c r="AL10" s="362">
        <v>16020</v>
      </c>
      <c r="AM10" s="362">
        <v>16020</v>
      </c>
      <c r="AN10" s="362">
        <v>16020</v>
      </c>
      <c r="AO10" s="362">
        <v>16020</v>
      </c>
      <c r="AP10" s="362">
        <v>16020</v>
      </c>
      <c r="AQ10" s="361"/>
      <c r="AR10" s="362">
        <v>16020</v>
      </c>
      <c r="AS10" s="362">
        <v>16020</v>
      </c>
      <c r="AT10" s="362">
        <v>16020</v>
      </c>
      <c r="AU10" s="362">
        <v>16020</v>
      </c>
      <c r="AV10" s="362">
        <v>16020</v>
      </c>
      <c r="AW10" s="362">
        <v>16020</v>
      </c>
      <c r="AX10" s="362">
        <v>16020</v>
      </c>
      <c r="AY10" s="362">
        <v>16020</v>
      </c>
      <c r="AZ10" s="362">
        <v>16020</v>
      </c>
      <c r="BA10" s="362">
        <v>16020</v>
      </c>
      <c r="BB10" s="362">
        <v>16020</v>
      </c>
      <c r="BC10" s="362">
        <v>16020</v>
      </c>
      <c r="BD10" s="362"/>
      <c r="BE10" s="362">
        <v>16020</v>
      </c>
      <c r="BF10" s="362">
        <v>16020</v>
      </c>
      <c r="BG10" s="362">
        <v>16020</v>
      </c>
      <c r="BH10" s="362">
        <v>16020</v>
      </c>
      <c r="BI10" s="362">
        <v>16020</v>
      </c>
      <c r="BJ10" s="362">
        <v>16020</v>
      </c>
      <c r="BK10" s="362">
        <v>16020</v>
      </c>
      <c r="BL10" s="362">
        <v>16020</v>
      </c>
      <c r="BM10" s="362">
        <v>16020</v>
      </c>
      <c r="BN10" s="362">
        <v>16020</v>
      </c>
      <c r="BO10" s="362">
        <v>16020</v>
      </c>
      <c r="BP10" s="362">
        <v>16020</v>
      </c>
      <c r="BQ10" s="362"/>
      <c r="BR10" s="362">
        <v>16020</v>
      </c>
      <c r="BS10" s="362">
        <v>16020</v>
      </c>
      <c r="BT10" s="362">
        <v>16020</v>
      </c>
      <c r="BU10" s="362">
        <v>16020</v>
      </c>
      <c r="BV10" s="362">
        <v>16020</v>
      </c>
      <c r="BW10" s="362">
        <v>16020</v>
      </c>
      <c r="BX10" s="362">
        <v>16020</v>
      </c>
      <c r="BY10" s="362">
        <v>16020</v>
      </c>
      <c r="BZ10" s="362">
        <v>16020</v>
      </c>
      <c r="CA10" s="362">
        <v>16020</v>
      </c>
      <c r="CB10" s="362">
        <v>16020</v>
      </c>
      <c r="CC10" s="362">
        <v>16020</v>
      </c>
      <c r="CD10" s="362"/>
      <c r="CE10" s="362">
        <v>16020</v>
      </c>
      <c r="CF10" s="362">
        <v>16020</v>
      </c>
      <c r="CG10" s="362">
        <v>16020</v>
      </c>
      <c r="CH10" s="362">
        <v>16020</v>
      </c>
      <c r="CI10" s="362">
        <v>16020</v>
      </c>
      <c r="CJ10" s="362">
        <v>16020</v>
      </c>
      <c r="CK10" s="362">
        <v>16020</v>
      </c>
      <c r="CL10" s="362">
        <v>16020</v>
      </c>
      <c r="CM10" s="362">
        <v>16020</v>
      </c>
      <c r="CN10" s="362">
        <v>16020</v>
      </c>
      <c r="CO10" s="362">
        <v>16020</v>
      </c>
      <c r="CP10" s="362">
        <v>16020</v>
      </c>
      <c r="CQ10" s="362"/>
      <c r="CR10" s="362">
        <v>16020</v>
      </c>
      <c r="CS10" s="362">
        <v>16020</v>
      </c>
      <c r="CT10" s="362">
        <v>16020</v>
      </c>
      <c r="CU10" s="362">
        <v>16020</v>
      </c>
      <c r="CV10" s="362">
        <v>16020</v>
      </c>
      <c r="CW10" s="362">
        <v>16020</v>
      </c>
      <c r="CX10" s="362">
        <v>16020</v>
      </c>
      <c r="CY10" s="362">
        <v>16020</v>
      </c>
      <c r="CZ10" s="362">
        <v>16020</v>
      </c>
      <c r="DA10" s="362">
        <v>16020</v>
      </c>
      <c r="DB10" s="362">
        <v>16020</v>
      </c>
      <c r="DC10" s="362">
        <v>16020</v>
      </c>
      <c r="DD10" s="362"/>
      <c r="DE10" s="362">
        <v>16020</v>
      </c>
      <c r="DF10" s="362">
        <v>16020</v>
      </c>
      <c r="DG10" s="362">
        <v>16020</v>
      </c>
      <c r="DH10" s="362">
        <v>16020</v>
      </c>
      <c r="DI10" s="362">
        <v>16020</v>
      </c>
      <c r="DJ10" s="362">
        <v>16020</v>
      </c>
      <c r="DK10" s="362">
        <v>16020</v>
      </c>
      <c r="DL10" s="362">
        <v>16020</v>
      </c>
      <c r="DM10" s="362">
        <v>16020</v>
      </c>
      <c r="DN10" s="362">
        <v>16020</v>
      </c>
      <c r="DO10" s="362">
        <v>16020</v>
      </c>
      <c r="DP10" s="362">
        <v>16020</v>
      </c>
      <c r="DQ10" s="362"/>
      <c r="DR10" s="362">
        <v>16020</v>
      </c>
      <c r="DS10" s="362">
        <v>16020</v>
      </c>
      <c r="DT10" s="362">
        <v>16020</v>
      </c>
      <c r="DU10" s="362">
        <v>16020</v>
      </c>
      <c r="DV10" s="362">
        <v>16020</v>
      </c>
      <c r="DW10" s="362">
        <v>16020</v>
      </c>
      <c r="DX10" s="362">
        <v>16020</v>
      </c>
      <c r="DY10" s="362">
        <v>16020</v>
      </c>
      <c r="DZ10" s="362">
        <v>16020</v>
      </c>
      <c r="EA10" s="362">
        <v>16020</v>
      </c>
      <c r="EB10" s="362">
        <v>16020</v>
      </c>
      <c r="EC10" s="362">
        <v>16020</v>
      </c>
      <c r="ED10" s="362"/>
      <c r="EE10" s="362">
        <v>16020</v>
      </c>
      <c r="EF10" s="362">
        <v>16020</v>
      </c>
      <c r="EG10" s="362">
        <v>16020</v>
      </c>
      <c r="EH10" s="362">
        <v>16020</v>
      </c>
      <c r="EI10" s="362">
        <v>16020</v>
      </c>
      <c r="EJ10" s="362">
        <v>16020</v>
      </c>
      <c r="EK10" s="362">
        <v>16020</v>
      </c>
      <c r="EL10" s="362">
        <v>16020</v>
      </c>
      <c r="EM10" s="362">
        <v>16020</v>
      </c>
      <c r="EN10" s="362">
        <v>16020</v>
      </c>
      <c r="EO10" s="362">
        <v>16020</v>
      </c>
      <c r="EP10" s="362">
        <v>16020</v>
      </c>
      <c r="EQ10" s="362"/>
      <c r="ER10" s="362">
        <v>16020</v>
      </c>
      <c r="ES10" s="362">
        <v>16020</v>
      </c>
      <c r="ET10" s="362">
        <v>16020</v>
      </c>
      <c r="EU10" s="362">
        <v>16020</v>
      </c>
      <c r="EV10" s="362">
        <v>16020</v>
      </c>
      <c r="EW10" s="362">
        <v>16020</v>
      </c>
      <c r="EX10" s="362">
        <v>16020</v>
      </c>
      <c r="EY10" s="362">
        <v>16020</v>
      </c>
      <c r="EZ10" s="362">
        <v>16020</v>
      </c>
      <c r="FA10" s="362">
        <v>16020</v>
      </c>
      <c r="FB10" s="362">
        <v>16020</v>
      </c>
      <c r="FC10" s="362">
        <v>16020</v>
      </c>
      <c r="FD10" s="362"/>
      <c r="FE10" s="362">
        <v>16020</v>
      </c>
      <c r="FF10" s="362">
        <v>16020</v>
      </c>
      <c r="FG10" s="362">
        <v>16290</v>
      </c>
      <c r="FH10" s="362"/>
      <c r="FI10" s="362"/>
      <c r="FJ10" s="362"/>
      <c r="FK10" s="362"/>
      <c r="FL10" s="362"/>
      <c r="FM10" s="362"/>
      <c r="FN10" s="362"/>
      <c r="FO10" s="362"/>
      <c r="FP10" s="362"/>
      <c r="FQ10" s="362"/>
    </row>
    <row r="11" spans="1:173">
      <c r="A11" s="352"/>
      <c r="B11" s="351" t="s">
        <v>408</v>
      </c>
      <c r="C11" s="364" t="s">
        <v>405</v>
      </c>
      <c r="D11" s="362">
        <v>0</v>
      </c>
      <c r="E11" s="362">
        <v>809910</v>
      </c>
      <c r="F11" s="362">
        <f>E11</f>
        <v>809910</v>
      </c>
      <c r="G11" s="362">
        <f>F11</f>
        <v>809910</v>
      </c>
      <c r="H11" s="362">
        <f>G11</f>
        <v>809910</v>
      </c>
      <c r="I11" s="362">
        <f>1305000+H11</f>
        <v>2114910</v>
      </c>
      <c r="J11" s="362">
        <f t="shared" ref="J11:P11" si="26">I11-J10</f>
        <v>2114910</v>
      </c>
      <c r="K11" s="362">
        <f t="shared" si="26"/>
        <v>2114910</v>
      </c>
      <c r="L11" s="362">
        <f t="shared" si="26"/>
        <v>2114910</v>
      </c>
      <c r="M11" s="362">
        <f t="shared" si="26"/>
        <v>2114910</v>
      </c>
      <c r="N11" s="362">
        <f t="shared" si="26"/>
        <v>2114910</v>
      </c>
      <c r="O11" s="362">
        <f t="shared" si="26"/>
        <v>2114910</v>
      </c>
      <c r="P11" s="362">
        <f t="shared" si="26"/>
        <v>2114910</v>
      </c>
      <c r="Q11" s="362">
        <f>P11</f>
        <v>2114910</v>
      </c>
      <c r="R11" s="362">
        <f>Q11-R10</f>
        <v>2114910</v>
      </c>
      <c r="S11" s="362">
        <f t="shared" ref="S11:AC11" si="27">R11-S10</f>
        <v>2114910</v>
      </c>
      <c r="T11" s="362">
        <f t="shared" si="27"/>
        <v>2114910</v>
      </c>
      <c r="U11" s="362">
        <f t="shared" si="27"/>
        <v>2098890</v>
      </c>
      <c r="V11" s="362">
        <f t="shared" si="27"/>
        <v>2082870</v>
      </c>
      <c r="W11" s="362">
        <f t="shared" si="27"/>
        <v>2066850</v>
      </c>
      <c r="X11" s="362">
        <f t="shared" si="27"/>
        <v>2050830</v>
      </c>
      <c r="Y11" s="362">
        <f t="shared" si="27"/>
        <v>2034810</v>
      </c>
      <c r="Z11" s="362">
        <f t="shared" si="27"/>
        <v>2018790</v>
      </c>
      <c r="AA11" s="362">
        <f t="shared" si="27"/>
        <v>2002770</v>
      </c>
      <c r="AB11" s="362">
        <f t="shared" si="27"/>
        <v>1986750</v>
      </c>
      <c r="AC11" s="362">
        <f t="shared" si="27"/>
        <v>1970730</v>
      </c>
      <c r="AD11" s="362">
        <f>AC11</f>
        <v>1970730</v>
      </c>
      <c r="AE11" s="362">
        <f>AD11-AE10</f>
        <v>1954710</v>
      </c>
      <c r="AF11" s="362">
        <f t="shared" ref="AF11:AP11" si="28">AE11-AF10</f>
        <v>1938690</v>
      </c>
      <c r="AG11" s="362">
        <f t="shared" si="28"/>
        <v>1922670</v>
      </c>
      <c r="AH11" s="362">
        <f t="shared" si="28"/>
        <v>1906650</v>
      </c>
      <c r="AI11" s="362">
        <f t="shared" si="28"/>
        <v>1890630</v>
      </c>
      <c r="AJ11" s="362">
        <f t="shared" si="28"/>
        <v>1874610</v>
      </c>
      <c r="AK11" s="362">
        <f t="shared" si="28"/>
        <v>1858590</v>
      </c>
      <c r="AL11" s="362">
        <f t="shared" si="28"/>
        <v>1842570</v>
      </c>
      <c r="AM11" s="362">
        <f t="shared" si="28"/>
        <v>1826550</v>
      </c>
      <c r="AN11" s="362">
        <f t="shared" si="28"/>
        <v>1810530</v>
      </c>
      <c r="AO11" s="362">
        <f t="shared" si="28"/>
        <v>1794510</v>
      </c>
      <c r="AP11" s="362">
        <f t="shared" si="28"/>
        <v>1778490</v>
      </c>
      <c r="AQ11" s="362">
        <f>AP11</f>
        <v>1778490</v>
      </c>
      <c r="AR11" s="362">
        <f>AQ11-AR10</f>
        <v>1762470</v>
      </c>
      <c r="AS11" s="362">
        <f t="shared" ref="AS11:BC11" si="29">AR11-AS10</f>
        <v>1746450</v>
      </c>
      <c r="AT11" s="362">
        <f t="shared" si="29"/>
        <v>1730430</v>
      </c>
      <c r="AU11" s="362">
        <f t="shared" si="29"/>
        <v>1714410</v>
      </c>
      <c r="AV11" s="362">
        <f t="shared" si="29"/>
        <v>1698390</v>
      </c>
      <c r="AW11" s="362">
        <f t="shared" si="29"/>
        <v>1682370</v>
      </c>
      <c r="AX11" s="362">
        <f t="shared" si="29"/>
        <v>1666350</v>
      </c>
      <c r="AY11" s="362">
        <f t="shared" si="29"/>
        <v>1650330</v>
      </c>
      <c r="AZ11" s="362">
        <f t="shared" si="29"/>
        <v>1634310</v>
      </c>
      <c r="BA11" s="362">
        <f t="shared" si="29"/>
        <v>1618290</v>
      </c>
      <c r="BB11" s="362">
        <f t="shared" si="29"/>
        <v>1602270</v>
      </c>
      <c r="BC11" s="362">
        <f t="shared" si="29"/>
        <v>1586250</v>
      </c>
      <c r="BD11" s="362">
        <f>BC11</f>
        <v>1586250</v>
      </c>
      <c r="BE11" s="362">
        <f>BD11-BE10</f>
        <v>1570230</v>
      </c>
      <c r="BF11" s="362">
        <f t="shared" ref="BF11:BP11" si="30">BE11-BF10</f>
        <v>1554210</v>
      </c>
      <c r="BG11" s="362">
        <f t="shared" si="30"/>
        <v>1538190</v>
      </c>
      <c r="BH11" s="362">
        <f t="shared" si="30"/>
        <v>1522170</v>
      </c>
      <c r="BI11" s="362">
        <f t="shared" si="30"/>
        <v>1506150</v>
      </c>
      <c r="BJ11" s="362">
        <f t="shared" si="30"/>
        <v>1490130</v>
      </c>
      <c r="BK11" s="362">
        <f t="shared" si="30"/>
        <v>1474110</v>
      </c>
      <c r="BL11" s="362">
        <f t="shared" si="30"/>
        <v>1458090</v>
      </c>
      <c r="BM11" s="362">
        <f t="shared" si="30"/>
        <v>1442070</v>
      </c>
      <c r="BN11" s="362">
        <f t="shared" si="30"/>
        <v>1426050</v>
      </c>
      <c r="BO11" s="362">
        <f t="shared" si="30"/>
        <v>1410030</v>
      </c>
      <c r="BP11" s="362">
        <f t="shared" si="30"/>
        <v>1394010</v>
      </c>
      <c r="BQ11" s="362">
        <f>BP11</f>
        <v>1394010</v>
      </c>
      <c r="BR11" s="362">
        <f>BQ11-BR10</f>
        <v>1377990</v>
      </c>
      <c r="BS11" s="362">
        <f t="shared" ref="BS11:CC11" si="31">BR11-BS10</f>
        <v>1361970</v>
      </c>
      <c r="BT11" s="362">
        <f t="shared" si="31"/>
        <v>1345950</v>
      </c>
      <c r="BU11" s="362">
        <f t="shared" si="31"/>
        <v>1329930</v>
      </c>
      <c r="BV11" s="362">
        <f t="shared" si="31"/>
        <v>1313910</v>
      </c>
      <c r="BW11" s="362">
        <f t="shared" si="31"/>
        <v>1297890</v>
      </c>
      <c r="BX11" s="362">
        <f t="shared" si="31"/>
        <v>1281870</v>
      </c>
      <c r="BY11" s="362">
        <f t="shared" si="31"/>
        <v>1265850</v>
      </c>
      <c r="BZ11" s="362">
        <f t="shared" si="31"/>
        <v>1249830</v>
      </c>
      <c r="CA11" s="362">
        <f t="shared" si="31"/>
        <v>1233810</v>
      </c>
      <c r="CB11" s="362">
        <f t="shared" si="31"/>
        <v>1217790</v>
      </c>
      <c r="CC11" s="362">
        <f t="shared" si="31"/>
        <v>1201770</v>
      </c>
      <c r="CD11" s="362">
        <f>CC11</f>
        <v>1201770</v>
      </c>
      <c r="CE11" s="362">
        <f>CD11-CE10</f>
        <v>1185750</v>
      </c>
      <c r="CF11" s="362">
        <f t="shared" ref="CF11:CP11" si="32">CE11-CF10</f>
        <v>1169730</v>
      </c>
      <c r="CG11" s="362">
        <f t="shared" si="32"/>
        <v>1153710</v>
      </c>
      <c r="CH11" s="362">
        <f t="shared" si="32"/>
        <v>1137690</v>
      </c>
      <c r="CI11" s="362">
        <f t="shared" si="32"/>
        <v>1121670</v>
      </c>
      <c r="CJ11" s="362">
        <f t="shared" si="32"/>
        <v>1105650</v>
      </c>
      <c r="CK11" s="362">
        <f t="shared" si="32"/>
        <v>1089630</v>
      </c>
      <c r="CL11" s="362">
        <f t="shared" si="32"/>
        <v>1073610</v>
      </c>
      <c r="CM11" s="362">
        <f t="shared" si="32"/>
        <v>1057590</v>
      </c>
      <c r="CN11" s="362">
        <f t="shared" si="32"/>
        <v>1041570</v>
      </c>
      <c r="CO11" s="362">
        <f t="shared" si="32"/>
        <v>1025550</v>
      </c>
      <c r="CP11" s="362">
        <f t="shared" si="32"/>
        <v>1009530</v>
      </c>
      <c r="CQ11" s="362">
        <f>CP11</f>
        <v>1009530</v>
      </c>
      <c r="CR11" s="362">
        <f>CQ11-CR10</f>
        <v>993510</v>
      </c>
      <c r="CS11" s="362">
        <f t="shared" ref="CS11:DC11" si="33">CR11-CS10</f>
        <v>977490</v>
      </c>
      <c r="CT11" s="362">
        <f t="shared" si="33"/>
        <v>961470</v>
      </c>
      <c r="CU11" s="362">
        <f t="shared" si="33"/>
        <v>945450</v>
      </c>
      <c r="CV11" s="362">
        <f t="shared" si="33"/>
        <v>929430</v>
      </c>
      <c r="CW11" s="362">
        <f t="shared" si="33"/>
        <v>913410</v>
      </c>
      <c r="CX11" s="362">
        <f t="shared" si="33"/>
        <v>897390</v>
      </c>
      <c r="CY11" s="362">
        <f t="shared" si="33"/>
        <v>881370</v>
      </c>
      <c r="CZ11" s="362">
        <f t="shared" si="33"/>
        <v>865350</v>
      </c>
      <c r="DA11" s="362">
        <f t="shared" si="33"/>
        <v>849330</v>
      </c>
      <c r="DB11" s="362">
        <f t="shared" si="33"/>
        <v>833310</v>
      </c>
      <c r="DC11" s="362">
        <f t="shared" si="33"/>
        <v>817290</v>
      </c>
      <c r="DD11" s="362">
        <f>DC11</f>
        <v>817290</v>
      </c>
      <c r="DE11" s="362">
        <f>DD11-DE10</f>
        <v>801270</v>
      </c>
      <c r="DF11" s="362">
        <f t="shared" ref="DF11:DP11" si="34">DE11-DF10</f>
        <v>785250</v>
      </c>
      <c r="DG11" s="362">
        <f t="shared" si="34"/>
        <v>769230</v>
      </c>
      <c r="DH11" s="362">
        <f t="shared" si="34"/>
        <v>753210</v>
      </c>
      <c r="DI11" s="362">
        <f t="shared" si="34"/>
        <v>737190</v>
      </c>
      <c r="DJ11" s="362">
        <f t="shared" si="34"/>
        <v>721170</v>
      </c>
      <c r="DK11" s="362">
        <f t="shared" si="34"/>
        <v>705150</v>
      </c>
      <c r="DL11" s="362">
        <f t="shared" si="34"/>
        <v>689130</v>
      </c>
      <c r="DM11" s="362">
        <f t="shared" si="34"/>
        <v>673110</v>
      </c>
      <c r="DN11" s="362">
        <f t="shared" si="34"/>
        <v>657090</v>
      </c>
      <c r="DO11" s="362">
        <f t="shared" si="34"/>
        <v>641070</v>
      </c>
      <c r="DP11" s="362">
        <f t="shared" si="34"/>
        <v>625050</v>
      </c>
      <c r="DQ11" s="362">
        <f>DP11</f>
        <v>625050</v>
      </c>
      <c r="DR11" s="362">
        <f>DQ11-DR10</f>
        <v>609030</v>
      </c>
      <c r="DS11" s="362">
        <f t="shared" ref="DS11:EC11" si="35">DR11-DS10</f>
        <v>593010</v>
      </c>
      <c r="DT11" s="362">
        <f t="shared" si="35"/>
        <v>576990</v>
      </c>
      <c r="DU11" s="362">
        <f t="shared" si="35"/>
        <v>560970</v>
      </c>
      <c r="DV11" s="362">
        <f t="shared" si="35"/>
        <v>544950</v>
      </c>
      <c r="DW11" s="362">
        <f t="shared" si="35"/>
        <v>528930</v>
      </c>
      <c r="DX11" s="362">
        <f t="shared" si="35"/>
        <v>512910</v>
      </c>
      <c r="DY11" s="362">
        <f t="shared" si="35"/>
        <v>496890</v>
      </c>
      <c r="DZ11" s="362">
        <f t="shared" si="35"/>
        <v>480870</v>
      </c>
      <c r="EA11" s="362">
        <f t="shared" si="35"/>
        <v>464850</v>
      </c>
      <c r="EB11" s="362">
        <f t="shared" si="35"/>
        <v>448830</v>
      </c>
      <c r="EC11" s="362">
        <f t="shared" si="35"/>
        <v>432810</v>
      </c>
      <c r="ED11" s="362">
        <f>EC11</f>
        <v>432810</v>
      </c>
      <c r="EE11" s="362">
        <f>ED11-EE10</f>
        <v>416790</v>
      </c>
      <c r="EF11" s="362">
        <f t="shared" ref="EF11:EP11" si="36">EE11-EF10</f>
        <v>400770</v>
      </c>
      <c r="EG11" s="362">
        <f t="shared" si="36"/>
        <v>384750</v>
      </c>
      <c r="EH11" s="362">
        <f t="shared" si="36"/>
        <v>368730</v>
      </c>
      <c r="EI11" s="362">
        <f t="shared" si="36"/>
        <v>352710</v>
      </c>
      <c r="EJ11" s="362">
        <f t="shared" si="36"/>
        <v>336690</v>
      </c>
      <c r="EK11" s="362">
        <f t="shared" si="36"/>
        <v>320670</v>
      </c>
      <c r="EL11" s="362">
        <f t="shared" si="36"/>
        <v>304650</v>
      </c>
      <c r="EM11" s="362">
        <f t="shared" si="36"/>
        <v>288630</v>
      </c>
      <c r="EN11" s="362">
        <f t="shared" si="36"/>
        <v>272610</v>
      </c>
      <c r="EO11" s="362">
        <f t="shared" si="36"/>
        <v>256590</v>
      </c>
      <c r="EP11" s="362">
        <f t="shared" si="36"/>
        <v>240570</v>
      </c>
      <c r="EQ11" s="362">
        <f>EP11</f>
        <v>240570</v>
      </c>
      <c r="ER11" s="362">
        <f>EQ11-ER10</f>
        <v>224550</v>
      </c>
      <c r="ES11" s="362">
        <f t="shared" ref="ES11:FC11" si="37">ER11-ES10</f>
        <v>208530</v>
      </c>
      <c r="ET11" s="362">
        <f t="shared" si="37"/>
        <v>192510</v>
      </c>
      <c r="EU11" s="362">
        <f t="shared" si="37"/>
        <v>176490</v>
      </c>
      <c r="EV11" s="362">
        <f t="shared" si="37"/>
        <v>160470</v>
      </c>
      <c r="EW11" s="362">
        <f t="shared" si="37"/>
        <v>144450</v>
      </c>
      <c r="EX11" s="362">
        <f t="shared" si="37"/>
        <v>128430</v>
      </c>
      <c r="EY11" s="362">
        <f t="shared" si="37"/>
        <v>112410</v>
      </c>
      <c r="EZ11" s="362">
        <f t="shared" si="37"/>
        <v>96390</v>
      </c>
      <c r="FA11" s="362">
        <f t="shared" si="37"/>
        <v>80370</v>
      </c>
      <c r="FB11" s="362">
        <f t="shared" si="37"/>
        <v>64350</v>
      </c>
      <c r="FC11" s="362">
        <f t="shared" si="37"/>
        <v>48330</v>
      </c>
      <c r="FD11" s="362">
        <f>FC11</f>
        <v>48330</v>
      </c>
      <c r="FE11" s="362">
        <f>FD11-FE10</f>
        <v>32310</v>
      </c>
      <c r="FF11" s="362">
        <f t="shared" ref="FF11:FP11" si="38">FE11-FF10</f>
        <v>16290</v>
      </c>
      <c r="FG11" s="362">
        <f t="shared" si="38"/>
        <v>0</v>
      </c>
      <c r="FH11" s="362">
        <f t="shared" si="38"/>
        <v>0</v>
      </c>
      <c r="FI11" s="362">
        <f t="shared" si="38"/>
        <v>0</v>
      </c>
      <c r="FJ11" s="362">
        <f t="shared" si="38"/>
        <v>0</v>
      </c>
      <c r="FK11" s="362">
        <f t="shared" si="38"/>
        <v>0</v>
      </c>
      <c r="FL11" s="362">
        <f t="shared" si="38"/>
        <v>0</v>
      </c>
      <c r="FM11" s="362">
        <f t="shared" si="38"/>
        <v>0</v>
      </c>
      <c r="FN11" s="362">
        <f t="shared" si="38"/>
        <v>0</v>
      </c>
      <c r="FO11" s="362">
        <f t="shared" si="38"/>
        <v>0</v>
      </c>
      <c r="FP11" s="362">
        <f t="shared" si="38"/>
        <v>0</v>
      </c>
      <c r="FQ11" s="362">
        <f>FP11</f>
        <v>0</v>
      </c>
    </row>
    <row r="12" spans="1:173">
      <c r="A12" s="365"/>
      <c r="B12" s="349" t="s">
        <v>409</v>
      </c>
      <c r="C12" s="366">
        <v>1888200</v>
      </c>
      <c r="D12" s="361"/>
      <c r="E12" s="362">
        <v>14525</v>
      </c>
      <c r="F12" s="362">
        <v>14525</v>
      </c>
      <c r="G12" s="362">
        <v>14525</v>
      </c>
      <c r="H12" s="362">
        <v>14525</v>
      </c>
      <c r="I12" s="362">
        <v>14525</v>
      </c>
      <c r="J12" s="362">
        <v>14525</v>
      </c>
      <c r="K12" s="362">
        <v>14525</v>
      </c>
      <c r="L12" s="362">
        <v>14525</v>
      </c>
      <c r="M12" s="362">
        <v>14525</v>
      </c>
      <c r="N12" s="362">
        <v>14525</v>
      </c>
      <c r="O12" s="362">
        <v>14525</v>
      </c>
      <c r="P12" s="362">
        <v>14525</v>
      </c>
      <c r="Q12" s="363">
        <f>SUM(J12:P12)</f>
        <v>101675</v>
      </c>
      <c r="R12" s="362">
        <v>14525</v>
      </c>
      <c r="S12" s="362">
        <v>14525</v>
      </c>
      <c r="T12" s="362">
        <v>14525</v>
      </c>
      <c r="U12" s="362">
        <v>14525</v>
      </c>
      <c r="V12" s="362">
        <v>14525</v>
      </c>
      <c r="W12" s="362">
        <v>14525</v>
      </c>
      <c r="X12" s="362">
        <v>14525</v>
      </c>
      <c r="Y12" s="362">
        <v>14525</v>
      </c>
      <c r="Z12" s="362">
        <v>14525</v>
      </c>
      <c r="AA12" s="362">
        <v>14525</v>
      </c>
      <c r="AB12" s="362">
        <v>14525</v>
      </c>
      <c r="AC12" s="362">
        <v>14525</v>
      </c>
      <c r="AD12" s="362">
        <f>SUM(R12:AC12)</f>
        <v>174300</v>
      </c>
      <c r="AE12" s="362">
        <v>14525</v>
      </c>
      <c r="AF12" s="362">
        <v>14525</v>
      </c>
      <c r="AG12" s="362">
        <v>14525</v>
      </c>
      <c r="AH12" s="362">
        <v>14525</v>
      </c>
      <c r="AI12" s="362">
        <v>14525</v>
      </c>
      <c r="AJ12" s="362">
        <v>14525</v>
      </c>
      <c r="AK12" s="362">
        <v>14525</v>
      </c>
      <c r="AL12" s="362">
        <v>14525</v>
      </c>
      <c r="AM12" s="362">
        <v>14525</v>
      </c>
      <c r="AN12" s="362">
        <v>14525</v>
      </c>
      <c r="AO12" s="362">
        <v>14525</v>
      </c>
      <c r="AP12" s="362">
        <v>14525</v>
      </c>
      <c r="AQ12" s="361"/>
      <c r="AR12" s="362">
        <v>14525</v>
      </c>
      <c r="AS12" s="362">
        <v>14525</v>
      </c>
      <c r="AT12" s="362">
        <v>14525</v>
      </c>
      <c r="AU12" s="362">
        <v>14525</v>
      </c>
      <c r="AV12" s="362">
        <v>14525</v>
      </c>
      <c r="AW12" s="362">
        <v>14525</v>
      </c>
      <c r="AX12" s="362">
        <v>14525</v>
      </c>
      <c r="AY12" s="362">
        <v>14525</v>
      </c>
      <c r="AZ12" s="362">
        <v>14525</v>
      </c>
      <c r="BA12" s="362">
        <v>14525</v>
      </c>
      <c r="BB12" s="362">
        <v>14525</v>
      </c>
      <c r="BC12" s="362">
        <v>14525</v>
      </c>
      <c r="BD12" s="362"/>
      <c r="BE12" s="362">
        <v>14525</v>
      </c>
      <c r="BF12" s="362">
        <v>14525</v>
      </c>
      <c r="BG12" s="362">
        <v>14525</v>
      </c>
      <c r="BH12" s="362">
        <v>14525</v>
      </c>
      <c r="BI12" s="362">
        <v>14525</v>
      </c>
      <c r="BJ12" s="362">
        <v>14525</v>
      </c>
      <c r="BK12" s="362">
        <v>14525</v>
      </c>
      <c r="BL12" s="362">
        <v>14525</v>
      </c>
      <c r="BM12" s="362">
        <v>14525</v>
      </c>
      <c r="BN12" s="362">
        <v>14525</v>
      </c>
      <c r="BO12" s="362">
        <v>14525</v>
      </c>
      <c r="BP12" s="362">
        <v>14525</v>
      </c>
      <c r="BQ12" s="362"/>
      <c r="BR12" s="362">
        <v>14525</v>
      </c>
      <c r="BS12" s="362">
        <v>14525</v>
      </c>
      <c r="BT12" s="362">
        <v>14525</v>
      </c>
      <c r="BU12" s="362">
        <v>14525</v>
      </c>
      <c r="BV12" s="362">
        <v>14525</v>
      </c>
      <c r="BW12" s="362">
        <v>14525</v>
      </c>
      <c r="BX12" s="362">
        <v>14525</v>
      </c>
      <c r="BY12" s="362">
        <v>14525</v>
      </c>
      <c r="BZ12" s="362">
        <v>14525</v>
      </c>
      <c r="CA12" s="362">
        <v>14525</v>
      </c>
      <c r="CB12" s="362">
        <v>14525</v>
      </c>
      <c r="CC12" s="362">
        <v>14525</v>
      </c>
      <c r="CD12" s="362"/>
      <c r="CE12" s="362">
        <v>14525</v>
      </c>
      <c r="CF12" s="362">
        <v>14525</v>
      </c>
      <c r="CG12" s="362">
        <v>14525</v>
      </c>
      <c r="CH12" s="362">
        <v>14525</v>
      </c>
      <c r="CI12" s="362">
        <v>14525</v>
      </c>
      <c r="CJ12" s="362">
        <v>14525</v>
      </c>
      <c r="CK12" s="362">
        <v>14525</v>
      </c>
      <c r="CL12" s="362">
        <v>14525</v>
      </c>
      <c r="CM12" s="362">
        <v>14525</v>
      </c>
      <c r="CN12" s="362">
        <v>14525</v>
      </c>
      <c r="CO12" s="362">
        <v>14525</v>
      </c>
      <c r="CP12" s="362">
        <v>14525</v>
      </c>
      <c r="CQ12" s="362"/>
      <c r="CR12" s="362">
        <v>14525</v>
      </c>
      <c r="CS12" s="362">
        <v>14525</v>
      </c>
      <c r="CT12" s="362">
        <v>14525</v>
      </c>
      <c r="CU12" s="362">
        <v>14525</v>
      </c>
      <c r="CV12" s="362">
        <v>14525</v>
      </c>
      <c r="CW12" s="362">
        <v>14525</v>
      </c>
      <c r="CX12" s="362">
        <v>14525</v>
      </c>
      <c r="CY12" s="362">
        <v>14525</v>
      </c>
      <c r="CZ12" s="362">
        <v>14525</v>
      </c>
      <c r="DA12" s="362">
        <v>14525</v>
      </c>
      <c r="DB12" s="362">
        <v>14525</v>
      </c>
      <c r="DC12" s="362">
        <v>14525</v>
      </c>
      <c r="DD12" s="362"/>
      <c r="DE12" s="362">
        <v>14525</v>
      </c>
      <c r="DF12" s="362">
        <v>14525</v>
      </c>
      <c r="DG12" s="362">
        <v>14525</v>
      </c>
      <c r="DH12" s="362">
        <v>14525</v>
      </c>
      <c r="DI12" s="362">
        <v>14525</v>
      </c>
      <c r="DJ12" s="362">
        <v>14525</v>
      </c>
      <c r="DK12" s="362">
        <v>14525</v>
      </c>
      <c r="DL12" s="362">
        <v>14525</v>
      </c>
      <c r="DM12" s="362">
        <v>14525</v>
      </c>
      <c r="DN12" s="362">
        <v>14525</v>
      </c>
      <c r="DO12" s="362">
        <v>14525</v>
      </c>
      <c r="DP12" s="362">
        <v>14525</v>
      </c>
      <c r="DQ12" s="362"/>
      <c r="DR12" s="362">
        <v>14525</v>
      </c>
      <c r="DS12" s="362">
        <v>14525</v>
      </c>
      <c r="DT12" s="362">
        <v>14525</v>
      </c>
      <c r="DU12" s="362">
        <v>14525</v>
      </c>
      <c r="DV12" s="362">
        <v>14525</v>
      </c>
      <c r="DW12" s="362">
        <v>14525</v>
      </c>
      <c r="DX12" s="362">
        <v>14525</v>
      </c>
      <c r="DY12" s="362">
        <v>14525</v>
      </c>
      <c r="DZ12" s="362">
        <v>14525</v>
      </c>
      <c r="EA12" s="362">
        <v>14525</v>
      </c>
      <c r="EB12" s="362">
        <v>14525</v>
      </c>
      <c r="EC12" s="362">
        <v>14525</v>
      </c>
      <c r="ED12" s="362"/>
      <c r="EE12" s="362">
        <v>14525</v>
      </c>
      <c r="EF12" s="362">
        <v>14525</v>
      </c>
      <c r="EG12" s="362">
        <v>14525</v>
      </c>
      <c r="EH12" s="362">
        <v>14525</v>
      </c>
      <c r="EI12" s="362">
        <f>14525+5380.24</f>
        <v>19905.239999999998</v>
      </c>
      <c r="EJ12" s="362"/>
      <c r="EK12" s="362"/>
      <c r="EL12" s="362"/>
      <c r="EM12" s="362"/>
      <c r="EN12" s="362"/>
      <c r="EO12" s="362"/>
      <c r="EP12" s="362"/>
      <c r="EQ12" s="362"/>
      <c r="ER12" s="362"/>
      <c r="ES12" s="362"/>
      <c r="ET12" s="362"/>
      <c r="EU12" s="362"/>
      <c r="EV12" s="362"/>
      <c r="EW12" s="362"/>
      <c r="EX12" s="362"/>
      <c r="EY12" s="362"/>
      <c r="EZ12" s="362"/>
      <c r="FA12" s="362"/>
      <c r="FB12" s="362"/>
      <c r="FC12" s="362"/>
      <c r="FD12" s="362"/>
      <c r="FE12" s="362"/>
      <c r="FF12" s="362"/>
      <c r="FG12" s="362"/>
      <c r="FH12" s="362"/>
      <c r="FI12" s="362"/>
      <c r="FJ12" s="362"/>
      <c r="FK12" s="362"/>
      <c r="FL12" s="362"/>
      <c r="FM12" s="362"/>
      <c r="FN12" s="362"/>
      <c r="FO12" s="362"/>
      <c r="FP12" s="362"/>
      <c r="FQ12" s="362"/>
    </row>
    <row r="13" spans="1:173">
      <c r="A13" s="352"/>
      <c r="B13" s="350"/>
      <c r="C13" s="364" t="s">
        <v>405</v>
      </c>
      <c r="D13" s="362">
        <v>1815625</v>
      </c>
      <c r="E13" s="362">
        <f>D13-E12</f>
        <v>1801100</v>
      </c>
      <c r="F13" s="362">
        <f t="shared" ref="F13:P13" si="39">E13-F12</f>
        <v>1786575</v>
      </c>
      <c r="G13" s="362">
        <f t="shared" si="39"/>
        <v>1772050</v>
      </c>
      <c r="H13" s="362">
        <f t="shared" si="39"/>
        <v>1757525</v>
      </c>
      <c r="I13" s="362">
        <f t="shared" si="39"/>
        <v>1743000</v>
      </c>
      <c r="J13" s="362">
        <f t="shared" si="39"/>
        <v>1728475</v>
      </c>
      <c r="K13" s="362">
        <f t="shared" si="39"/>
        <v>1713950</v>
      </c>
      <c r="L13" s="362">
        <f t="shared" si="39"/>
        <v>1699425</v>
      </c>
      <c r="M13" s="362">
        <f t="shared" si="39"/>
        <v>1684900</v>
      </c>
      <c r="N13" s="362">
        <f t="shared" si="39"/>
        <v>1670375</v>
      </c>
      <c r="O13" s="362">
        <f t="shared" si="39"/>
        <v>1655850</v>
      </c>
      <c r="P13" s="362">
        <f t="shared" si="39"/>
        <v>1641325</v>
      </c>
      <c r="Q13" s="362">
        <f>P13</f>
        <v>1641325</v>
      </c>
      <c r="R13" s="362">
        <f>Q13-R12</f>
        <v>1626800</v>
      </c>
      <c r="S13" s="362">
        <f t="shared" ref="S13:AC13" si="40">R13-S12</f>
        <v>1612275</v>
      </c>
      <c r="T13" s="362">
        <f t="shared" si="40"/>
        <v>1597750</v>
      </c>
      <c r="U13" s="362">
        <f t="shared" si="40"/>
        <v>1583225</v>
      </c>
      <c r="V13" s="362">
        <f t="shared" si="40"/>
        <v>1568700</v>
      </c>
      <c r="W13" s="362">
        <f t="shared" si="40"/>
        <v>1554175</v>
      </c>
      <c r="X13" s="362">
        <f t="shared" si="40"/>
        <v>1539650</v>
      </c>
      <c r="Y13" s="362">
        <f t="shared" si="40"/>
        <v>1525125</v>
      </c>
      <c r="Z13" s="362">
        <f t="shared" si="40"/>
        <v>1510600</v>
      </c>
      <c r="AA13" s="362">
        <f t="shared" si="40"/>
        <v>1496075</v>
      </c>
      <c r="AB13" s="362">
        <f t="shared" si="40"/>
        <v>1481550</v>
      </c>
      <c r="AC13" s="362">
        <f t="shared" si="40"/>
        <v>1467025</v>
      </c>
      <c r="AD13" s="362">
        <f>AC13</f>
        <v>1467025</v>
      </c>
      <c r="AE13" s="362">
        <f>AD13-AE12</f>
        <v>1452500</v>
      </c>
      <c r="AF13" s="362">
        <f t="shared" ref="AF13:AP13" si="41">AE13-AF12</f>
        <v>1437975</v>
      </c>
      <c r="AG13" s="362">
        <f t="shared" si="41"/>
        <v>1423450</v>
      </c>
      <c r="AH13" s="362">
        <f t="shared" si="41"/>
        <v>1408925</v>
      </c>
      <c r="AI13" s="362">
        <f t="shared" si="41"/>
        <v>1394400</v>
      </c>
      <c r="AJ13" s="362">
        <f t="shared" si="41"/>
        <v>1379875</v>
      </c>
      <c r="AK13" s="362">
        <f t="shared" si="41"/>
        <v>1365350</v>
      </c>
      <c r="AL13" s="362">
        <f t="shared" si="41"/>
        <v>1350825</v>
      </c>
      <c r="AM13" s="362">
        <f t="shared" si="41"/>
        <v>1336300</v>
      </c>
      <c r="AN13" s="362">
        <f t="shared" si="41"/>
        <v>1321775</v>
      </c>
      <c r="AO13" s="362">
        <f t="shared" si="41"/>
        <v>1307250</v>
      </c>
      <c r="AP13" s="362">
        <f t="shared" si="41"/>
        <v>1292725</v>
      </c>
      <c r="AQ13" s="362">
        <f>AP13</f>
        <v>1292725</v>
      </c>
      <c r="AR13" s="362">
        <f>AQ13-AR12</f>
        <v>1278200</v>
      </c>
      <c r="AS13" s="362">
        <f t="shared" ref="AS13:BC13" si="42">AR13-AS12</f>
        <v>1263675</v>
      </c>
      <c r="AT13" s="362">
        <f t="shared" si="42"/>
        <v>1249150</v>
      </c>
      <c r="AU13" s="362">
        <f t="shared" si="42"/>
        <v>1234625</v>
      </c>
      <c r="AV13" s="362">
        <f t="shared" si="42"/>
        <v>1220100</v>
      </c>
      <c r="AW13" s="362">
        <f t="shared" si="42"/>
        <v>1205575</v>
      </c>
      <c r="AX13" s="362">
        <f t="shared" si="42"/>
        <v>1191050</v>
      </c>
      <c r="AY13" s="362">
        <f t="shared" si="42"/>
        <v>1176525</v>
      </c>
      <c r="AZ13" s="362">
        <f t="shared" si="42"/>
        <v>1162000</v>
      </c>
      <c r="BA13" s="362">
        <f t="shared" si="42"/>
        <v>1147475</v>
      </c>
      <c r="BB13" s="362">
        <f t="shared" si="42"/>
        <v>1132950</v>
      </c>
      <c r="BC13" s="362">
        <f t="shared" si="42"/>
        <v>1118425</v>
      </c>
      <c r="BD13" s="362">
        <f>BC13</f>
        <v>1118425</v>
      </c>
      <c r="BE13" s="362">
        <f>BD13-BE12</f>
        <v>1103900</v>
      </c>
      <c r="BF13" s="362">
        <f t="shared" ref="BF13:BP13" si="43">BE13-BF12</f>
        <v>1089375</v>
      </c>
      <c r="BG13" s="362">
        <f t="shared" si="43"/>
        <v>1074850</v>
      </c>
      <c r="BH13" s="362">
        <f t="shared" si="43"/>
        <v>1060325</v>
      </c>
      <c r="BI13" s="362">
        <f t="shared" si="43"/>
        <v>1045800</v>
      </c>
      <c r="BJ13" s="362">
        <f t="shared" si="43"/>
        <v>1031275</v>
      </c>
      <c r="BK13" s="362">
        <f t="shared" si="43"/>
        <v>1016750</v>
      </c>
      <c r="BL13" s="362">
        <f t="shared" si="43"/>
        <v>1002225</v>
      </c>
      <c r="BM13" s="362">
        <f t="shared" si="43"/>
        <v>987700</v>
      </c>
      <c r="BN13" s="362">
        <f t="shared" si="43"/>
        <v>973175</v>
      </c>
      <c r="BO13" s="362">
        <f t="shared" si="43"/>
        <v>958650</v>
      </c>
      <c r="BP13" s="362">
        <f t="shared" si="43"/>
        <v>944125</v>
      </c>
      <c r="BQ13" s="362">
        <f>BP13</f>
        <v>944125</v>
      </c>
      <c r="BR13" s="362">
        <f>BQ13-BR12</f>
        <v>929600</v>
      </c>
      <c r="BS13" s="362">
        <f t="shared" ref="BS13:CC13" si="44">BR13-BS12</f>
        <v>915075</v>
      </c>
      <c r="BT13" s="362">
        <f t="shared" si="44"/>
        <v>900550</v>
      </c>
      <c r="BU13" s="362">
        <f t="shared" si="44"/>
        <v>886025</v>
      </c>
      <c r="BV13" s="362">
        <f t="shared" si="44"/>
        <v>871500</v>
      </c>
      <c r="BW13" s="362">
        <f t="shared" si="44"/>
        <v>856975</v>
      </c>
      <c r="BX13" s="362">
        <f t="shared" si="44"/>
        <v>842450</v>
      </c>
      <c r="BY13" s="362">
        <f t="shared" si="44"/>
        <v>827925</v>
      </c>
      <c r="BZ13" s="362">
        <f t="shared" si="44"/>
        <v>813400</v>
      </c>
      <c r="CA13" s="362">
        <f t="shared" si="44"/>
        <v>798875</v>
      </c>
      <c r="CB13" s="362">
        <f t="shared" si="44"/>
        <v>784350</v>
      </c>
      <c r="CC13" s="362">
        <f t="shared" si="44"/>
        <v>769825</v>
      </c>
      <c r="CD13" s="362">
        <f>CC13</f>
        <v>769825</v>
      </c>
      <c r="CE13" s="362">
        <f>CD13-CE12</f>
        <v>755300</v>
      </c>
      <c r="CF13" s="362">
        <f t="shared" ref="CF13:CP13" si="45">CE13-CF12</f>
        <v>740775</v>
      </c>
      <c r="CG13" s="362">
        <f t="shared" si="45"/>
        <v>726250</v>
      </c>
      <c r="CH13" s="362">
        <f t="shared" si="45"/>
        <v>711725</v>
      </c>
      <c r="CI13" s="362">
        <f t="shared" si="45"/>
        <v>697200</v>
      </c>
      <c r="CJ13" s="362">
        <f t="shared" si="45"/>
        <v>682675</v>
      </c>
      <c r="CK13" s="362">
        <f t="shared" si="45"/>
        <v>668150</v>
      </c>
      <c r="CL13" s="362">
        <f t="shared" si="45"/>
        <v>653625</v>
      </c>
      <c r="CM13" s="362">
        <f t="shared" si="45"/>
        <v>639100</v>
      </c>
      <c r="CN13" s="362">
        <f t="shared" si="45"/>
        <v>624575</v>
      </c>
      <c r="CO13" s="362">
        <f t="shared" si="45"/>
        <v>610050</v>
      </c>
      <c r="CP13" s="362">
        <f t="shared" si="45"/>
        <v>595525</v>
      </c>
      <c r="CQ13" s="362">
        <f>CP13</f>
        <v>595525</v>
      </c>
      <c r="CR13" s="362">
        <f>CQ13-CR12</f>
        <v>581000</v>
      </c>
      <c r="CS13" s="362">
        <f t="shared" ref="CS13:DC13" si="46">CR13-CS12</f>
        <v>566475</v>
      </c>
      <c r="CT13" s="362">
        <f t="shared" si="46"/>
        <v>551950</v>
      </c>
      <c r="CU13" s="362">
        <f t="shared" si="46"/>
        <v>537425</v>
      </c>
      <c r="CV13" s="362">
        <f t="shared" si="46"/>
        <v>522900</v>
      </c>
      <c r="CW13" s="362">
        <f t="shared" si="46"/>
        <v>508375</v>
      </c>
      <c r="CX13" s="362">
        <f t="shared" si="46"/>
        <v>493850</v>
      </c>
      <c r="CY13" s="362">
        <f t="shared" si="46"/>
        <v>479325</v>
      </c>
      <c r="CZ13" s="362">
        <f t="shared" si="46"/>
        <v>464800</v>
      </c>
      <c r="DA13" s="362">
        <f t="shared" si="46"/>
        <v>450275</v>
      </c>
      <c r="DB13" s="362">
        <f t="shared" si="46"/>
        <v>435750</v>
      </c>
      <c r="DC13" s="362">
        <f t="shared" si="46"/>
        <v>421225</v>
      </c>
      <c r="DD13" s="362">
        <f>DC13</f>
        <v>421225</v>
      </c>
      <c r="DE13" s="362">
        <f>DD13-DE12</f>
        <v>406700</v>
      </c>
      <c r="DF13" s="362">
        <f t="shared" ref="DF13:DP13" si="47">DE13-DF12</f>
        <v>392175</v>
      </c>
      <c r="DG13" s="362">
        <f t="shared" si="47"/>
        <v>377650</v>
      </c>
      <c r="DH13" s="362">
        <f t="shared" si="47"/>
        <v>363125</v>
      </c>
      <c r="DI13" s="362">
        <f t="shared" si="47"/>
        <v>348600</v>
      </c>
      <c r="DJ13" s="362">
        <f t="shared" si="47"/>
        <v>334075</v>
      </c>
      <c r="DK13" s="362">
        <f t="shared" si="47"/>
        <v>319550</v>
      </c>
      <c r="DL13" s="362">
        <f t="shared" si="47"/>
        <v>305025</v>
      </c>
      <c r="DM13" s="362">
        <f t="shared" si="47"/>
        <v>290500</v>
      </c>
      <c r="DN13" s="362">
        <f t="shared" si="47"/>
        <v>275975</v>
      </c>
      <c r="DO13" s="362">
        <f t="shared" si="47"/>
        <v>261450</v>
      </c>
      <c r="DP13" s="362">
        <f t="shared" si="47"/>
        <v>246925</v>
      </c>
      <c r="DQ13" s="362">
        <f>DP13</f>
        <v>246925</v>
      </c>
      <c r="DR13" s="362">
        <f>DQ13-DR12</f>
        <v>232400</v>
      </c>
      <c r="DS13" s="362">
        <f t="shared" ref="DS13:EC13" si="48">DR13-DS12</f>
        <v>217875</v>
      </c>
      <c r="DT13" s="362">
        <f t="shared" si="48"/>
        <v>203350</v>
      </c>
      <c r="DU13" s="362">
        <f t="shared" si="48"/>
        <v>188825</v>
      </c>
      <c r="DV13" s="362">
        <f t="shared" si="48"/>
        <v>174300</v>
      </c>
      <c r="DW13" s="362">
        <f t="shared" si="48"/>
        <v>159775</v>
      </c>
      <c r="DX13" s="362">
        <f t="shared" si="48"/>
        <v>145250</v>
      </c>
      <c r="DY13" s="362">
        <f t="shared" si="48"/>
        <v>130725</v>
      </c>
      <c r="DZ13" s="362">
        <f t="shared" si="48"/>
        <v>116200</v>
      </c>
      <c r="EA13" s="362">
        <f t="shared" si="48"/>
        <v>101675</v>
      </c>
      <c r="EB13" s="362">
        <f t="shared" si="48"/>
        <v>87150</v>
      </c>
      <c r="EC13" s="362">
        <f t="shared" si="48"/>
        <v>72625</v>
      </c>
      <c r="ED13" s="362">
        <f>EC13</f>
        <v>72625</v>
      </c>
      <c r="EE13" s="362">
        <f>ED13-EE12</f>
        <v>58100</v>
      </c>
      <c r="EF13" s="362">
        <f t="shared" ref="EF13:EP13" si="49">EE13-EF12</f>
        <v>43575</v>
      </c>
      <c r="EG13" s="362">
        <f t="shared" si="49"/>
        <v>29050</v>
      </c>
      <c r="EH13" s="362">
        <f t="shared" si="49"/>
        <v>14525</v>
      </c>
      <c r="EI13" s="362">
        <f t="shared" si="49"/>
        <v>-5380.239999999998</v>
      </c>
      <c r="EJ13" s="362">
        <f t="shared" si="49"/>
        <v>-5380.239999999998</v>
      </c>
      <c r="EK13" s="362">
        <f t="shared" si="49"/>
        <v>-5380.239999999998</v>
      </c>
      <c r="EL13" s="362">
        <f t="shared" si="49"/>
        <v>-5380.239999999998</v>
      </c>
      <c r="EM13" s="362">
        <f t="shared" si="49"/>
        <v>-5380.239999999998</v>
      </c>
      <c r="EN13" s="362">
        <f t="shared" si="49"/>
        <v>-5380.239999999998</v>
      </c>
      <c r="EO13" s="362">
        <f t="shared" si="49"/>
        <v>-5380.239999999998</v>
      </c>
      <c r="EP13" s="362">
        <f t="shared" si="49"/>
        <v>-5380.239999999998</v>
      </c>
      <c r="EQ13" s="362">
        <f>EP13</f>
        <v>-5380.239999999998</v>
      </c>
      <c r="ER13" s="362">
        <f>EQ13-ER12</f>
        <v>-5380.239999999998</v>
      </c>
      <c r="ES13" s="362">
        <f t="shared" ref="ES13:FC13" si="50">ER13-ES12</f>
        <v>-5380.239999999998</v>
      </c>
      <c r="ET13" s="362">
        <f t="shared" si="50"/>
        <v>-5380.239999999998</v>
      </c>
      <c r="EU13" s="362">
        <f t="shared" si="50"/>
        <v>-5380.239999999998</v>
      </c>
      <c r="EV13" s="362">
        <f t="shared" si="50"/>
        <v>-5380.239999999998</v>
      </c>
      <c r="EW13" s="362">
        <f t="shared" si="50"/>
        <v>-5380.239999999998</v>
      </c>
      <c r="EX13" s="362">
        <f t="shared" si="50"/>
        <v>-5380.239999999998</v>
      </c>
      <c r="EY13" s="362">
        <f t="shared" si="50"/>
        <v>-5380.239999999998</v>
      </c>
      <c r="EZ13" s="362">
        <f t="shared" si="50"/>
        <v>-5380.239999999998</v>
      </c>
      <c r="FA13" s="362">
        <f t="shared" si="50"/>
        <v>-5380.239999999998</v>
      </c>
      <c r="FB13" s="362">
        <f t="shared" si="50"/>
        <v>-5380.239999999998</v>
      </c>
      <c r="FC13" s="362">
        <f t="shared" si="50"/>
        <v>-5380.239999999998</v>
      </c>
      <c r="FD13" s="362">
        <f>FC13</f>
        <v>-5380.239999999998</v>
      </c>
      <c r="FE13" s="362">
        <f>FD13-FE12</f>
        <v>-5380.239999999998</v>
      </c>
      <c r="FF13" s="362">
        <f t="shared" ref="FF13:FP13" si="51">FE13-FF12</f>
        <v>-5380.239999999998</v>
      </c>
      <c r="FG13" s="362">
        <f t="shared" si="51"/>
        <v>-5380.239999999998</v>
      </c>
      <c r="FH13" s="362">
        <f t="shared" si="51"/>
        <v>-5380.239999999998</v>
      </c>
      <c r="FI13" s="362">
        <f t="shared" si="51"/>
        <v>-5380.239999999998</v>
      </c>
      <c r="FJ13" s="362">
        <f t="shared" si="51"/>
        <v>-5380.239999999998</v>
      </c>
      <c r="FK13" s="362">
        <f t="shared" si="51"/>
        <v>-5380.239999999998</v>
      </c>
      <c r="FL13" s="362">
        <f t="shared" si="51"/>
        <v>-5380.239999999998</v>
      </c>
      <c r="FM13" s="362">
        <f t="shared" si="51"/>
        <v>-5380.239999999998</v>
      </c>
      <c r="FN13" s="362">
        <f t="shared" si="51"/>
        <v>-5380.239999999998</v>
      </c>
      <c r="FO13" s="362">
        <f t="shared" si="51"/>
        <v>-5380.239999999998</v>
      </c>
      <c r="FP13" s="362">
        <f t="shared" si="51"/>
        <v>-5380.239999999998</v>
      </c>
      <c r="FQ13" s="362">
        <f>FP13</f>
        <v>-5380.239999999998</v>
      </c>
    </row>
    <row r="14" spans="1:173">
      <c r="A14" s="365"/>
      <c r="B14" s="349" t="s">
        <v>410</v>
      </c>
      <c r="C14" s="366">
        <v>606865.57999999996</v>
      </c>
      <c r="D14" s="361"/>
      <c r="E14" s="362"/>
      <c r="F14" s="362">
        <v>13480</v>
      </c>
      <c r="G14" s="362"/>
      <c r="H14" s="362"/>
      <c r="I14" s="362">
        <v>6146</v>
      </c>
      <c r="J14" s="362"/>
      <c r="K14" s="362"/>
      <c r="L14" s="362"/>
      <c r="M14" s="362"/>
      <c r="N14" s="362"/>
      <c r="O14" s="362"/>
      <c r="P14" s="362"/>
      <c r="Q14" s="363">
        <f>SUM(J14:P14)</f>
        <v>0</v>
      </c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1"/>
      <c r="AR14" s="362"/>
      <c r="AS14" s="362"/>
      <c r="AT14" s="362"/>
      <c r="AU14" s="362"/>
      <c r="AV14" s="362"/>
      <c r="AW14" s="362"/>
      <c r="AX14" s="362"/>
      <c r="AY14" s="362"/>
      <c r="AZ14" s="362"/>
      <c r="BA14" s="362"/>
      <c r="BB14" s="362"/>
      <c r="BC14" s="362"/>
      <c r="BD14" s="362"/>
      <c r="BE14" s="362"/>
      <c r="BF14" s="362"/>
      <c r="BG14" s="362"/>
      <c r="BH14" s="362"/>
      <c r="BI14" s="362"/>
      <c r="BJ14" s="362"/>
      <c r="BK14" s="362"/>
      <c r="BL14" s="362"/>
      <c r="BM14" s="362"/>
      <c r="BN14" s="362"/>
      <c r="BO14" s="362"/>
      <c r="BP14" s="362"/>
      <c r="BQ14" s="362"/>
      <c r="BR14" s="362"/>
      <c r="BS14" s="362"/>
      <c r="BT14" s="362"/>
      <c r="BU14" s="362"/>
      <c r="BV14" s="362"/>
      <c r="BW14" s="362"/>
      <c r="BX14" s="362"/>
      <c r="BY14" s="362"/>
      <c r="BZ14" s="362"/>
      <c r="CA14" s="362"/>
      <c r="CB14" s="362"/>
      <c r="CC14" s="362"/>
      <c r="CD14" s="362"/>
      <c r="CE14" s="362"/>
      <c r="CF14" s="362"/>
      <c r="CG14" s="362"/>
      <c r="CH14" s="362"/>
      <c r="CI14" s="362"/>
      <c r="CJ14" s="362"/>
      <c r="CK14" s="362"/>
      <c r="CL14" s="362"/>
      <c r="CM14" s="362"/>
      <c r="CN14" s="362"/>
      <c r="CO14" s="362"/>
      <c r="CP14" s="362"/>
      <c r="CQ14" s="362"/>
      <c r="CR14" s="362"/>
      <c r="CS14" s="362"/>
      <c r="CT14" s="362"/>
      <c r="CU14" s="362"/>
      <c r="CV14" s="362"/>
      <c r="CW14" s="362"/>
      <c r="CX14" s="362"/>
      <c r="CY14" s="362"/>
      <c r="CZ14" s="362"/>
      <c r="DA14" s="362"/>
      <c r="DB14" s="362"/>
      <c r="DC14" s="362"/>
      <c r="DD14" s="362"/>
      <c r="DE14" s="362"/>
      <c r="DF14" s="362"/>
      <c r="DG14" s="362"/>
      <c r="DH14" s="362"/>
      <c r="DI14" s="362"/>
      <c r="DJ14" s="362"/>
      <c r="DK14" s="362"/>
      <c r="DL14" s="362"/>
      <c r="DM14" s="362"/>
      <c r="DN14" s="362"/>
      <c r="DO14" s="362"/>
      <c r="DP14" s="362"/>
      <c r="DQ14" s="362"/>
      <c r="DR14" s="362"/>
      <c r="DS14" s="362"/>
      <c r="DT14" s="362"/>
      <c r="DU14" s="362"/>
      <c r="DV14" s="362"/>
      <c r="DW14" s="362"/>
      <c r="DX14" s="362"/>
      <c r="DY14" s="362"/>
      <c r="DZ14" s="362"/>
      <c r="EA14" s="362"/>
      <c r="EB14" s="362"/>
      <c r="EC14" s="362"/>
      <c r="ED14" s="362"/>
      <c r="EE14" s="362"/>
      <c r="EF14" s="362"/>
      <c r="EG14" s="362"/>
      <c r="EH14" s="362"/>
      <c r="EI14" s="362"/>
      <c r="EJ14" s="362"/>
      <c r="EK14" s="362"/>
      <c r="EL14" s="362"/>
      <c r="EM14" s="362"/>
      <c r="EN14" s="362"/>
      <c r="EO14" s="362"/>
      <c r="EP14" s="362"/>
      <c r="EQ14" s="362"/>
      <c r="ER14" s="362"/>
      <c r="ES14" s="362"/>
      <c r="ET14" s="362"/>
      <c r="EU14" s="362"/>
      <c r="EV14" s="362"/>
      <c r="EW14" s="362"/>
      <c r="EX14" s="362"/>
      <c r="EY14" s="362"/>
      <c r="EZ14" s="362"/>
      <c r="FA14" s="362"/>
      <c r="FB14" s="362"/>
      <c r="FC14" s="362"/>
      <c r="FD14" s="362"/>
      <c r="FE14" s="362"/>
      <c r="FF14" s="362"/>
      <c r="FG14" s="362"/>
      <c r="FH14" s="362"/>
      <c r="FI14" s="362"/>
      <c r="FJ14" s="362"/>
      <c r="FK14" s="362"/>
      <c r="FL14" s="362"/>
      <c r="FM14" s="362"/>
      <c r="FN14" s="362"/>
      <c r="FO14" s="362"/>
      <c r="FP14" s="362"/>
      <c r="FQ14" s="362"/>
    </row>
    <row r="15" spans="1:173">
      <c r="A15" s="352"/>
      <c r="B15" s="350"/>
      <c r="C15" s="364" t="s">
        <v>405</v>
      </c>
      <c r="D15" s="362">
        <v>19626</v>
      </c>
      <c r="E15" s="362">
        <f>D15-E14</f>
        <v>19626</v>
      </c>
      <c r="F15" s="362">
        <f t="shared" ref="F15:P15" si="52">E15-F14</f>
        <v>6146</v>
      </c>
      <c r="G15" s="362">
        <f t="shared" si="52"/>
        <v>6146</v>
      </c>
      <c r="H15" s="362">
        <f t="shared" si="52"/>
        <v>6146</v>
      </c>
      <c r="I15" s="362">
        <f t="shared" si="52"/>
        <v>0</v>
      </c>
      <c r="J15" s="362">
        <f t="shared" si="52"/>
        <v>0</v>
      </c>
      <c r="K15" s="362">
        <f t="shared" si="52"/>
        <v>0</v>
      </c>
      <c r="L15" s="362">
        <f t="shared" si="52"/>
        <v>0</v>
      </c>
      <c r="M15" s="362">
        <f t="shared" si="52"/>
        <v>0</v>
      </c>
      <c r="N15" s="362">
        <f t="shared" si="52"/>
        <v>0</v>
      </c>
      <c r="O15" s="362">
        <f t="shared" si="52"/>
        <v>0</v>
      </c>
      <c r="P15" s="362">
        <f t="shared" si="52"/>
        <v>0</v>
      </c>
      <c r="Q15" s="362">
        <f>P15</f>
        <v>0</v>
      </c>
      <c r="R15" s="362">
        <f>Q15-R14</f>
        <v>0</v>
      </c>
      <c r="S15" s="362">
        <f t="shared" ref="S15:AC15" si="53">R15-S14</f>
        <v>0</v>
      </c>
      <c r="T15" s="362">
        <f t="shared" si="53"/>
        <v>0</v>
      </c>
      <c r="U15" s="362">
        <f t="shared" si="53"/>
        <v>0</v>
      </c>
      <c r="V15" s="362">
        <f t="shared" si="53"/>
        <v>0</v>
      </c>
      <c r="W15" s="362">
        <f t="shared" si="53"/>
        <v>0</v>
      </c>
      <c r="X15" s="362">
        <f t="shared" si="53"/>
        <v>0</v>
      </c>
      <c r="Y15" s="362">
        <f t="shared" si="53"/>
        <v>0</v>
      </c>
      <c r="Z15" s="362">
        <f t="shared" si="53"/>
        <v>0</v>
      </c>
      <c r="AA15" s="362">
        <f t="shared" si="53"/>
        <v>0</v>
      </c>
      <c r="AB15" s="362">
        <f t="shared" si="53"/>
        <v>0</v>
      </c>
      <c r="AC15" s="362">
        <f t="shared" si="53"/>
        <v>0</v>
      </c>
      <c r="AD15" s="362">
        <f>AC15</f>
        <v>0</v>
      </c>
      <c r="AE15" s="362">
        <f>AD15-AE14</f>
        <v>0</v>
      </c>
      <c r="AF15" s="362">
        <f t="shared" ref="AF15:AP15" si="54">AE15-AF14</f>
        <v>0</v>
      </c>
      <c r="AG15" s="362">
        <f t="shared" si="54"/>
        <v>0</v>
      </c>
      <c r="AH15" s="362">
        <f t="shared" si="54"/>
        <v>0</v>
      </c>
      <c r="AI15" s="362">
        <f t="shared" si="54"/>
        <v>0</v>
      </c>
      <c r="AJ15" s="362">
        <f t="shared" si="54"/>
        <v>0</v>
      </c>
      <c r="AK15" s="362">
        <f t="shared" si="54"/>
        <v>0</v>
      </c>
      <c r="AL15" s="362">
        <f t="shared" si="54"/>
        <v>0</v>
      </c>
      <c r="AM15" s="362">
        <f t="shared" si="54"/>
        <v>0</v>
      </c>
      <c r="AN15" s="362">
        <f t="shared" si="54"/>
        <v>0</v>
      </c>
      <c r="AO15" s="362">
        <f t="shared" si="54"/>
        <v>0</v>
      </c>
      <c r="AP15" s="362">
        <f t="shared" si="54"/>
        <v>0</v>
      </c>
      <c r="AQ15" s="362">
        <f>AP15</f>
        <v>0</v>
      </c>
      <c r="AR15" s="362">
        <f>AQ15-AR14</f>
        <v>0</v>
      </c>
      <c r="AS15" s="362">
        <f t="shared" ref="AS15:BC15" si="55">AR15-AS14</f>
        <v>0</v>
      </c>
      <c r="AT15" s="362">
        <f t="shared" si="55"/>
        <v>0</v>
      </c>
      <c r="AU15" s="362">
        <f t="shared" si="55"/>
        <v>0</v>
      </c>
      <c r="AV15" s="362">
        <f t="shared" si="55"/>
        <v>0</v>
      </c>
      <c r="AW15" s="362">
        <f t="shared" si="55"/>
        <v>0</v>
      </c>
      <c r="AX15" s="362">
        <f t="shared" si="55"/>
        <v>0</v>
      </c>
      <c r="AY15" s="362">
        <f t="shared" si="55"/>
        <v>0</v>
      </c>
      <c r="AZ15" s="362">
        <f t="shared" si="55"/>
        <v>0</v>
      </c>
      <c r="BA15" s="362">
        <f t="shared" si="55"/>
        <v>0</v>
      </c>
      <c r="BB15" s="362">
        <f t="shared" si="55"/>
        <v>0</v>
      </c>
      <c r="BC15" s="362">
        <f t="shared" si="55"/>
        <v>0</v>
      </c>
      <c r="BD15" s="362">
        <f>BC15</f>
        <v>0</v>
      </c>
      <c r="BE15" s="362">
        <f>BD15-BE14</f>
        <v>0</v>
      </c>
      <c r="BF15" s="362">
        <f t="shared" ref="BF15:BP15" si="56">BE15-BF14</f>
        <v>0</v>
      </c>
      <c r="BG15" s="362">
        <f t="shared" si="56"/>
        <v>0</v>
      </c>
      <c r="BH15" s="362">
        <f t="shared" si="56"/>
        <v>0</v>
      </c>
      <c r="BI15" s="362">
        <f t="shared" si="56"/>
        <v>0</v>
      </c>
      <c r="BJ15" s="362">
        <f t="shared" si="56"/>
        <v>0</v>
      </c>
      <c r="BK15" s="362">
        <f t="shared" si="56"/>
        <v>0</v>
      </c>
      <c r="BL15" s="362">
        <f t="shared" si="56"/>
        <v>0</v>
      </c>
      <c r="BM15" s="362">
        <f t="shared" si="56"/>
        <v>0</v>
      </c>
      <c r="BN15" s="362">
        <f t="shared" si="56"/>
        <v>0</v>
      </c>
      <c r="BO15" s="362">
        <f t="shared" si="56"/>
        <v>0</v>
      </c>
      <c r="BP15" s="362">
        <f t="shared" si="56"/>
        <v>0</v>
      </c>
      <c r="BQ15" s="362">
        <f>BP15</f>
        <v>0</v>
      </c>
      <c r="BR15" s="362">
        <f>BQ15-BR14</f>
        <v>0</v>
      </c>
      <c r="BS15" s="362">
        <f t="shared" ref="BS15:CC15" si="57">BR15-BS14</f>
        <v>0</v>
      </c>
      <c r="BT15" s="362">
        <f t="shared" si="57"/>
        <v>0</v>
      </c>
      <c r="BU15" s="362">
        <f t="shared" si="57"/>
        <v>0</v>
      </c>
      <c r="BV15" s="362">
        <f t="shared" si="57"/>
        <v>0</v>
      </c>
      <c r="BW15" s="362">
        <f t="shared" si="57"/>
        <v>0</v>
      </c>
      <c r="BX15" s="362">
        <f t="shared" si="57"/>
        <v>0</v>
      </c>
      <c r="BY15" s="362">
        <f t="shared" si="57"/>
        <v>0</v>
      </c>
      <c r="BZ15" s="362">
        <f t="shared" si="57"/>
        <v>0</v>
      </c>
      <c r="CA15" s="362">
        <f t="shared" si="57"/>
        <v>0</v>
      </c>
      <c r="CB15" s="362">
        <f t="shared" si="57"/>
        <v>0</v>
      </c>
      <c r="CC15" s="362">
        <f t="shared" si="57"/>
        <v>0</v>
      </c>
      <c r="CD15" s="362">
        <f>CC15</f>
        <v>0</v>
      </c>
      <c r="CE15" s="362">
        <f>CD15-CE14</f>
        <v>0</v>
      </c>
      <c r="CF15" s="362">
        <f t="shared" ref="CF15:CP15" si="58">CE15-CF14</f>
        <v>0</v>
      </c>
      <c r="CG15" s="362">
        <f t="shared" si="58"/>
        <v>0</v>
      </c>
      <c r="CH15" s="362">
        <f t="shared" si="58"/>
        <v>0</v>
      </c>
      <c r="CI15" s="362">
        <f t="shared" si="58"/>
        <v>0</v>
      </c>
      <c r="CJ15" s="362">
        <f t="shared" si="58"/>
        <v>0</v>
      </c>
      <c r="CK15" s="362">
        <f t="shared" si="58"/>
        <v>0</v>
      </c>
      <c r="CL15" s="362">
        <f t="shared" si="58"/>
        <v>0</v>
      </c>
      <c r="CM15" s="362">
        <f t="shared" si="58"/>
        <v>0</v>
      </c>
      <c r="CN15" s="362">
        <f t="shared" si="58"/>
        <v>0</v>
      </c>
      <c r="CO15" s="362">
        <f t="shared" si="58"/>
        <v>0</v>
      </c>
      <c r="CP15" s="362">
        <f t="shared" si="58"/>
        <v>0</v>
      </c>
      <c r="CQ15" s="362">
        <f>CP15</f>
        <v>0</v>
      </c>
      <c r="CR15" s="362">
        <f>CQ15-CR14</f>
        <v>0</v>
      </c>
      <c r="CS15" s="362">
        <f t="shared" ref="CS15:DC15" si="59">CR15-CS14</f>
        <v>0</v>
      </c>
      <c r="CT15" s="362">
        <f t="shared" si="59"/>
        <v>0</v>
      </c>
      <c r="CU15" s="362">
        <f t="shared" si="59"/>
        <v>0</v>
      </c>
      <c r="CV15" s="362">
        <f t="shared" si="59"/>
        <v>0</v>
      </c>
      <c r="CW15" s="362">
        <f t="shared" si="59"/>
        <v>0</v>
      </c>
      <c r="CX15" s="362">
        <f t="shared" si="59"/>
        <v>0</v>
      </c>
      <c r="CY15" s="362">
        <f t="shared" si="59"/>
        <v>0</v>
      </c>
      <c r="CZ15" s="362">
        <f t="shared" si="59"/>
        <v>0</v>
      </c>
      <c r="DA15" s="362">
        <f t="shared" si="59"/>
        <v>0</v>
      </c>
      <c r="DB15" s="362">
        <f t="shared" si="59"/>
        <v>0</v>
      </c>
      <c r="DC15" s="362">
        <f t="shared" si="59"/>
        <v>0</v>
      </c>
      <c r="DD15" s="362">
        <f>DC15</f>
        <v>0</v>
      </c>
      <c r="DE15" s="362">
        <f>DD15-DE14</f>
        <v>0</v>
      </c>
      <c r="DF15" s="362">
        <f t="shared" ref="DF15:DP15" si="60">DE15-DF14</f>
        <v>0</v>
      </c>
      <c r="DG15" s="362">
        <f t="shared" si="60"/>
        <v>0</v>
      </c>
      <c r="DH15" s="362">
        <f t="shared" si="60"/>
        <v>0</v>
      </c>
      <c r="DI15" s="362">
        <f t="shared" si="60"/>
        <v>0</v>
      </c>
      <c r="DJ15" s="362">
        <f t="shared" si="60"/>
        <v>0</v>
      </c>
      <c r="DK15" s="362">
        <f t="shared" si="60"/>
        <v>0</v>
      </c>
      <c r="DL15" s="362">
        <f t="shared" si="60"/>
        <v>0</v>
      </c>
      <c r="DM15" s="362">
        <f t="shared" si="60"/>
        <v>0</v>
      </c>
      <c r="DN15" s="362">
        <f t="shared" si="60"/>
        <v>0</v>
      </c>
      <c r="DO15" s="362">
        <f t="shared" si="60"/>
        <v>0</v>
      </c>
      <c r="DP15" s="362">
        <f t="shared" si="60"/>
        <v>0</v>
      </c>
      <c r="DQ15" s="362">
        <f>DP15</f>
        <v>0</v>
      </c>
      <c r="DR15" s="362">
        <f>DQ15-DR14</f>
        <v>0</v>
      </c>
      <c r="DS15" s="362">
        <f t="shared" ref="DS15:EC15" si="61">DR15-DS14</f>
        <v>0</v>
      </c>
      <c r="DT15" s="362">
        <f t="shared" si="61"/>
        <v>0</v>
      </c>
      <c r="DU15" s="362">
        <f t="shared" si="61"/>
        <v>0</v>
      </c>
      <c r="DV15" s="362">
        <f t="shared" si="61"/>
        <v>0</v>
      </c>
      <c r="DW15" s="362">
        <f t="shared" si="61"/>
        <v>0</v>
      </c>
      <c r="DX15" s="362">
        <f t="shared" si="61"/>
        <v>0</v>
      </c>
      <c r="DY15" s="362">
        <f t="shared" si="61"/>
        <v>0</v>
      </c>
      <c r="DZ15" s="362">
        <f t="shared" si="61"/>
        <v>0</v>
      </c>
      <c r="EA15" s="362">
        <f t="shared" si="61"/>
        <v>0</v>
      </c>
      <c r="EB15" s="362">
        <f t="shared" si="61"/>
        <v>0</v>
      </c>
      <c r="EC15" s="362">
        <f t="shared" si="61"/>
        <v>0</v>
      </c>
      <c r="ED15" s="362">
        <f>EC15</f>
        <v>0</v>
      </c>
      <c r="EE15" s="362">
        <f>ED15-EE14</f>
        <v>0</v>
      </c>
      <c r="EF15" s="362">
        <f t="shared" ref="EF15:EP15" si="62">EE15-EF14</f>
        <v>0</v>
      </c>
      <c r="EG15" s="362">
        <f t="shared" si="62"/>
        <v>0</v>
      </c>
      <c r="EH15" s="362">
        <f t="shared" si="62"/>
        <v>0</v>
      </c>
      <c r="EI15" s="362">
        <f t="shared" si="62"/>
        <v>0</v>
      </c>
      <c r="EJ15" s="362">
        <f t="shared" si="62"/>
        <v>0</v>
      </c>
      <c r="EK15" s="362">
        <f t="shared" si="62"/>
        <v>0</v>
      </c>
      <c r="EL15" s="362">
        <f t="shared" si="62"/>
        <v>0</v>
      </c>
      <c r="EM15" s="362">
        <f t="shared" si="62"/>
        <v>0</v>
      </c>
      <c r="EN15" s="362">
        <f t="shared" si="62"/>
        <v>0</v>
      </c>
      <c r="EO15" s="362">
        <f t="shared" si="62"/>
        <v>0</v>
      </c>
      <c r="EP15" s="362">
        <f t="shared" si="62"/>
        <v>0</v>
      </c>
      <c r="EQ15" s="362">
        <f>EP15</f>
        <v>0</v>
      </c>
      <c r="ER15" s="362">
        <f>EQ15-ER14</f>
        <v>0</v>
      </c>
      <c r="ES15" s="362">
        <f t="shared" ref="ES15:FC15" si="63">ER15-ES14</f>
        <v>0</v>
      </c>
      <c r="ET15" s="362">
        <f t="shared" si="63"/>
        <v>0</v>
      </c>
      <c r="EU15" s="362">
        <f t="shared" si="63"/>
        <v>0</v>
      </c>
      <c r="EV15" s="362">
        <f t="shared" si="63"/>
        <v>0</v>
      </c>
      <c r="EW15" s="362">
        <f t="shared" si="63"/>
        <v>0</v>
      </c>
      <c r="EX15" s="362">
        <f t="shared" si="63"/>
        <v>0</v>
      </c>
      <c r="EY15" s="362">
        <f t="shared" si="63"/>
        <v>0</v>
      </c>
      <c r="EZ15" s="362">
        <f t="shared" si="63"/>
        <v>0</v>
      </c>
      <c r="FA15" s="362">
        <f t="shared" si="63"/>
        <v>0</v>
      </c>
      <c r="FB15" s="362">
        <f t="shared" si="63"/>
        <v>0</v>
      </c>
      <c r="FC15" s="362">
        <f t="shared" si="63"/>
        <v>0</v>
      </c>
      <c r="FD15" s="362">
        <f>FC15</f>
        <v>0</v>
      </c>
      <c r="FE15" s="362">
        <f>FD15-FE14</f>
        <v>0</v>
      </c>
      <c r="FF15" s="362">
        <f t="shared" ref="FF15:FP15" si="64">FE15-FF14</f>
        <v>0</v>
      </c>
      <c r="FG15" s="362">
        <f t="shared" si="64"/>
        <v>0</v>
      </c>
      <c r="FH15" s="362">
        <f t="shared" si="64"/>
        <v>0</v>
      </c>
      <c r="FI15" s="362">
        <f t="shared" si="64"/>
        <v>0</v>
      </c>
      <c r="FJ15" s="362">
        <f t="shared" si="64"/>
        <v>0</v>
      </c>
      <c r="FK15" s="362">
        <f t="shared" si="64"/>
        <v>0</v>
      </c>
      <c r="FL15" s="362">
        <f t="shared" si="64"/>
        <v>0</v>
      </c>
      <c r="FM15" s="362">
        <f t="shared" si="64"/>
        <v>0</v>
      </c>
      <c r="FN15" s="362">
        <f t="shared" si="64"/>
        <v>0</v>
      </c>
      <c r="FO15" s="362">
        <f t="shared" si="64"/>
        <v>0</v>
      </c>
      <c r="FP15" s="362">
        <f t="shared" si="64"/>
        <v>0</v>
      </c>
      <c r="FQ15" s="362">
        <f>FP15</f>
        <v>0</v>
      </c>
    </row>
    <row r="16" spans="1:173">
      <c r="A16" s="367" t="s">
        <v>411</v>
      </c>
      <c r="B16" s="352"/>
      <c r="C16" s="364" t="s">
        <v>412</v>
      </c>
      <c r="D16" s="361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  <c r="BZ16" s="361"/>
      <c r="CA16" s="361"/>
      <c r="CB16" s="361"/>
      <c r="CC16" s="361"/>
      <c r="CD16" s="361"/>
      <c r="CE16" s="361"/>
      <c r="CF16" s="361"/>
      <c r="CG16" s="361"/>
      <c r="CH16" s="361"/>
      <c r="CI16" s="361"/>
      <c r="CJ16" s="361"/>
      <c r="CK16" s="361"/>
      <c r="CL16" s="361"/>
      <c r="CM16" s="361"/>
      <c r="CN16" s="361"/>
      <c r="CO16" s="361"/>
      <c r="CP16" s="361"/>
      <c r="CQ16" s="361"/>
      <c r="CR16" s="361"/>
      <c r="CS16" s="361"/>
      <c r="CT16" s="361"/>
      <c r="CU16" s="361"/>
      <c r="CV16" s="361"/>
      <c r="CW16" s="361"/>
      <c r="CX16" s="361"/>
      <c r="CY16" s="361"/>
      <c r="CZ16" s="361"/>
      <c r="DA16" s="361"/>
      <c r="DB16" s="361"/>
      <c r="DC16" s="361"/>
      <c r="DD16" s="361"/>
      <c r="DE16" s="361"/>
      <c r="DF16" s="361"/>
      <c r="DG16" s="361"/>
      <c r="DH16" s="361"/>
      <c r="DI16" s="361"/>
      <c r="DJ16" s="361"/>
      <c r="DK16" s="361"/>
      <c r="DL16" s="361"/>
      <c r="DM16" s="361"/>
      <c r="DN16" s="361"/>
      <c r="DO16" s="361"/>
      <c r="DP16" s="361"/>
      <c r="DQ16" s="361"/>
      <c r="DR16" s="361"/>
      <c r="DS16" s="361"/>
      <c r="DT16" s="361"/>
      <c r="DU16" s="361"/>
      <c r="DV16" s="361"/>
      <c r="DW16" s="361"/>
      <c r="DX16" s="361"/>
      <c r="DY16" s="361"/>
      <c r="DZ16" s="361"/>
      <c r="EA16" s="361"/>
      <c r="EB16" s="361"/>
      <c r="EC16" s="361"/>
      <c r="ED16" s="361"/>
      <c r="EE16" s="361"/>
      <c r="EF16" s="361"/>
      <c r="EG16" s="361"/>
      <c r="EH16" s="361"/>
      <c r="EI16" s="361"/>
      <c r="EJ16" s="361"/>
      <c r="EK16" s="361"/>
      <c r="EL16" s="361"/>
      <c r="EM16" s="361"/>
      <c r="EN16" s="361"/>
      <c r="EO16" s="361"/>
      <c r="EP16" s="361"/>
      <c r="EQ16" s="361"/>
      <c r="ER16" s="361"/>
      <c r="ES16" s="361"/>
      <c r="ET16" s="361"/>
      <c r="EU16" s="361"/>
      <c r="EV16" s="361"/>
      <c r="EW16" s="361"/>
      <c r="EX16" s="361"/>
      <c r="EY16" s="361"/>
      <c r="EZ16" s="361"/>
      <c r="FA16" s="361"/>
      <c r="FB16" s="361"/>
      <c r="FC16" s="361"/>
      <c r="FD16" s="361"/>
      <c r="FE16" s="361"/>
      <c r="FF16" s="361"/>
      <c r="FG16" s="361"/>
      <c r="FH16" s="361"/>
      <c r="FI16" s="361"/>
      <c r="FJ16" s="361"/>
      <c r="FK16" s="361"/>
      <c r="FL16" s="361"/>
      <c r="FM16" s="361"/>
      <c r="FN16" s="361"/>
      <c r="FO16" s="361"/>
      <c r="FP16" s="361"/>
      <c r="FQ16" s="361"/>
    </row>
    <row r="17" spans="1:173" s="372" customFormat="1" ht="21" customHeight="1">
      <c r="A17" s="368"/>
      <c r="B17" s="353">
        <v>0.03</v>
      </c>
      <c r="C17" s="369" t="s">
        <v>413</v>
      </c>
      <c r="D17" s="370"/>
      <c r="E17" s="371">
        <f>(E7+E9+E11+E13+E15)*$B$17/12</f>
        <v>6576.59</v>
      </c>
      <c r="F17" s="371">
        <f t="shared" ref="F17:BS17" si="65">(F7+F9+F11+F13+F15)*$B$17/12</f>
        <v>6506.5774999999994</v>
      </c>
      <c r="G17" s="371">
        <f t="shared" si="65"/>
        <v>6470.2649999999994</v>
      </c>
      <c r="H17" s="371">
        <f t="shared" si="65"/>
        <v>6433.9524999999994</v>
      </c>
      <c r="I17" s="371">
        <f t="shared" si="65"/>
        <v>9644.7749999999996</v>
      </c>
      <c r="J17" s="371">
        <f t="shared" si="65"/>
        <v>13293.60095</v>
      </c>
      <c r="K17" s="371">
        <f t="shared" si="65"/>
        <v>13257.28845</v>
      </c>
      <c r="L17" s="371">
        <f t="shared" si="65"/>
        <v>13185.28845</v>
      </c>
      <c r="M17" s="371">
        <f t="shared" si="65"/>
        <v>13113.28845</v>
      </c>
      <c r="N17" s="371">
        <f t="shared" si="65"/>
        <v>13034.925949999999</v>
      </c>
      <c r="O17" s="371">
        <f t="shared" si="65"/>
        <v>12956.56345</v>
      </c>
      <c r="P17" s="371">
        <f t="shared" si="65"/>
        <v>12878.200949999999</v>
      </c>
      <c r="Q17" s="371"/>
      <c r="R17" s="371">
        <f t="shared" si="65"/>
        <v>12799.838449999997</v>
      </c>
      <c r="S17" s="371">
        <f t="shared" si="65"/>
        <v>12721.47595</v>
      </c>
      <c r="T17" s="371">
        <f t="shared" si="65"/>
        <v>12643.113449999999</v>
      </c>
      <c r="U17" s="371">
        <f t="shared" si="65"/>
        <v>12524.700949999999</v>
      </c>
      <c r="V17" s="371">
        <f t="shared" si="65"/>
        <v>12406.28845</v>
      </c>
      <c r="W17" s="371">
        <f t="shared" si="65"/>
        <v>12287.87595</v>
      </c>
      <c r="X17" s="371">
        <f t="shared" si="65"/>
        <v>12169.463449999997</v>
      </c>
      <c r="Y17" s="371">
        <f t="shared" si="65"/>
        <v>12051.050949999999</v>
      </c>
      <c r="Z17" s="371">
        <f t="shared" si="65"/>
        <v>11932.638449999999</v>
      </c>
      <c r="AA17" s="371">
        <f t="shared" si="65"/>
        <v>11814.22595</v>
      </c>
      <c r="AB17" s="371">
        <f t="shared" si="65"/>
        <v>11695.81345</v>
      </c>
      <c r="AC17" s="371">
        <f t="shared" si="65"/>
        <v>11577.400950000001</v>
      </c>
      <c r="AD17" s="371"/>
      <c r="AE17" s="371">
        <f t="shared" si="65"/>
        <v>11458.988449999999</v>
      </c>
      <c r="AF17" s="371">
        <f t="shared" si="65"/>
        <v>11340.575949999999</v>
      </c>
      <c r="AG17" s="371">
        <f t="shared" si="65"/>
        <v>11222.16345</v>
      </c>
      <c r="AH17" s="371">
        <f t="shared" si="65"/>
        <v>11103.75095</v>
      </c>
      <c r="AI17" s="371">
        <f t="shared" si="65"/>
        <v>10985.338450000001</v>
      </c>
      <c r="AJ17" s="371">
        <f t="shared" si="65"/>
        <v>10866.925949999999</v>
      </c>
      <c r="AK17" s="371">
        <f t="shared" si="65"/>
        <v>10748.51345</v>
      </c>
      <c r="AL17" s="371">
        <f t="shared" si="65"/>
        <v>10630.100949999998</v>
      </c>
      <c r="AM17" s="371">
        <f t="shared" si="65"/>
        <v>10511.68845</v>
      </c>
      <c r="AN17" s="371">
        <f t="shared" si="65"/>
        <v>10393.275949999999</v>
      </c>
      <c r="AO17" s="371">
        <f t="shared" si="65"/>
        <v>10274.863449999999</v>
      </c>
      <c r="AP17" s="371">
        <f t="shared" si="65"/>
        <v>10156.45095</v>
      </c>
      <c r="AQ17" s="370"/>
      <c r="AR17" s="371">
        <f t="shared" si="65"/>
        <v>10038.038449999998</v>
      </c>
      <c r="AS17" s="371">
        <f t="shared" si="65"/>
        <v>9919.6259499999996</v>
      </c>
      <c r="AT17" s="371">
        <f t="shared" si="65"/>
        <v>9801.2134499999993</v>
      </c>
      <c r="AU17" s="371">
        <f t="shared" si="65"/>
        <v>9682.8009499999989</v>
      </c>
      <c r="AV17" s="371">
        <f t="shared" si="65"/>
        <v>9564.3884500000004</v>
      </c>
      <c r="AW17" s="371">
        <f t="shared" si="65"/>
        <v>9445.9759499999982</v>
      </c>
      <c r="AX17" s="371">
        <f t="shared" si="65"/>
        <v>9327.5634499999996</v>
      </c>
      <c r="AY17" s="371">
        <f t="shared" si="65"/>
        <v>9209.1509499999993</v>
      </c>
      <c r="AZ17" s="371">
        <f t="shared" si="65"/>
        <v>9090.7384499999989</v>
      </c>
      <c r="BA17" s="371">
        <f t="shared" si="65"/>
        <v>8972.3259500000004</v>
      </c>
      <c r="BB17" s="371">
        <f t="shared" si="65"/>
        <v>8853.9134499999982</v>
      </c>
      <c r="BC17" s="371">
        <f t="shared" si="65"/>
        <v>8735.5009499999996</v>
      </c>
      <c r="BD17" s="370"/>
      <c r="BE17" s="371">
        <f t="shared" si="65"/>
        <v>8617.0884499999993</v>
      </c>
      <c r="BF17" s="371">
        <f t="shared" si="65"/>
        <v>8498.6759499999989</v>
      </c>
      <c r="BG17" s="371">
        <f t="shared" si="65"/>
        <v>8380.2634500000004</v>
      </c>
      <c r="BH17" s="371">
        <f t="shared" si="65"/>
        <v>8261.85095</v>
      </c>
      <c r="BI17" s="371">
        <f t="shared" si="65"/>
        <v>8143.4384499999987</v>
      </c>
      <c r="BJ17" s="371">
        <f t="shared" si="65"/>
        <v>8025.0259499999993</v>
      </c>
      <c r="BK17" s="371">
        <f t="shared" si="65"/>
        <v>7906.6134499999998</v>
      </c>
      <c r="BL17" s="371">
        <f t="shared" si="65"/>
        <v>7788.2009499999995</v>
      </c>
      <c r="BM17" s="371">
        <f t="shared" si="65"/>
        <v>7669.78845</v>
      </c>
      <c r="BN17" s="371">
        <f t="shared" si="65"/>
        <v>7551.3759499999987</v>
      </c>
      <c r="BO17" s="371">
        <f t="shared" si="65"/>
        <v>7432.9634499999993</v>
      </c>
      <c r="BP17" s="371">
        <f t="shared" si="65"/>
        <v>7314.5509499999998</v>
      </c>
      <c r="BQ17" s="370"/>
      <c r="BR17" s="371">
        <f t="shared" si="65"/>
        <v>7196.1384499999995</v>
      </c>
      <c r="BS17" s="371">
        <f t="shared" si="65"/>
        <v>7077.72595</v>
      </c>
      <c r="BT17" s="371">
        <f t="shared" ref="BT17:EF17" si="66">(BT7+BT9+BT11+BT13+BT15)*$B$17/12</f>
        <v>6959.3134499999987</v>
      </c>
      <c r="BU17" s="371">
        <f t="shared" si="66"/>
        <v>6840.9009499999993</v>
      </c>
      <c r="BV17" s="371">
        <f t="shared" si="66"/>
        <v>6722.4884499999998</v>
      </c>
      <c r="BW17" s="371">
        <f t="shared" si="66"/>
        <v>6604.0759499999995</v>
      </c>
      <c r="BX17" s="371">
        <f t="shared" si="66"/>
        <v>6485.66345</v>
      </c>
      <c r="BY17" s="371">
        <f t="shared" si="66"/>
        <v>6367.2509499999987</v>
      </c>
      <c r="BZ17" s="371">
        <f t="shared" si="66"/>
        <v>6248.8384499999993</v>
      </c>
      <c r="CA17" s="371">
        <f t="shared" si="66"/>
        <v>6130.4259499999998</v>
      </c>
      <c r="CB17" s="371">
        <f t="shared" si="66"/>
        <v>6012.0134499999995</v>
      </c>
      <c r="CC17" s="371">
        <f t="shared" si="66"/>
        <v>5893.60095</v>
      </c>
      <c r="CD17" s="370"/>
      <c r="CE17" s="371">
        <f t="shared" si="66"/>
        <v>5775.1884499999987</v>
      </c>
      <c r="CF17" s="371">
        <f t="shared" si="66"/>
        <v>5656.7759499999993</v>
      </c>
      <c r="CG17" s="371">
        <f t="shared" si="66"/>
        <v>5538.3634499999998</v>
      </c>
      <c r="CH17" s="371">
        <f t="shared" si="66"/>
        <v>5419.9509499999995</v>
      </c>
      <c r="CI17" s="371">
        <f t="shared" si="66"/>
        <v>5301.5384499999991</v>
      </c>
      <c r="CJ17" s="371">
        <f t="shared" si="66"/>
        <v>5183.1259499999996</v>
      </c>
      <c r="CK17" s="371">
        <f t="shared" si="66"/>
        <v>5064.7134499999993</v>
      </c>
      <c r="CL17" s="371">
        <f t="shared" si="66"/>
        <v>4946.3009499999998</v>
      </c>
      <c r="CM17" s="371">
        <f t="shared" si="66"/>
        <v>4827.8884499999995</v>
      </c>
      <c r="CN17" s="371">
        <f t="shared" si="66"/>
        <v>4709.4759499999991</v>
      </c>
      <c r="CO17" s="371">
        <f t="shared" si="66"/>
        <v>4591.0634499999996</v>
      </c>
      <c r="CP17" s="371">
        <f t="shared" si="66"/>
        <v>4472.6509499999993</v>
      </c>
      <c r="CQ17" s="370"/>
      <c r="CR17" s="371">
        <f t="shared" si="66"/>
        <v>4354.2384499999998</v>
      </c>
      <c r="CS17" s="371">
        <f t="shared" si="66"/>
        <v>4235.8259499999995</v>
      </c>
      <c r="CT17" s="371">
        <f t="shared" si="66"/>
        <v>4117.4134499999991</v>
      </c>
      <c r="CU17" s="371">
        <f t="shared" si="66"/>
        <v>3999.0009499999996</v>
      </c>
      <c r="CV17" s="371">
        <f t="shared" si="66"/>
        <v>3880.5884499999993</v>
      </c>
      <c r="CW17" s="371">
        <f t="shared" si="66"/>
        <v>3762.1759499999994</v>
      </c>
      <c r="CX17" s="371">
        <f t="shared" si="66"/>
        <v>3643.6037499999998</v>
      </c>
      <c r="CY17" s="371">
        <f t="shared" si="66"/>
        <v>3560.8787499999999</v>
      </c>
      <c r="CZ17" s="371">
        <f t="shared" si="66"/>
        <v>3478.1537499999999</v>
      </c>
      <c r="DA17" s="371">
        <f t="shared" si="66"/>
        <v>3395.4287499999996</v>
      </c>
      <c r="DB17" s="371">
        <f t="shared" si="66"/>
        <v>3312.7037500000001</v>
      </c>
      <c r="DC17" s="371">
        <f t="shared" si="66"/>
        <v>3229.9787499999998</v>
      </c>
      <c r="DD17" s="370"/>
      <c r="DE17" s="371">
        <f t="shared" si="66"/>
        <v>3147.2537499999999</v>
      </c>
      <c r="DF17" s="371">
        <f t="shared" si="66"/>
        <v>3064.5287499999999</v>
      </c>
      <c r="DG17" s="371">
        <f t="shared" si="66"/>
        <v>2981.8037499999996</v>
      </c>
      <c r="DH17" s="371">
        <f t="shared" si="66"/>
        <v>2899.0787500000001</v>
      </c>
      <c r="DI17" s="371">
        <f t="shared" si="66"/>
        <v>2816.3537499999998</v>
      </c>
      <c r="DJ17" s="371">
        <f t="shared" si="66"/>
        <v>2733.6287499999999</v>
      </c>
      <c r="DK17" s="371">
        <f t="shared" si="66"/>
        <v>2650.9037499999999</v>
      </c>
      <c r="DL17" s="371">
        <f t="shared" si="66"/>
        <v>2568.1787499999996</v>
      </c>
      <c r="DM17" s="371">
        <f t="shared" si="66"/>
        <v>2485.4537499999997</v>
      </c>
      <c r="DN17" s="371">
        <f t="shared" si="66"/>
        <v>2402.7287499999998</v>
      </c>
      <c r="DO17" s="371">
        <f t="shared" si="66"/>
        <v>2320.0037499999994</v>
      </c>
      <c r="DP17" s="371">
        <f t="shared" si="66"/>
        <v>2237.2787499999995</v>
      </c>
      <c r="DQ17" s="370"/>
      <c r="DR17" s="371">
        <f t="shared" si="66"/>
        <v>2154.5537499999996</v>
      </c>
      <c r="DS17" s="371">
        <f t="shared" si="66"/>
        <v>2071.8287499999997</v>
      </c>
      <c r="DT17" s="371">
        <f t="shared" si="66"/>
        <v>1989.1037499999995</v>
      </c>
      <c r="DU17" s="371">
        <f t="shared" si="66"/>
        <v>1906.3787499999996</v>
      </c>
      <c r="DV17" s="371">
        <f t="shared" si="66"/>
        <v>1823.6537499999995</v>
      </c>
      <c r="DW17" s="371">
        <f t="shared" si="66"/>
        <v>1740.9287499999998</v>
      </c>
      <c r="DX17" s="371">
        <f t="shared" si="66"/>
        <v>1658.2037499999997</v>
      </c>
      <c r="DY17" s="371">
        <f t="shared" si="66"/>
        <v>1575.4787499999995</v>
      </c>
      <c r="DZ17" s="371">
        <f t="shared" si="66"/>
        <v>1492.6749999999995</v>
      </c>
      <c r="EA17" s="371">
        <f t="shared" si="66"/>
        <v>1416.3124999999998</v>
      </c>
      <c r="EB17" s="371">
        <f t="shared" si="66"/>
        <v>1339.9499999999996</v>
      </c>
      <c r="EC17" s="371">
        <f t="shared" si="66"/>
        <v>1263.5874999999996</v>
      </c>
      <c r="ED17" s="370"/>
      <c r="EE17" s="371">
        <f t="shared" si="66"/>
        <v>1187.2249999999997</v>
      </c>
      <c r="EF17" s="371">
        <f t="shared" si="66"/>
        <v>1110.8624999999997</v>
      </c>
      <c r="EG17" s="371">
        <f t="shared" ref="EG17:FP17" si="67">(EG7+EG9+EG11+EG13+EG15)*$B$17/12</f>
        <v>1034.4999999999998</v>
      </c>
      <c r="EH17" s="371">
        <f t="shared" si="67"/>
        <v>958.1374999999997</v>
      </c>
      <c r="EI17" s="371">
        <f t="shared" si="67"/>
        <v>868.32439999999963</v>
      </c>
      <c r="EJ17" s="371">
        <f t="shared" si="67"/>
        <v>828.27439999999967</v>
      </c>
      <c r="EK17" s="371">
        <f t="shared" si="67"/>
        <v>788.22439999999972</v>
      </c>
      <c r="EL17" s="371">
        <f t="shared" si="67"/>
        <v>748.17439999999976</v>
      </c>
      <c r="EM17" s="371">
        <f t="shared" si="67"/>
        <v>708.1243999999997</v>
      </c>
      <c r="EN17" s="371">
        <f t="shared" si="67"/>
        <v>668.07439999999974</v>
      </c>
      <c r="EO17" s="371">
        <f t="shared" si="67"/>
        <v>628.02439999999967</v>
      </c>
      <c r="EP17" s="371">
        <f t="shared" si="67"/>
        <v>587.97439999999972</v>
      </c>
      <c r="EQ17" s="370"/>
      <c r="ER17" s="371">
        <f t="shared" si="67"/>
        <v>547.92439999999976</v>
      </c>
      <c r="ES17" s="371">
        <f t="shared" si="67"/>
        <v>507.8743999999997</v>
      </c>
      <c r="ET17" s="371">
        <f t="shared" si="67"/>
        <v>467.82439999999974</v>
      </c>
      <c r="EU17" s="371">
        <f t="shared" si="67"/>
        <v>427.77439999999973</v>
      </c>
      <c r="EV17" s="371">
        <f t="shared" si="67"/>
        <v>387.72439999999966</v>
      </c>
      <c r="EW17" s="371">
        <f t="shared" si="67"/>
        <v>347.67439999999971</v>
      </c>
      <c r="EX17" s="371">
        <f t="shared" si="67"/>
        <v>307.62439999999975</v>
      </c>
      <c r="EY17" s="371">
        <f t="shared" si="67"/>
        <v>267.57439999999968</v>
      </c>
      <c r="EZ17" s="371">
        <f t="shared" si="67"/>
        <v>227.5243999999997</v>
      </c>
      <c r="FA17" s="371">
        <f t="shared" si="67"/>
        <v>187.47439999999972</v>
      </c>
      <c r="FB17" s="371">
        <f t="shared" si="67"/>
        <v>147.42439999999974</v>
      </c>
      <c r="FC17" s="371">
        <f t="shared" si="67"/>
        <v>107.37439999999974</v>
      </c>
      <c r="FD17" s="370"/>
      <c r="FE17" s="371">
        <f t="shared" si="67"/>
        <v>67.324399999999727</v>
      </c>
      <c r="FF17" s="371">
        <f t="shared" si="67"/>
        <v>27.274399999999726</v>
      </c>
      <c r="FG17" s="371">
        <f t="shared" si="67"/>
        <v>-13.450600000000271</v>
      </c>
      <c r="FH17" s="371">
        <f t="shared" si="67"/>
        <v>-13.450600000000271</v>
      </c>
      <c r="FI17" s="371">
        <f t="shared" si="67"/>
        <v>-13.450600000000271</v>
      </c>
      <c r="FJ17" s="371">
        <f t="shared" si="67"/>
        <v>-13.450600000000271</v>
      </c>
      <c r="FK17" s="371">
        <f t="shared" si="67"/>
        <v>-13.450600000000271</v>
      </c>
      <c r="FL17" s="371">
        <f t="shared" si="67"/>
        <v>-13.450600000000271</v>
      </c>
      <c r="FM17" s="371">
        <f t="shared" si="67"/>
        <v>-13.450600000000271</v>
      </c>
      <c r="FN17" s="371">
        <f t="shared" si="67"/>
        <v>-13.450600000000271</v>
      </c>
      <c r="FO17" s="371">
        <f t="shared" si="67"/>
        <v>-13.450600000000271</v>
      </c>
      <c r="FP17" s="371">
        <f t="shared" si="67"/>
        <v>-13.450600000000271</v>
      </c>
      <c r="FQ17" s="370"/>
    </row>
    <row r="18" spans="1:173">
      <c r="C18" s="373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4">
        <f>SUM(R18:AC18)</f>
        <v>0</v>
      </c>
      <c r="AE18" s="374"/>
      <c r="AF18" s="374"/>
      <c r="AG18" s="374"/>
      <c r="AH18" s="374"/>
      <c r="AI18" s="374"/>
      <c r="AJ18" s="374"/>
      <c r="AK18" s="374"/>
      <c r="AL18" s="374"/>
      <c r="AM18" s="374"/>
      <c r="AN18" s="374"/>
      <c r="AO18" s="374"/>
      <c r="AP18" s="374"/>
      <c r="AQ18" s="374"/>
      <c r="AR18" s="374"/>
      <c r="AS18" s="374"/>
      <c r="AT18" s="374"/>
      <c r="AU18" s="374"/>
      <c r="AV18" s="374"/>
      <c r="AW18" s="374"/>
      <c r="AX18" s="374"/>
      <c r="AY18" s="374"/>
      <c r="AZ18" s="374"/>
      <c r="BA18" s="374"/>
      <c r="BB18" s="374"/>
      <c r="BC18" s="374"/>
      <c r="BD18" s="374"/>
      <c r="BE18" s="374"/>
      <c r="BF18" s="374"/>
      <c r="BG18" s="374"/>
      <c r="BH18" s="374"/>
      <c r="BI18" s="374"/>
      <c r="BJ18" s="374"/>
      <c r="BK18" s="374"/>
      <c r="BL18" s="374"/>
      <c r="BM18" s="374"/>
      <c r="BN18" s="374"/>
      <c r="BO18" s="374"/>
      <c r="BP18" s="374"/>
      <c r="BQ18" s="374"/>
      <c r="BR18" s="374"/>
      <c r="BS18" s="374"/>
      <c r="BT18" s="374"/>
      <c r="BU18" s="374"/>
      <c r="BV18" s="374"/>
      <c r="BW18" s="374"/>
      <c r="BX18" s="374"/>
      <c r="BY18" s="374"/>
      <c r="BZ18" s="374"/>
      <c r="CA18" s="374"/>
      <c r="CB18" s="374"/>
      <c r="CC18" s="374"/>
      <c r="CD18" s="374"/>
      <c r="CE18" s="374"/>
      <c r="CF18" s="374"/>
      <c r="CG18" s="374"/>
      <c r="CH18" s="374"/>
      <c r="CI18" s="374"/>
      <c r="CJ18" s="374"/>
      <c r="CK18" s="374"/>
      <c r="CL18" s="374"/>
      <c r="CM18" s="374"/>
      <c r="CN18" s="374"/>
      <c r="CO18" s="374"/>
      <c r="CP18" s="374"/>
      <c r="CQ18" s="374"/>
      <c r="CR18" s="374"/>
      <c r="CS18" s="374"/>
      <c r="CT18" s="374"/>
      <c r="CU18" s="374"/>
      <c r="CV18" s="374"/>
      <c r="CW18" s="374"/>
      <c r="CX18" s="374"/>
      <c r="CY18" s="374"/>
      <c r="CZ18" s="374"/>
      <c r="DA18" s="374"/>
      <c r="DB18" s="374"/>
      <c r="DC18" s="374"/>
      <c r="DD18" s="374"/>
      <c r="DE18" s="374"/>
      <c r="DF18" s="374"/>
      <c r="DG18" s="374"/>
      <c r="DH18" s="374"/>
      <c r="DI18" s="374"/>
      <c r="DJ18" s="374"/>
      <c r="DK18" s="374"/>
      <c r="DL18" s="374"/>
      <c r="DM18" s="374"/>
      <c r="DN18" s="374"/>
      <c r="DO18" s="374"/>
      <c r="DP18" s="374"/>
      <c r="DQ18" s="374"/>
      <c r="DR18" s="374"/>
      <c r="DS18" s="374"/>
      <c r="DT18" s="374"/>
      <c r="DU18" s="374"/>
      <c r="DV18" s="374"/>
      <c r="DW18" s="374"/>
      <c r="DX18" s="374"/>
      <c r="DY18" s="374"/>
      <c r="DZ18" s="374"/>
      <c r="EA18" s="374"/>
      <c r="EB18" s="374"/>
      <c r="EC18" s="374"/>
      <c r="ED18" s="374"/>
      <c r="EE18" s="374"/>
      <c r="EF18" s="374"/>
      <c r="EG18" s="374"/>
      <c r="EH18" s="374"/>
      <c r="EI18" s="374"/>
      <c r="EJ18" s="374"/>
      <c r="EK18" s="374"/>
      <c r="EL18" s="374"/>
      <c r="EM18" s="374"/>
      <c r="EN18" s="374"/>
      <c r="EO18" s="374"/>
      <c r="EP18" s="374"/>
      <c r="EQ18" s="374"/>
      <c r="ER18" s="374"/>
      <c r="ES18" s="374"/>
      <c r="ET18" s="374"/>
      <c r="EU18" s="374"/>
      <c r="EV18" s="374"/>
      <c r="EW18" s="374"/>
      <c r="EX18" s="374"/>
      <c r="EY18" s="374"/>
      <c r="EZ18" s="374"/>
      <c r="FA18" s="374"/>
      <c r="FB18" s="374"/>
      <c r="FC18" s="374"/>
      <c r="FD18" s="374"/>
      <c r="FE18" s="374"/>
      <c r="FF18" s="374"/>
      <c r="FG18" s="374"/>
      <c r="FH18" s="374"/>
      <c r="FI18" s="374"/>
      <c r="FJ18" s="374"/>
      <c r="FK18" s="374"/>
      <c r="FL18" s="374"/>
      <c r="FM18" s="374"/>
      <c r="FN18" s="374"/>
      <c r="FO18" s="374"/>
      <c r="FP18" s="374"/>
      <c r="FQ18" s="374"/>
    </row>
    <row r="19" spans="1:173">
      <c r="C19" s="373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4"/>
      <c r="AF19" s="374"/>
      <c r="AG19" s="374"/>
      <c r="AH19" s="374"/>
      <c r="AI19" s="374"/>
      <c r="AJ19" s="374"/>
      <c r="AK19" s="374"/>
      <c r="AL19" s="374"/>
      <c r="AM19" s="374"/>
      <c r="AN19" s="374"/>
      <c r="AO19" s="374"/>
      <c r="AP19" s="374"/>
      <c r="AQ19" s="374"/>
      <c r="AR19" s="374"/>
      <c r="AS19" s="374"/>
      <c r="AT19" s="374"/>
      <c r="AU19" s="374"/>
      <c r="AV19" s="374"/>
      <c r="AW19" s="374"/>
      <c r="AX19" s="374"/>
      <c r="AY19" s="374"/>
      <c r="AZ19" s="374"/>
      <c r="BA19" s="374"/>
      <c r="BB19" s="374"/>
      <c r="BC19" s="374"/>
      <c r="BD19" s="374"/>
      <c r="BE19" s="374"/>
      <c r="BF19" s="374"/>
      <c r="BG19" s="374"/>
      <c r="BH19" s="374"/>
      <c r="BI19" s="374"/>
      <c r="BJ19" s="374"/>
      <c r="BK19" s="374"/>
      <c r="BL19" s="374"/>
      <c r="BM19" s="374"/>
      <c r="BN19" s="374"/>
      <c r="BO19" s="374"/>
      <c r="BP19" s="374"/>
      <c r="BQ19" s="374"/>
      <c r="BR19" s="374"/>
      <c r="BS19" s="374"/>
      <c r="BT19" s="374"/>
      <c r="BU19" s="374"/>
      <c r="BV19" s="374"/>
      <c r="BW19" s="374"/>
      <c r="BX19" s="374"/>
      <c r="BY19" s="374"/>
      <c r="BZ19" s="374"/>
      <c r="CA19" s="374"/>
      <c r="CB19" s="374"/>
      <c r="CC19" s="374"/>
      <c r="CD19" s="374"/>
      <c r="CE19" s="374"/>
      <c r="CF19" s="374"/>
      <c r="CG19" s="374"/>
      <c r="CH19" s="374"/>
      <c r="CI19" s="374"/>
      <c r="CJ19" s="374"/>
      <c r="CK19" s="374"/>
      <c r="CL19" s="374"/>
      <c r="CM19" s="374"/>
      <c r="CN19" s="374"/>
      <c r="CO19" s="374"/>
      <c r="CP19" s="374"/>
      <c r="CQ19" s="374"/>
      <c r="CR19" s="374"/>
      <c r="CS19" s="374"/>
      <c r="CT19" s="374"/>
      <c r="CU19" s="374"/>
      <c r="CV19" s="374"/>
      <c r="CW19" s="374"/>
      <c r="CX19" s="374"/>
      <c r="CY19" s="374"/>
      <c r="CZ19" s="374"/>
      <c r="DA19" s="374"/>
      <c r="DB19" s="374"/>
      <c r="DC19" s="374"/>
      <c r="DD19" s="374"/>
      <c r="DE19" s="374"/>
      <c r="DF19" s="374"/>
      <c r="DG19" s="374"/>
      <c r="DH19" s="374"/>
      <c r="DI19" s="374"/>
      <c r="DJ19" s="374"/>
      <c r="DK19" s="374"/>
      <c r="DL19" s="374"/>
      <c r="DM19" s="374"/>
      <c r="DN19" s="374"/>
      <c r="DO19" s="374"/>
      <c r="DP19" s="374"/>
      <c r="DQ19" s="374"/>
      <c r="DR19" s="374"/>
      <c r="DS19" s="374"/>
      <c r="DT19" s="374"/>
      <c r="DU19" s="374"/>
      <c r="DV19" s="374"/>
      <c r="DW19" s="374"/>
      <c r="DX19" s="374"/>
      <c r="DY19" s="374"/>
      <c r="DZ19" s="374"/>
      <c r="EA19" s="374"/>
      <c r="EB19" s="374"/>
      <c r="EC19" s="374"/>
      <c r="ED19" s="374"/>
      <c r="EE19" s="374"/>
      <c r="EF19" s="374"/>
      <c r="EG19" s="374"/>
      <c r="EH19" s="374"/>
      <c r="EI19" s="374"/>
      <c r="EJ19" s="374"/>
      <c r="EK19" s="374"/>
      <c r="EL19" s="374"/>
      <c r="EM19" s="374"/>
      <c r="EN19" s="374"/>
      <c r="EO19" s="374"/>
      <c r="EP19" s="374"/>
      <c r="EQ19" s="374"/>
      <c r="ER19" s="374"/>
      <c r="ES19" s="374"/>
      <c r="ET19" s="374"/>
      <c r="EU19" s="374"/>
      <c r="EV19" s="374"/>
      <c r="EW19" s="374"/>
      <c r="EX19" s="374"/>
      <c r="EY19" s="374"/>
      <c r="EZ19" s="374"/>
      <c r="FA19" s="374"/>
      <c r="FB19" s="374"/>
      <c r="FC19" s="374"/>
      <c r="FD19" s="374"/>
      <c r="FE19" s="374"/>
      <c r="FF19" s="374"/>
      <c r="FG19" s="374"/>
      <c r="FH19" s="374"/>
      <c r="FI19" s="374"/>
      <c r="FJ19" s="374"/>
      <c r="FK19" s="374"/>
      <c r="FL19" s="374"/>
      <c r="FM19" s="374"/>
      <c r="FN19" s="374"/>
      <c r="FO19" s="374"/>
      <c r="FP19" s="374"/>
      <c r="FQ19" s="374"/>
    </row>
    <row r="20" spans="1:173">
      <c r="A20" s="381" t="s">
        <v>414</v>
      </c>
      <c r="B20" s="382"/>
      <c r="C20" s="357" t="s">
        <v>388</v>
      </c>
      <c r="D20" s="358" t="s">
        <v>389</v>
      </c>
      <c r="E20" s="358">
        <v>43831</v>
      </c>
      <c r="F20" s="358">
        <v>43862</v>
      </c>
      <c r="G20" s="358">
        <v>43891</v>
      </c>
      <c r="H20" s="358">
        <v>43922</v>
      </c>
      <c r="I20" s="358">
        <v>43952</v>
      </c>
      <c r="J20" s="358">
        <v>43983</v>
      </c>
      <c r="K20" s="358">
        <v>44013</v>
      </c>
      <c r="L20" s="358">
        <v>44044</v>
      </c>
      <c r="M20" s="358">
        <v>44075</v>
      </c>
      <c r="N20" s="358">
        <v>44105</v>
      </c>
      <c r="O20" s="358">
        <v>44136</v>
      </c>
      <c r="P20" s="358">
        <v>44166</v>
      </c>
      <c r="Q20" s="359" t="s">
        <v>390</v>
      </c>
    </row>
    <row r="21" spans="1:173">
      <c r="A21" s="360"/>
      <c r="B21" s="346" t="s">
        <v>415</v>
      </c>
      <c r="C21" s="366">
        <v>1307019</v>
      </c>
      <c r="D21" s="361"/>
      <c r="E21" s="362"/>
      <c r="F21" s="362"/>
      <c r="G21" s="362">
        <v>44000</v>
      </c>
      <c r="H21" s="362"/>
      <c r="I21" s="362"/>
      <c r="J21" s="362">
        <v>44000</v>
      </c>
      <c r="K21" s="362"/>
      <c r="L21" s="362"/>
      <c r="M21" s="362">
        <v>44000</v>
      </c>
      <c r="N21" s="362"/>
      <c r="O21" s="362"/>
      <c r="P21" s="362">
        <v>44000</v>
      </c>
      <c r="Q21" s="363">
        <f>SUM(J21:P21)</f>
        <v>132000</v>
      </c>
      <c r="R21" s="362"/>
      <c r="S21" s="362"/>
      <c r="T21" s="362">
        <v>44000</v>
      </c>
      <c r="U21" s="362"/>
      <c r="V21" s="362"/>
      <c r="W21" s="362">
        <v>44000</v>
      </c>
      <c r="X21" s="362"/>
      <c r="Y21" s="362"/>
      <c r="Z21" s="362">
        <v>44000</v>
      </c>
      <c r="AA21" s="362"/>
      <c r="AB21" s="362"/>
      <c r="AC21" s="362">
        <v>44000</v>
      </c>
      <c r="AD21" s="362">
        <f>SUM(R21:AC21)</f>
        <v>176000</v>
      </c>
      <c r="AE21" s="362"/>
      <c r="AF21" s="362"/>
      <c r="AG21" s="362">
        <v>44000</v>
      </c>
      <c r="AH21" s="362"/>
      <c r="AI21" s="362"/>
      <c r="AJ21" s="362">
        <v>44000</v>
      </c>
      <c r="AK21" s="362"/>
      <c r="AL21" s="362"/>
      <c r="AM21" s="362">
        <v>44000</v>
      </c>
      <c r="AN21" s="362"/>
      <c r="AO21" s="362"/>
      <c r="AP21" s="362">
        <v>44000</v>
      </c>
      <c r="AQ21" s="361"/>
      <c r="AR21" s="362"/>
      <c r="AS21" s="362"/>
      <c r="AT21" s="362">
        <v>44000</v>
      </c>
      <c r="AU21" s="362"/>
      <c r="AV21" s="362"/>
      <c r="AW21" s="362">
        <v>44000</v>
      </c>
      <c r="AX21" s="362"/>
      <c r="AY21" s="362"/>
      <c r="AZ21" s="362">
        <v>44000</v>
      </c>
      <c r="BA21" s="362"/>
      <c r="BB21" s="362"/>
      <c r="BC21" s="362">
        <v>44000</v>
      </c>
      <c r="BD21" s="362"/>
      <c r="BE21" s="362"/>
      <c r="BF21" s="362"/>
      <c r="BG21" s="362">
        <v>44000</v>
      </c>
      <c r="BH21" s="362"/>
      <c r="BI21" s="362"/>
      <c r="BJ21" s="362">
        <v>44000</v>
      </c>
      <c r="BK21" s="362"/>
      <c r="BL21" s="362"/>
      <c r="BM21" s="362">
        <v>44000</v>
      </c>
      <c r="BN21" s="362"/>
      <c r="BO21" s="362"/>
      <c r="BP21" s="362">
        <v>44000</v>
      </c>
      <c r="BQ21" s="362"/>
      <c r="BR21" s="362"/>
      <c r="BS21" s="362"/>
      <c r="BT21" s="362">
        <v>44000</v>
      </c>
      <c r="BU21" s="362"/>
      <c r="BV21" s="362"/>
      <c r="BW21" s="362">
        <v>44000</v>
      </c>
      <c r="BX21" s="362"/>
      <c r="BY21" s="362"/>
      <c r="BZ21" s="362">
        <v>44000</v>
      </c>
      <c r="CA21" s="362"/>
      <c r="CB21" s="362"/>
      <c r="CC21" s="362">
        <v>42701</v>
      </c>
      <c r="CD21" s="362"/>
      <c r="CE21" s="362"/>
      <c r="CF21" s="362"/>
      <c r="CG21" s="362"/>
      <c r="CH21" s="362"/>
      <c r="CI21" s="362"/>
      <c r="CJ21" s="362"/>
      <c r="CK21" s="362"/>
      <c r="CL21" s="362"/>
      <c r="CM21" s="362"/>
      <c r="CN21" s="362"/>
      <c r="CO21" s="362"/>
      <c r="CP21" s="362"/>
      <c r="CQ21" s="362"/>
      <c r="CR21" s="362"/>
      <c r="CS21" s="362"/>
      <c r="CT21" s="362"/>
      <c r="CU21" s="362"/>
      <c r="CV21" s="362"/>
      <c r="CW21" s="362"/>
      <c r="CX21" s="362"/>
      <c r="CY21" s="362"/>
      <c r="CZ21" s="362"/>
      <c r="DA21" s="362"/>
      <c r="DB21" s="362"/>
      <c r="DC21" s="362"/>
      <c r="DD21" s="362"/>
      <c r="DE21" s="362"/>
      <c r="DF21" s="362"/>
      <c r="DG21" s="362"/>
      <c r="DH21" s="362"/>
      <c r="DI21" s="362"/>
      <c r="DJ21" s="362"/>
      <c r="DK21" s="362"/>
      <c r="DL21" s="362"/>
      <c r="DM21" s="362"/>
      <c r="DN21" s="362"/>
      <c r="DO21" s="362"/>
      <c r="DP21" s="362"/>
      <c r="DQ21" s="362"/>
      <c r="DR21" s="362"/>
      <c r="DS21" s="362"/>
      <c r="DT21" s="362"/>
      <c r="DU21" s="362"/>
      <c r="DV21" s="362"/>
      <c r="DW21" s="362"/>
      <c r="DX21" s="362"/>
      <c r="DY21" s="362"/>
      <c r="DZ21" s="362"/>
      <c r="EA21" s="362"/>
      <c r="EB21" s="362"/>
      <c r="EC21" s="362"/>
      <c r="ED21" s="362"/>
      <c r="EE21" s="362"/>
      <c r="EF21" s="362"/>
      <c r="EG21" s="362"/>
      <c r="EH21" s="362"/>
      <c r="EI21" s="362"/>
      <c r="EJ21" s="362"/>
      <c r="EK21" s="362"/>
      <c r="EL21" s="362"/>
      <c r="EM21" s="362"/>
      <c r="EN21" s="362"/>
      <c r="EO21" s="362"/>
      <c r="EP21" s="362"/>
      <c r="EQ21" s="362"/>
      <c r="ER21" s="362"/>
      <c r="ES21" s="362"/>
      <c r="ET21" s="362"/>
      <c r="EU21" s="362"/>
      <c r="EV21" s="362"/>
      <c r="EW21" s="362"/>
      <c r="EX21" s="362"/>
      <c r="EY21" s="362"/>
      <c r="EZ21" s="362"/>
      <c r="FA21" s="362"/>
      <c r="FB21" s="362"/>
      <c r="FC21" s="362"/>
      <c r="FD21" s="362"/>
      <c r="FE21" s="362"/>
      <c r="FF21" s="362"/>
      <c r="FG21" s="362"/>
      <c r="FH21" s="362"/>
      <c r="FI21" s="362"/>
      <c r="FJ21" s="362"/>
      <c r="FK21" s="362"/>
      <c r="FL21" s="362"/>
      <c r="FM21" s="362"/>
      <c r="FN21" s="362"/>
      <c r="FO21" s="362"/>
      <c r="FP21" s="362"/>
      <c r="FQ21" s="362"/>
    </row>
    <row r="22" spans="1:173">
      <c r="A22" s="352"/>
      <c r="B22" s="348"/>
      <c r="C22" s="364" t="s">
        <v>405</v>
      </c>
      <c r="D22" s="362">
        <v>1054701</v>
      </c>
      <c r="E22" s="362">
        <f>D22-E21</f>
        <v>1054701</v>
      </c>
      <c r="F22" s="362">
        <f t="shared" ref="F22:G22" si="68">E22-F21</f>
        <v>1054701</v>
      </c>
      <c r="G22" s="362">
        <f t="shared" si="68"/>
        <v>1010701</v>
      </c>
      <c r="H22" s="362">
        <f>G22-H21</f>
        <v>1010701</v>
      </c>
      <c r="I22" s="362">
        <f t="shared" ref="I22:P22" si="69">H22-I21</f>
        <v>1010701</v>
      </c>
      <c r="J22" s="362">
        <f t="shared" si="69"/>
        <v>966701</v>
      </c>
      <c r="K22" s="362">
        <f t="shared" si="69"/>
        <v>966701</v>
      </c>
      <c r="L22" s="362">
        <f t="shared" si="69"/>
        <v>966701</v>
      </c>
      <c r="M22" s="362">
        <f t="shared" si="69"/>
        <v>922701</v>
      </c>
      <c r="N22" s="362">
        <f t="shared" si="69"/>
        <v>922701</v>
      </c>
      <c r="O22" s="362">
        <f t="shared" si="69"/>
        <v>922701</v>
      </c>
      <c r="P22" s="362">
        <f t="shared" si="69"/>
        <v>878701</v>
      </c>
      <c r="Q22" s="362">
        <f>P22</f>
        <v>878701</v>
      </c>
      <c r="R22" s="362">
        <f>Q22-R21</f>
        <v>878701</v>
      </c>
      <c r="S22" s="362">
        <f t="shared" ref="S22:AC22" si="70">R22-S21</f>
        <v>878701</v>
      </c>
      <c r="T22" s="362">
        <f t="shared" si="70"/>
        <v>834701</v>
      </c>
      <c r="U22" s="362">
        <f t="shared" si="70"/>
        <v>834701</v>
      </c>
      <c r="V22" s="362">
        <f t="shared" si="70"/>
        <v>834701</v>
      </c>
      <c r="W22" s="362">
        <f t="shared" si="70"/>
        <v>790701</v>
      </c>
      <c r="X22" s="362">
        <f t="shared" si="70"/>
        <v>790701</v>
      </c>
      <c r="Y22" s="362">
        <f t="shared" si="70"/>
        <v>790701</v>
      </c>
      <c r="Z22" s="362">
        <f t="shared" si="70"/>
        <v>746701</v>
      </c>
      <c r="AA22" s="362">
        <f t="shared" si="70"/>
        <v>746701</v>
      </c>
      <c r="AB22" s="362">
        <f t="shared" si="70"/>
        <v>746701</v>
      </c>
      <c r="AC22" s="362">
        <f t="shared" si="70"/>
        <v>702701</v>
      </c>
      <c r="AD22" s="362">
        <f>AC22</f>
        <v>702701</v>
      </c>
      <c r="AE22" s="362">
        <f>AD22-AE21</f>
        <v>702701</v>
      </c>
      <c r="AF22" s="362">
        <f t="shared" ref="AF22:AP22" si="71">AE22-AF21</f>
        <v>702701</v>
      </c>
      <c r="AG22" s="362">
        <f t="shared" si="71"/>
        <v>658701</v>
      </c>
      <c r="AH22" s="362">
        <f t="shared" si="71"/>
        <v>658701</v>
      </c>
      <c r="AI22" s="362">
        <f t="shared" si="71"/>
        <v>658701</v>
      </c>
      <c r="AJ22" s="362">
        <f t="shared" si="71"/>
        <v>614701</v>
      </c>
      <c r="AK22" s="362">
        <f t="shared" si="71"/>
        <v>614701</v>
      </c>
      <c r="AL22" s="362">
        <f t="shared" si="71"/>
        <v>614701</v>
      </c>
      <c r="AM22" s="362">
        <f t="shared" si="71"/>
        <v>570701</v>
      </c>
      <c r="AN22" s="362">
        <f t="shared" si="71"/>
        <v>570701</v>
      </c>
      <c r="AO22" s="362">
        <f t="shared" si="71"/>
        <v>570701</v>
      </c>
      <c r="AP22" s="362">
        <f t="shared" si="71"/>
        <v>526701</v>
      </c>
      <c r="AQ22" s="362">
        <f>AP22</f>
        <v>526701</v>
      </c>
      <c r="AR22" s="362">
        <f>AQ22-AR21</f>
        <v>526701</v>
      </c>
      <c r="AS22" s="362">
        <f t="shared" ref="AS22:BC22" si="72">AR22-AS21</f>
        <v>526701</v>
      </c>
      <c r="AT22" s="362">
        <f t="shared" si="72"/>
        <v>482701</v>
      </c>
      <c r="AU22" s="362">
        <f t="shared" si="72"/>
        <v>482701</v>
      </c>
      <c r="AV22" s="362">
        <f t="shared" si="72"/>
        <v>482701</v>
      </c>
      <c r="AW22" s="362">
        <f t="shared" si="72"/>
        <v>438701</v>
      </c>
      <c r="AX22" s="362">
        <f t="shared" si="72"/>
        <v>438701</v>
      </c>
      <c r="AY22" s="362">
        <f t="shared" si="72"/>
        <v>438701</v>
      </c>
      <c r="AZ22" s="362">
        <f t="shared" si="72"/>
        <v>394701</v>
      </c>
      <c r="BA22" s="362">
        <f t="shared" si="72"/>
        <v>394701</v>
      </c>
      <c r="BB22" s="362">
        <f t="shared" si="72"/>
        <v>394701</v>
      </c>
      <c r="BC22" s="362">
        <f t="shared" si="72"/>
        <v>350701</v>
      </c>
      <c r="BD22" s="362">
        <f>BC22</f>
        <v>350701</v>
      </c>
      <c r="BE22" s="362">
        <f>BD22-BE21</f>
        <v>350701</v>
      </c>
      <c r="BF22" s="362">
        <f t="shared" ref="BF22:BP22" si="73">BE22-BF21</f>
        <v>350701</v>
      </c>
      <c r="BG22" s="362">
        <f t="shared" si="73"/>
        <v>306701</v>
      </c>
      <c r="BH22" s="362">
        <f t="shared" si="73"/>
        <v>306701</v>
      </c>
      <c r="BI22" s="362">
        <f t="shared" si="73"/>
        <v>306701</v>
      </c>
      <c r="BJ22" s="362">
        <f t="shared" si="73"/>
        <v>262701</v>
      </c>
      <c r="BK22" s="362">
        <f t="shared" si="73"/>
        <v>262701</v>
      </c>
      <c r="BL22" s="362">
        <f t="shared" si="73"/>
        <v>262701</v>
      </c>
      <c r="BM22" s="362">
        <f t="shared" si="73"/>
        <v>218701</v>
      </c>
      <c r="BN22" s="362">
        <f t="shared" si="73"/>
        <v>218701</v>
      </c>
      <c r="BO22" s="362">
        <f t="shared" si="73"/>
        <v>218701</v>
      </c>
      <c r="BP22" s="362">
        <f t="shared" si="73"/>
        <v>174701</v>
      </c>
      <c r="BQ22" s="362">
        <f>BP22</f>
        <v>174701</v>
      </c>
      <c r="BR22" s="362">
        <f>BQ22-BR21</f>
        <v>174701</v>
      </c>
      <c r="BS22" s="362">
        <f t="shared" ref="BS22:CC22" si="74">BR22-BS21</f>
        <v>174701</v>
      </c>
      <c r="BT22" s="362">
        <f t="shared" si="74"/>
        <v>130701</v>
      </c>
      <c r="BU22" s="362">
        <f t="shared" si="74"/>
        <v>130701</v>
      </c>
      <c r="BV22" s="362">
        <f t="shared" si="74"/>
        <v>130701</v>
      </c>
      <c r="BW22" s="362">
        <f t="shared" si="74"/>
        <v>86701</v>
      </c>
      <c r="BX22" s="362">
        <f t="shared" si="74"/>
        <v>86701</v>
      </c>
      <c r="BY22" s="362">
        <f t="shared" si="74"/>
        <v>86701</v>
      </c>
      <c r="BZ22" s="362">
        <f t="shared" si="74"/>
        <v>42701</v>
      </c>
      <c r="CA22" s="362">
        <f t="shared" si="74"/>
        <v>42701</v>
      </c>
      <c r="CB22" s="362">
        <f t="shared" si="74"/>
        <v>42701</v>
      </c>
      <c r="CC22" s="362">
        <f t="shared" si="74"/>
        <v>0</v>
      </c>
      <c r="CD22" s="362"/>
      <c r="CE22" s="362"/>
      <c r="CF22" s="362"/>
      <c r="CG22" s="362"/>
      <c r="CH22" s="362"/>
      <c r="CI22" s="362"/>
      <c r="CJ22" s="362"/>
      <c r="CK22" s="362"/>
      <c r="CL22" s="362"/>
      <c r="CM22" s="362"/>
      <c r="CN22" s="362"/>
      <c r="CO22" s="362"/>
      <c r="CP22" s="362"/>
      <c r="CQ22" s="362"/>
      <c r="CR22" s="362"/>
      <c r="CS22" s="362"/>
      <c r="CT22" s="362"/>
      <c r="CU22" s="362"/>
      <c r="CV22" s="362"/>
      <c r="CW22" s="362"/>
      <c r="CX22" s="362"/>
      <c r="CY22" s="362"/>
      <c r="CZ22" s="362"/>
      <c r="DA22" s="362"/>
      <c r="DB22" s="362"/>
      <c r="DC22" s="362"/>
      <c r="DD22" s="362"/>
      <c r="DE22" s="362"/>
      <c r="DF22" s="362"/>
      <c r="DG22" s="362"/>
      <c r="DH22" s="362"/>
      <c r="DI22" s="362"/>
      <c r="DJ22" s="362"/>
      <c r="DK22" s="362"/>
      <c r="DL22" s="362"/>
      <c r="DM22" s="362"/>
      <c r="DN22" s="362"/>
      <c r="DO22" s="362"/>
      <c r="DP22" s="362"/>
      <c r="DQ22" s="362"/>
      <c r="DR22" s="362"/>
      <c r="DS22" s="362"/>
      <c r="DT22" s="362"/>
      <c r="DU22" s="362"/>
      <c r="DV22" s="362"/>
      <c r="DW22" s="362"/>
      <c r="DX22" s="362"/>
      <c r="DY22" s="362"/>
      <c r="DZ22" s="362"/>
      <c r="EA22" s="362"/>
      <c r="EB22" s="362"/>
      <c r="EC22" s="362"/>
      <c r="ED22" s="362"/>
      <c r="EE22" s="362"/>
      <c r="EF22" s="362"/>
      <c r="EG22" s="362"/>
      <c r="EH22" s="362"/>
      <c r="EI22" s="362"/>
      <c r="EJ22" s="362"/>
      <c r="EK22" s="362"/>
      <c r="EL22" s="362"/>
      <c r="EM22" s="362"/>
      <c r="EN22" s="362"/>
      <c r="EO22" s="362"/>
      <c r="EP22" s="362"/>
      <c r="EQ22" s="362"/>
      <c r="ER22" s="362"/>
      <c r="ES22" s="362"/>
      <c r="ET22" s="362"/>
      <c r="EU22" s="362"/>
      <c r="EV22" s="362"/>
      <c r="EW22" s="362"/>
      <c r="EX22" s="362"/>
      <c r="EY22" s="362"/>
      <c r="EZ22" s="362"/>
      <c r="FA22" s="362"/>
      <c r="FB22" s="362"/>
      <c r="FC22" s="362"/>
      <c r="FD22" s="362"/>
      <c r="FE22" s="362"/>
      <c r="FF22" s="362"/>
      <c r="FG22" s="362"/>
      <c r="FH22" s="362"/>
      <c r="FI22" s="362"/>
      <c r="FJ22" s="362"/>
      <c r="FK22" s="362"/>
      <c r="FL22" s="362"/>
      <c r="FM22" s="362"/>
      <c r="FN22" s="362"/>
      <c r="FO22" s="362"/>
      <c r="FP22" s="362"/>
      <c r="FQ22" s="362"/>
    </row>
    <row r="23" spans="1:173">
      <c r="A23" s="365"/>
      <c r="B23" s="349" t="s">
        <v>416</v>
      </c>
      <c r="C23" s="366">
        <v>23000000</v>
      </c>
      <c r="D23" s="361"/>
      <c r="E23" s="362"/>
      <c r="F23" s="362"/>
      <c r="G23" s="362">
        <v>548000</v>
      </c>
      <c r="H23" s="362"/>
      <c r="I23" s="362"/>
      <c r="J23" s="362">
        <v>548000</v>
      </c>
      <c r="K23" s="362"/>
      <c r="L23" s="362"/>
      <c r="M23" s="362">
        <v>548000</v>
      </c>
      <c r="N23" s="362"/>
      <c r="O23" s="362"/>
      <c r="P23" s="362">
        <v>548000</v>
      </c>
      <c r="Q23" s="363">
        <f>SUM(J23:P23)</f>
        <v>1644000</v>
      </c>
      <c r="R23" s="362"/>
      <c r="S23" s="362"/>
      <c r="T23" s="362">
        <v>548000</v>
      </c>
      <c r="U23" s="362"/>
      <c r="V23" s="362"/>
      <c r="W23" s="362">
        <v>548000</v>
      </c>
      <c r="X23" s="362"/>
      <c r="Y23" s="362"/>
      <c r="Z23" s="362">
        <v>548000</v>
      </c>
      <c r="AA23" s="362"/>
      <c r="AB23" s="362"/>
      <c r="AC23" s="362">
        <v>548000</v>
      </c>
      <c r="AD23" s="362">
        <f>SUM(R23:AC23)</f>
        <v>2192000</v>
      </c>
      <c r="AE23" s="362"/>
      <c r="AF23" s="362"/>
      <c r="AG23" s="362">
        <v>548000</v>
      </c>
      <c r="AH23" s="362"/>
      <c r="AI23" s="362"/>
      <c r="AJ23" s="362">
        <v>548000</v>
      </c>
      <c r="AK23" s="362"/>
      <c r="AL23" s="362"/>
      <c r="AM23" s="362">
        <v>548000</v>
      </c>
      <c r="AN23" s="362"/>
      <c r="AO23" s="362"/>
      <c r="AP23" s="362">
        <v>548000</v>
      </c>
      <c r="AQ23" s="361"/>
      <c r="AR23" s="362"/>
      <c r="AS23" s="362"/>
      <c r="AT23" s="362">
        <v>548000</v>
      </c>
      <c r="AU23" s="362"/>
      <c r="AV23" s="362"/>
      <c r="AW23" s="362">
        <v>548000</v>
      </c>
      <c r="AX23" s="362"/>
      <c r="AY23" s="362"/>
      <c r="AZ23" s="362">
        <v>548000</v>
      </c>
      <c r="BA23" s="362"/>
      <c r="BB23" s="362"/>
      <c r="BC23" s="362">
        <v>548000</v>
      </c>
      <c r="BD23" s="362"/>
      <c r="BE23" s="362"/>
      <c r="BF23" s="362"/>
      <c r="BG23" s="362">
        <v>548000</v>
      </c>
      <c r="BH23" s="362"/>
      <c r="BI23" s="362"/>
      <c r="BJ23" s="362">
        <v>548000</v>
      </c>
      <c r="BK23" s="362"/>
      <c r="BL23" s="362"/>
      <c r="BM23" s="362">
        <v>548000</v>
      </c>
      <c r="BN23" s="362"/>
      <c r="BO23" s="362"/>
      <c r="BP23" s="362">
        <v>548000</v>
      </c>
      <c r="BQ23" s="362"/>
      <c r="BR23" s="362"/>
      <c r="BS23" s="362"/>
      <c r="BT23" s="362">
        <v>548000</v>
      </c>
      <c r="BU23" s="362"/>
      <c r="BV23" s="362"/>
      <c r="BW23" s="362">
        <v>548000</v>
      </c>
      <c r="BX23" s="362"/>
      <c r="BY23" s="362"/>
      <c r="BZ23" s="362">
        <v>548000</v>
      </c>
      <c r="CA23" s="362"/>
      <c r="CB23" s="362"/>
      <c r="CC23" s="362">
        <v>532000</v>
      </c>
      <c r="CD23" s="362"/>
      <c r="CE23" s="362"/>
      <c r="CF23" s="362"/>
      <c r="CG23" s="362"/>
      <c r="CH23" s="362"/>
      <c r="CI23" s="362"/>
      <c r="CJ23" s="362"/>
      <c r="CK23" s="362"/>
      <c r="CL23" s="362"/>
      <c r="CM23" s="362"/>
      <c r="CN23" s="362"/>
      <c r="CO23" s="362"/>
      <c r="CP23" s="362"/>
      <c r="CQ23" s="362"/>
      <c r="CR23" s="362"/>
      <c r="CS23" s="362"/>
      <c r="CT23" s="362"/>
      <c r="CU23" s="362"/>
      <c r="CV23" s="362"/>
      <c r="CW23" s="362"/>
      <c r="CX23" s="362"/>
      <c r="CY23" s="362"/>
      <c r="CZ23" s="362"/>
      <c r="DA23" s="362"/>
      <c r="DB23" s="362"/>
      <c r="DC23" s="362"/>
      <c r="DD23" s="362"/>
      <c r="DE23" s="362"/>
      <c r="DF23" s="362"/>
      <c r="DG23" s="362"/>
      <c r="DH23" s="362"/>
      <c r="DI23" s="362"/>
      <c r="DJ23" s="362"/>
      <c r="DK23" s="362"/>
      <c r="DL23" s="362"/>
      <c r="DM23" s="362"/>
      <c r="DN23" s="362"/>
      <c r="DO23" s="362"/>
      <c r="DP23" s="362"/>
      <c r="DQ23" s="362"/>
      <c r="DR23" s="362"/>
      <c r="DS23" s="362"/>
      <c r="DT23" s="362"/>
      <c r="DU23" s="362"/>
      <c r="DV23" s="362"/>
      <c r="DW23" s="362"/>
      <c r="DX23" s="362"/>
      <c r="DY23" s="362"/>
      <c r="DZ23" s="362"/>
      <c r="EA23" s="362"/>
      <c r="EB23" s="362"/>
      <c r="EC23" s="362"/>
      <c r="ED23" s="362"/>
      <c r="EE23" s="362"/>
      <c r="EF23" s="362"/>
      <c r="EG23" s="362"/>
      <c r="EH23" s="362"/>
      <c r="EI23" s="362"/>
      <c r="EJ23" s="362"/>
      <c r="EK23" s="362"/>
      <c r="EL23" s="362"/>
      <c r="EM23" s="362"/>
      <c r="EN23" s="362"/>
      <c r="EO23" s="362"/>
      <c r="EP23" s="362"/>
      <c r="EQ23" s="362"/>
      <c r="ER23" s="362"/>
      <c r="ES23" s="362"/>
      <c r="ET23" s="362"/>
      <c r="EU23" s="362"/>
      <c r="EV23" s="362"/>
      <c r="EW23" s="362"/>
      <c r="EX23" s="362"/>
      <c r="EY23" s="362"/>
      <c r="EZ23" s="362"/>
      <c r="FA23" s="362"/>
      <c r="FB23" s="362"/>
      <c r="FC23" s="362"/>
      <c r="FD23" s="362"/>
      <c r="FE23" s="362"/>
      <c r="FF23" s="362"/>
      <c r="FG23" s="362"/>
      <c r="FH23" s="362"/>
      <c r="FI23" s="362"/>
      <c r="FJ23" s="362"/>
      <c r="FK23" s="362"/>
      <c r="FL23" s="362"/>
      <c r="FM23" s="362"/>
      <c r="FN23" s="362"/>
      <c r="FO23" s="362"/>
      <c r="FP23" s="362"/>
      <c r="FQ23" s="362"/>
    </row>
    <row r="24" spans="1:173">
      <c r="A24" s="352"/>
      <c r="B24" s="350"/>
      <c r="C24" s="375" t="s">
        <v>405</v>
      </c>
      <c r="D24" s="362">
        <v>13136000</v>
      </c>
      <c r="E24" s="362">
        <f>D24-E23</f>
        <v>13136000</v>
      </c>
      <c r="F24" s="362">
        <f t="shared" ref="F24:P24" si="75">E24-F23</f>
        <v>13136000</v>
      </c>
      <c r="G24" s="362">
        <f t="shared" si="75"/>
        <v>12588000</v>
      </c>
      <c r="H24" s="362">
        <f t="shared" si="75"/>
        <v>12588000</v>
      </c>
      <c r="I24" s="362">
        <f t="shared" si="75"/>
        <v>12588000</v>
      </c>
      <c r="J24" s="362">
        <f t="shared" si="75"/>
        <v>12040000</v>
      </c>
      <c r="K24" s="362">
        <f t="shared" si="75"/>
        <v>12040000</v>
      </c>
      <c r="L24" s="362">
        <f t="shared" si="75"/>
        <v>12040000</v>
      </c>
      <c r="M24" s="362">
        <f t="shared" si="75"/>
        <v>11492000</v>
      </c>
      <c r="N24" s="362">
        <f t="shared" si="75"/>
        <v>11492000</v>
      </c>
      <c r="O24" s="362">
        <f t="shared" si="75"/>
        <v>11492000</v>
      </c>
      <c r="P24" s="362">
        <f t="shared" si="75"/>
        <v>10944000</v>
      </c>
      <c r="Q24" s="362">
        <f>P24</f>
        <v>10944000</v>
      </c>
      <c r="R24" s="362">
        <f>Q24-R23</f>
        <v>10944000</v>
      </c>
      <c r="S24" s="362">
        <f t="shared" ref="S24:AC24" si="76">R24-S23</f>
        <v>10944000</v>
      </c>
      <c r="T24" s="362">
        <f t="shared" si="76"/>
        <v>10396000</v>
      </c>
      <c r="U24" s="362">
        <f t="shared" si="76"/>
        <v>10396000</v>
      </c>
      <c r="V24" s="362">
        <f t="shared" si="76"/>
        <v>10396000</v>
      </c>
      <c r="W24" s="362">
        <f t="shared" si="76"/>
        <v>9848000</v>
      </c>
      <c r="X24" s="362">
        <f t="shared" si="76"/>
        <v>9848000</v>
      </c>
      <c r="Y24" s="362">
        <f t="shared" si="76"/>
        <v>9848000</v>
      </c>
      <c r="Z24" s="362">
        <f t="shared" si="76"/>
        <v>9300000</v>
      </c>
      <c r="AA24" s="362">
        <f t="shared" si="76"/>
        <v>9300000</v>
      </c>
      <c r="AB24" s="362">
        <f t="shared" si="76"/>
        <v>9300000</v>
      </c>
      <c r="AC24" s="362">
        <f t="shared" si="76"/>
        <v>8752000</v>
      </c>
      <c r="AD24" s="362">
        <f>AC24</f>
        <v>8752000</v>
      </c>
      <c r="AE24" s="362">
        <f>AD24-AE23</f>
        <v>8752000</v>
      </c>
      <c r="AF24" s="362">
        <f t="shared" ref="AF24:AP24" si="77">AE24-AF23</f>
        <v>8752000</v>
      </c>
      <c r="AG24" s="362">
        <f t="shared" si="77"/>
        <v>8204000</v>
      </c>
      <c r="AH24" s="362">
        <f t="shared" si="77"/>
        <v>8204000</v>
      </c>
      <c r="AI24" s="362">
        <f t="shared" si="77"/>
        <v>8204000</v>
      </c>
      <c r="AJ24" s="362">
        <f t="shared" si="77"/>
        <v>7656000</v>
      </c>
      <c r="AK24" s="362">
        <f t="shared" si="77"/>
        <v>7656000</v>
      </c>
      <c r="AL24" s="362">
        <f t="shared" si="77"/>
        <v>7656000</v>
      </c>
      <c r="AM24" s="362">
        <f t="shared" si="77"/>
        <v>7108000</v>
      </c>
      <c r="AN24" s="362">
        <f t="shared" si="77"/>
        <v>7108000</v>
      </c>
      <c r="AO24" s="362">
        <f t="shared" si="77"/>
        <v>7108000</v>
      </c>
      <c r="AP24" s="362">
        <f t="shared" si="77"/>
        <v>6560000</v>
      </c>
      <c r="AQ24" s="362">
        <f>AP24</f>
        <v>6560000</v>
      </c>
      <c r="AR24" s="362">
        <f>AQ24-AR23</f>
        <v>6560000</v>
      </c>
      <c r="AS24" s="362">
        <f t="shared" ref="AS24:BC24" si="78">AR24-AS23</f>
        <v>6560000</v>
      </c>
      <c r="AT24" s="362">
        <f t="shared" si="78"/>
        <v>6012000</v>
      </c>
      <c r="AU24" s="362">
        <f t="shared" si="78"/>
        <v>6012000</v>
      </c>
      <c r="AV24" s="362">
        <f t="shared" si="78"/>
        <v>6012000</v>
      </c>
      <c r="AW24" s="362">
        <f t="shared" si="78"/>
        <v>5464000</v>
      </c>
      <c r="AX24" s="362">
        <f t="shared" si="78"/>
        <v>5464000</v>
      </c>
      <c r="AY24" s="362">
        <f t="shared" si="78"/>
        <v>5464000</v>
      </c>
      <c r="AZ24" s="362">
        <f t="shared" si="78"/>
        <v>4916000</v>
      </c>
      <c r="BA24" s="362">
        <f t="shared" si="78"/>
        <v>4916000</v>
      </c>
      <c r="BB24" s="362">
        <f t="shared" si="78"/>
        <v>4916000</v>
      </c>
      <c r="BC24" s="362">
        <f t="shared" si="78"/>
        <v>4368000</v>
      </c>
      <c r="BD24" s="362">
        <f>BC24</f>
        <v>4368000</v>
      </c>
      <c r="BE24" s="362">
        <f>BD24-BE23</f>
        <v>4368000</v>
      </c>
      <c r="BF24" s="362">
        <f t="shared" ref="BF24:BP24" si="79">BE24-BF23</f>
        <v>4368000</v>
      </c>
      <c r="BG24" s="362">
        <f t="shared" si="79"/>
        <v>3820000</v>
      </c>
      <c r="BH24" s="362">
        <f t="shared" si="79"/>
        <v>3820000</v>
      </c>
      <c r="BI24" s="362">
        <f t="shared" si="79"/>
        <v>3820000</v>
      </c>
      <c r="BJ24" s="362">
        <f t="shared" si="79"/>
        <v>3272000</v>
      </c>
      <c r="BK24" s="362">
        <f t="shared" si="79"/>
        <v>3272000</v>
      </c>
      <c r="BL24" s="362">
        <f t="shared" si="79"/>
        <v>3272000</v>
      </c>
      <c r="BM24" s="362">
        <f t="shared" si="79"/>
        <v>2724000</v>
      </c>
      <c r="BN24" s="362">
        <f t="shared" si="79"/>
        <v>2724000</v>
      </c>
      <c r="BO24" s="362">
        <f t="shared" si="79"/>
        <v>2724000</v>
      </c>
      <c r="BP24" s="362">
        <f t="shared" si="79"/>
        <v>2176000</v>
      </c>
      <c r="BQ24" s="362">
        <f>BP24</f>
        <v>2176000</v>
      </c>
      <c r="BR24" s="362">
        <f>BQ24-BR23</f>
        <v>2176000</v>
      </c>
      <c r="BS24" s="362">
        <f t="shared" ref="BS24:CC24" si="80">BR24-BS23</f>
        <v>2176000</v>
      </c>
      <c r="BT24" s="362">
        <f t="shared" si="80"/>
        <v>1628000</v>
      </c>
      <c r="BU24" s="362">
        <f t="shared" si="80"/>
        <v>1628000</v>
      </c>
      <c r="BV24" s="362">
        <f t="shared" si="80"/>
        <v>1628000</v>
      </c>
      <c r="BW24" s="362">
        <f t="shared" si="80"/>
        <v>1080000</v>
      </c>
      <c r="BX24" s="362">
        <f t="shared" si="80"/>
        <v>1080000</v>
      </c>
      <c r="BY24" s="362">
        <f t="shared" si="80"/>
        <v>1080000</v>
      </c>
      <c r="BZ24" s="362">
        <f t="shared" si="80"/>
        <v>532000</v>
      </c>
      <c r="CA24" s="362">
        <f t="shared" si="80"/>
        <v>532000</v>
      </c>
      <c r="CB24" s="362">
        <f t="shared" si="80"/>
        <v>532000</v>
      </c>
      <c r="CC24" s="362">
        <f t="shared" si="80"/>
        <v>0</v>
      </c>
      <c r="CD24" s="361"/>
      <c r="CE24" s="362"/>
      <c r="CF24" s="362"/>
      <c r="CG24" s="362"/>
      <c r="CH24" s="362"/>
      <c r="CI24" s="362"/>
      <c r="CJ24" s="362"/>
      <c r="CK24" s="362"/>
      <c r="CL24" s="362"/>
      <c r="CM24" s="362"/>
      <c r="CN24" s="362"/>
      <c r="CO24" s="362"/>
      <c r="CP24" s="362"/>
      <c r="CQ24" s="362"/>
      <c r="CR24" s="362"/>
      <c r="CS24" s="362"/>
      <c r="CT24" s="362"/>
      <c r="CU24" s="362"/>
      <c r="CV24" s="362"/>
      <c r="CW24" s="362"/>
      <c r="CX24" s="362"/>
      <c r="CY24" s="362"/>
      <c r="CZ24" s="362"/>
      <c r="DA24" s="362"/>
      <c r="DB24" s="362"/>
      <c r="DC24" s="362"/>
      <c r="DD24" s="362"/>
      <c r="DE24" s="362"/>
      <c r="DF24" s="362"/>
      <c r="DG24" s="362"/>
      <c r="DH24" s="362"/>
      <c r="DI24" s="362"/>
      <c r="DJ24" s="362"/>
      <c r="DK24" s="362"/>
      <c r="DL24" s="362"/>
      <c r="DM24" s="362"/>
      <c r="DN24" s="362"/>
      <c r="DO24" s="362"/>
      <c r="DP24" s="362"/>
      <c r="DQ24" s="362"/>
      <c r="DR24" s="362"/>
      <c r="DS24" s="362"/>
      <c r="DT24" s="362"/>
      <c r="DU24" s="362"/>
      <c r="DV24" s="362"/>
      <c r="DW24" s="362"/>
      <c r="DX24" s="362"/>
      <c r="DY24" s="362"/>
      <c r="DZ24" s="362"/>
      <c r="EA24" s="362"/>
      <c r="EB24" s="362"/>
      <c r="EC24" s="362"/>
      <c r="ED24" s="362"/>
      <c r="EE24" s="362"/>
      <c r="EF24" s="362"/>
      <c r="EG24" s="362"/>
      <c r="EH24" s="362"/>
      <c r="EI24" s="362"/>
      <c r="EJ24" s="362"/>
      <c r="EK24" s="362"/>
      <c r="EL24" s="362"/>
      <c r="EM24" s="362"/>
      <c r="EN24" s="362"/>
      <c r="EO24" s="362"/>
      <c r="EP24" s="362"/>
      <c r="EQ24" s="362"/>
      <c r="ER24" s="362"/>
      <c r="ES24" s="362"/>
      <c r="ET24" s="362"/>
      <c r="EU24" s="362"/>
      <c r="EV24" s="362"/>
      <c r="EW24" s="362"/>
      <c r="EX24" s="362"/>
      <c r="EY24" s="362"/>
      <c r="EZ24" s="362"/>
      <c r="FA24" s="362"/>
      <c r="FB24" s="362"/>
      <c r="FC24" s="362"/>
      <c r="FD24" s="362"/>
      <c r="FE24" s="362"/>
      <c r="FF24" s="362"/>
      <c r="FG24" s="362"/>
      <c r="FH24" s="362"/>
      <c r="FI24" s="362"/>
      <c r="FJ24" s="362"/>
      <c r="FK24" s="362"/>
      <c r="FL24" s="362"/>
      <c r="FM24" s="362"/>
      <c r="FN24" s="362"/>
      <c r="FO24" s="362"/>
      <c r="FP24" s="362"/>
      <c r="FQ24" s="362"/>
    </row>
    <row r="25" spans="1:173">
      <c r="A25" s="367" t="s">
        <v>417</v>
      </c>
      <c r="B25" s="352"/>
      <c r="C25" s="364" t="s">
        <v>412</v>
      </c>
      <c r="D25" s="361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71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>
        <f>Q22-AD22</f>
        <v>176000</v>
      </c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  <c r="BZ25" s="361"/>
      <c r="CA25" s="361"/>
      <c r="CB25" s="361"/>
      <c r="CC25" s="361"/>
      <c r="CD25" s="361"/>
      <c r="CE25" s="361"/>
      <c r="CF25" s="361"/>
      <c r="CG25" s="361"/>
      <c r="CH25" s="361"/>
      <c r="CI25" s="361"/>
      <c r="CJ25" s="361"/>
      <c r="CK25" s="361"/>
      <c r="CL25" s="361"/>
      <c r="CM25" s="361"/>
      <c r="CN25" s="361"/>
      <c r="CO25" s="361"/>
      <c r="CP25" s="361"/>
      <c r="CQ25" s="361"/>
      <c r="CR25" s="361"/>
      <c r="CS25" s="361"/>
      <c r="CT25" s="361"/>
      <c r="CU25" s="361"/>
      <c r="CV25" s="361"/>
      <c r="CW25" s="361"/>
      <c r="CX25" s="361"/>
      <c r="CY25" s="361"/>
      <c r="CZ25" s="361"/>
      <c r="DA25" s="361"/>
      <c r="DB25" s="361"/>
      <c r="DC25" s="361"/>
      <c r="DD25" s="361"/>
      <c r="DE25" s="361"/>
      <c r="DF25" s="361"/>
      <c r="DG25" s="361"/>
      <c r="DH25" s="361"/>
      <c r="DI25" s="361"/>
      <c r="DJ25" s="361"/>
      <c r="DK25" s="361"/>
      <c r="DL25" s="361"/>
      <c r="DM25" s="361"/>
      <c r="DN25" s="361"/>
      <c r="DO25" s="361"/>
      <c r="DP25" s="361"/>
      <c r="DQ25" s="361"/>
      <c r="DR25" s="361"/>
      <c r="DS25" s="361"/>
      <c r="DT25" s="361"/>
      <c r="DU25" s="361"/>
      <c r="DV25" s="361"/>
      <c r="DW25" s="361"/>
      <c r="DX25" s="361"/>
      <c r="DY25" s="361"/>
      <c r="DZ25" s="361"/>
      <c r="EA25" s="361"/>
      <c r="EB25" s="361"/>
      <c r="EC25" s="361"/>
      <c r="ED25" s="361"/>
      <c r="EE25" s="361"/>
      <c r="EF25" s="361"/>
      <c r="EG25" s="361"/>
      <c r="EH25" s="361"/>
      <c r="EI25" s="361"/>
      <c r="EJ25" s="361"/>
      <c r="EK25" s="361"/>
      <c r="EL25" s="361"/>
      <c r="EM25" s="361"/>
      <c r="EN25" s="361"/>
      <c r="EO25" s="361"/>
      <c r="EP25" s="361"/>
      <c r="EQ25" s="361"/>
      <c r="ER25" s="361"/>
      <c r="ES25" s="361"/>
      <c r="ET25" s="361"/>
      <c r="EU25" s="361"/>
      <c r="EV25" s="361"/>
      <c r="EW25" s="361"/>
      <c r="EX25" s="361"/>
      <c r="EY25" s="361"/>
      <c r="EZ25" s="361"/>
      <c r="FA25" s="361"/>
      <c r="FB25" s="361"/>
      <c r="FC25" s="361"/>
      <c r="FD25" s="361"/>
      <c r="FE25" s="361"/>
      <c r="FF25" s="361"/>
      <c r="FG25" s="361"/>
      <c r="FH25" s="361"/>
      <c r="FI25" s="361"/>
      <c r="FJ25" s="361"/>
      <c r="FK25" s="361"/>
      <c r="FL25" s="361"/>
      <c r="FM25" s="361"/>
      <c r="FN25" s="361"/>
      <c r="FO25" s="361"/>
      <c r="FP25" s="361"/>
      <c r="FQ25" s="361"/>
    </row>
    <row r="26" spans="1:173" s="372" customFormat="1" ht="21" customHeight="1">
      <c r="A26" s="368"/>
      <c r="B26" s="353">
        <v>3.5000000000000003E-2</v>
      </c>
      <c r="C26" s="369" t="s">
        <v>440</v>
      </c>
      <c r="D26" s="370"/>
      <c r="E26" s="371">
        <f>(E22+E24)*$B$26/12</f>
        <v>41389.544583333336</v>
      </c>
      <c r="F26" s="371">
        <f t="shared" ref="F26:BS26" si="81">(F22+F24)*$B$26/12</f>
        <v>41389.544583333336</v>
      </c>
      <c r="G26" s="371">
        <f t="shared" si="81"/>
        <v>39662.877916666672</v>
      </c>
      <c r="H26" s="371">
        <f t="shared" si="81"/>
        <v>39662.877916666672</v>
      </c>
      <c r="I26" s="371">
        <f t="shared" si="81"/>
        <v>39662.877916666672</v>
      </c>
      <c r="J26" s="371">
        <f t="shared" si="81"/>
        <v>37936.21125</v>
      </c>
      <c r="K26" s="371">
        <f t="shared" si="81"/>
        <v>37936.21125</v>
      </c>
      <c r="L26" s="371">
        <f t="shared" si="81"/>
        <v>37936.21125</v>
      </c>
      <c r="M26" s="371">
        <f t="shared" si="81"/>
        <v>36209.544583333336</v>
      </c>
      <c r="N26" s="371">
        <f t="shared" si="81"/>
        <v>36209.544583333336</v>
      </c>
      <c r="O26" s="371">
        <f t="shared" si="81"/>
        <v>36209.544583333336</v>
      </c>
      <c r="P26" s="371">
        <f t="shared" si="81"/>
        <v>34482.877916666672</v>
      </c>
      <c r="Q26" s="371"/>
      <c r="R26" s="371">
        <f t="shared" si="81"/>
        <v>34482.877916666672</v>
      </c>
      <c r="S26" s="371">
        <f t="shared" si="81"/>
        <v>34482.877916666672</v>
      </c>
      <c r="T26" s="371">
        <f t="shared" si="81"/>
        <v>32756.211250000004</v>
      </c>
      <c r="U26" s="371">
        <f t="shared" si="81"/>
        <v>32756.211250000004</v>
      </c>
      <c r="V26" s="371">
        <f t="shared" si="81"/>
        <v>32756.211250000004</v>
      </c>
      <c r="W26" s="371">
        <f t="shared" si="81"/>
        <v>31029.544583333336</v>
      </c>
      <c r="X26" s="371">
        <f t="shared" si="81"/>
        <v>31029.544583333336</v>
      </c>
      <c r="Y26" s="371">
        <f t="shared" si="81"/>
        <v>31029.544583333336</v>
      </c>
      <c r="Z26" s="371">
        <f t="shared" si="81"/>
        <v>29302.877916666668</v>
      </c>
      <c r="AA26" s="371">
        <f t="shared" si="81"/>
        <v>29302.877916666668</v>
      </c>
      <c r="AB26" s="371">
        <f t="shared" si="81"/>
        <v>29302.877916666668</v>
      </c>
      <c r="AC26" s="371">
        <f t="shared" si="81"/>
        <v>27576.211250000004</v>
      </c>
      <c r="AD26" s="371"/>
      <c r="AE26" s="371">
        <f t="shared" si="81"/>
        <v>27576.211250000004</v>
      </c>
      <c r="AF26" s="371">
        <f t="shared" si="81"/>
        <v>27576.211250000004</v>
      </c>
      <c r="AG26" s="371">
        <f t="shared" si="81"/>
        <v>25849.544583333336</v>
      </c>
      <c r="AH26" s="371">
        <f t="shared" si="81"/>
        <v>25849.544583333336</v>
      </c>
      <c r="AI26" s="371">
        <f t="shared" si="81"/>
        <v>25849.544583333336</v>
      </c>
      <c r="AJ26" s="371">
        <f t="shared" si="81"/>
        <v>24122.877916666668</v>
      </c>
      <c r="AK26" s="371">
        <f t="shared" si="81"/>
        <v>24122.877916666668</v>
      </c>
      <c r="AL26" s="371">
        <f t="shared" si="81"/>
        <v>24122.877916666668</v>
      </c>
      <c r="AM26" s="371">
        <f t="shared" si="81"/>
        <v>22396.211250000004</v>
      </c>
      <c r="AN26" s="371">
        <f t="shared" si="81"/>
        <v>22396.211250000004</v>
      </c>
      <c r="AO26" s="371">
        <f t="shared" si="81"/>
        <v>22396.211250000004</v>
      </c>
      <c r="AP26" s="371">
        <f t="shared" si="81"/>
        <v>20669.544583333336</v>
      </c>
      <c r="AQ26" s="370"/>
      <c r="AR26" s="371">
        <f t="shared" si="81"/>
        <v>20669.544583333336</v>
      </c>
      <c r="AS26" s="371">
        <f t="shared" si="81"/>
        <v>20669.544583333336</v>
      </c>
      <c r="AT26" s="371">
        <f t="shared" si="81"/>
        <v>18942.877916666668</v>
      </c>
      <c r="AU26" s="371">
        <f t="shared" si="81"/>
        <v>18942.877916666668</v>
      </c>
      <c r="AV26" s="371">
        <f t="shared" si="81"/>
        <v>18942.877916666668</v>
      </c>
      <c r="AW26" s="371">
        <f t="shared" si="81"/>
        <v>17216.211250000004</v>
      </c>
      <c r="AX26" s="371">
        <f t="shared" si="81"/>
        <v>17216.211250000004</v>
      </c>
      <c r="AY26" s="371">
        <f t="shared" si="81"/>
        <v>17216.211250000004</v>
      </c>
      <c r="AZ26" s="371">
        <f t="shared" si="81"/>
        <v>15489.544583333334</v>
      </c>
      <c r="BA26" s="371">
        <f t="shared" si="81"/>
        <v>15489.544583333334</v>
      </c>
      <c r="BB26" s="371">
        <f t="shared" si="81"/>
        <v>15489.544583333334</v>
      </c>
      <c r="BC26" s="371">
        <f t="shared" si="81"/>
        <v>13762.877916666666</v>
      </c>
      <c r="BD26" s="370"/>
      <c r="BE26" s="371">
        <f t="shared" si="81"/>
        <v>13762.877916666666</v>
      </c>
      <c r="BF26" s="371">
        <f t="shared" si="81"/>
        <v>13762.877916666666</v>
      </c>
      <c r="BG26" s="371">
        <f t="shared" si="81"/>
        <v>12036.21125</v>
      </c>
      <c r="BH26" s="371">
        <f t="shared" si="81"/>
        <v>12036.21125</v>
      </c>
      <c r="BI26" s="371">
        <f t="shared" si="81"/>
        <v>12036.21125</v>
      </c>
      <c r="BJ26" s="371">
        <f t="shared" si="81"/>
        <v>10309.544583333334</v>
      </c>
      <c r="BK26" s="371">
        <f t="shared" si="81"/>
        <v>10309.544583333334</v>
      </c>
      <c r="BL26" s="371">
        <f t="shared" si="81"/>
        <v>10309.544583333334</v>
      </c>
      <c r="BM26" s="371">
        <f t="shared" si="81"/>
        <v>8582.8779166666664</v>
      </c>
      <c r="BN26" s="371">
        <f t="shared" si="81"/>
        <v>8582.8779166666664</v>
      </c>
      <c r="BO26" s="371">
        <f t="shared" si="81"/>
        <v>8582.8779166666664</v>
      </c>
      <c r="BP26" s="371">
        <f t="shared" si="81"/>
        <v>6856.2112500000003</v>
      </c>
      <c r="BQ26" s="370"/>
      <c r="BR26" s="371">
        <f t="shared" si="81"/>
        <v>6856.2112500000003</v>
      </c>
      <c r="BS26" s="371">
        <f t="shared" si="81"/>
        <v>6856.2112500000003</v>
      </c>
      <c r="BT26" s="371">
        <f t="shared" ref="BT26:CC26" si="82">(BT22+BT24)*$B$26/12</f>
        <v>5129.5445833333333</v>
      </c>
      <c r="BU26" s="371">
        <f t="shared" si="82"/>
        <v>5129.5445833333333</v>
      </c>
      <c r="BV26" s="371">
        <f t="shared" si="82"/>
        <v>5129.5445833333333</v>
      </c>
      <c r="BW26" s="371">
        <f t="shared" si="82"/>
        <v>3402.8779166666668</v>
      </c>
      <c r="BX26" s="371">
        <f t="shared" si="82"/>
        <v>3402.8779166666668</v>
      </c>
      <c r="BY26" s="371">
        <f t="shared" si="82"/>
        <v>3402.8779166666668</v>
      </c>
      <c r="BZ26" s="371">
        <f t="shared" si="82"/>
        <v>1676.2112500000003</v>
      </c>
      <c r="CA26" s="371">
        <f t="shared" si="82"/>
        <v>1676.2112500000003</v>
      </c>
      <c r="CB26" s="371">
        <f t="shared" si="82"/>
        <v>1676.2112500000003</v>
      </c>
      <c r="CC26" s="371">
        <f t="shared" si="82"/>
        <v>0</v>
      </c>
      <c r="CD26" s="370"/>
      <c r="CE26" s="370"/>
      <c r="CF26" s="370"/>
      <c r="CG26" s="370"/>
      <c r="CH26" s="370"/>
      <c r="CI26" s="370"/>
      <c r="CJ26" s="370"/>
      <c r="CK26" s="370"/>
      <c r="CL26" s="370"/>
      <c r="CM26" s="370"/>
      <c r="CN26" s="370"/>
      <c r="CO26" s="370"/>
      <c r="CP26" s="370"/>
      <c r="CQ26" s="370"/>
      <c r="CR26" s="370"/>
      <c r="CS26" s="370"/>
      <c r="CT26" s="370"/>
      <c r="CU26" s="370"/>
      <c r="CV26" s="370"/>
      <c r="CW26" s="370"/>
      <c r="CX26" s="370"/>
      <c r="CY26" s="370"/>
      <c r="CZ26" s="370"/>
      <c r="DA26" s="370"/>
      <c r="DB26" s="370"/>
      <c r="DC26" s="370"/>
      <c r="DD26" s="370"/>
      <c r="DE26" s="370"/>
      <c r="DF26" s="370"/>
      <c r="DG26" s="370"/>
      <c r="DH26" s="370"/>
      <c r="DI26" s="370"/>
      <c r="DJ26" s="370"/>
      <c r="DK26" s="370"/>
      <c r="DL26" s="370"/>
      <c r="DM26" s="370"/>
      <c r="DN26" s="370"/>
      <c r="DO26" s="370"/>
      <c r="DP26" s="370"/>
      <c r="DQ26" s="370"/>
      <c r="DR26" s="370"/>
      <c r="DS26" s="370"/>
      <c r="DT26" s="370"/>
      <c r="DU26" s="370"/>
      <c r="DV26" s="370"/>
      <c r="DW26" s="370"/>
      <c r="DX26" s="370"/>
      <c r="DY26" s="370"/>
      <c r="DZ26" s="370"/>
      <c r="EA26" s="370"/>
      <c r="EB26" s="370"/>
      <c r="EC26" s="370"/>
      <c r="ED26" s="370"/>
      <c r="EE26" s="370"/>
      <c r="EF26" s="370"/>
      <c r="EG26" s="370"/>
      <c r="EH26" s="370"/>
      <c r="EI26" s="370"/>
      <c r="EJ26" s="370"/>
      <c r="EK26" s="370"/>
      <c r="EL26" s="370"/>
      <c r="EM26" s="370"/>
      <c r="EN26" s="370"/>
      <c r="EO26" s="370"/>
      <c r="EP26" s="370"/>
      <c r="EQ26" s="370"/>
      <c r="ER26" s="370"/>
      <c r="ES26" s="370"/>
      <c r="ET26" s="370"/>
      <c r="EU26" s="370"/>
      <c r="EV26" s="370"/>
      <c r="EW26" s="370"/>
      <c r="EX26" s="370"/>
      <c r="EY26" s="370"/>
      <c r="EZ26" s="370"/>
      <c r="FA26" s="370"/>
      <c r="FB26" s="370"/>
      <c r="FC26" s="370"/>
      <c r="FD26" s="370"/>
      <c r="FE26" s="370"/>
      <c r="FF26" s="370"/>
      <c r="FG26" s="370"/>
      <c r="FH26" s="370"/>
      <c r="FI26" s="370"/>
      <c r="FJ26" s="370"/>
      <c r="FK26" s="370"/>
      <c r="FL26" s="370"/>
      <c r="FM26" s="370"/>
      <c r="FN26" s="370"/>
      <c r="FO26" s="370"/>
      <c r="FP26" s="370"/>
      <c r="FQ26" s="370"/>
    </row>
    <row r="27" spans="1:173">
      <c r="A27" s="376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AD27" s="374">
        <f>AD21+AD23</f>
        <v>2368000</v>
      </c>
    </row>
    <row r="28" spans="1:173" s="356" customFormat="1">
      <c r="A28" s="594" t="s">
        <v>418</v>
      </c>
      <c r="B28" s="594"/>
      <c r="C28" s="594"/>
      <c r="D28" s="594"/>
      <c r="E28" s="377">
        <f>E25+E16</f>
        <v>0</v>
      </c>
      <c r="F28" s="377">
        <f t="shared" ref="F28:AD28" si="83">F25+F16</f>
        <v>0</v>
      </c>
      <c r="G28" s="377">
        <f t="shared" si="83"/>
        <v>0</v>
      </c>
      <c r="H28" s="377">
        <f t="shared" si="83"/>
        <v>0</v>
      </c>
      <c r="I28" s="377">
        <f t="shared" si="83"/>
        <v>0</v>
      </c>
      <c r="J28" s="377">
        <f t="shared" si="83"/>
        <v>0</v>
      </c>
      <c r="K28" s="377">
        <f t="shared" si="83"/>
        <v>0</v>
      </c>
      <c r="L28" s="377">
        <f t="shared" si="83"/>
        <v>0</v>
      </c>
      <c r="M28" s="377">
        <f t="shared" si="83"/>
        <v>0</v>
      </c>
      <c r="N28" s="377">
        <f t="shared" si="83"/>
        <v>0</v>
      </c>
      <c r="O28" s="377">
        <f t="shared" si="83"/>
        <v>0</v>
      </c>
      <c r="P28" s="377">
        <f t="shared" si="83"/>
        <v>0</v>
      </c>
      <c r="Q28" s="377">
        <f>Q7+Q9+Q11+Q13+Q22+Q24</f>
        <v>16973981.379999999</v>
      </c>
      <c r="R28" s="377">
        <f t="shared" si="83"/>
        <v>0</v>
      </c>
      <c r="S28" s="377">
        <f t="shared" si="83"/>
        <v>0</v>
      </c>
      <c r="T28" s="377">
        <f t="shared" si="83"/>
        <v>0</v>
      </c>
      <c r="U28" s="377">
        <f t="shared" si="83"/>
        <v>0</v>
      </c>
      <c r="V28" s="377">
        <f t="shared" si="83"/>
        <v>0</v>
      </c>
      <c r="W28" s="377">
        <f t="shared" si="83"/>
        <v>0</v>
      </c>
      <c r="X28" s="377">
        <f t="shared" si="83"/>
        <v>0</v>
      </c>
      <c r="Y28" s="377">
        <f t="shared" si="83"/>
        <v>0</v>
      </c>
      <c r="Z28" s="377">
        <f t="shared" si="83"/>
        <v>0</v>
      </c>
      <c r="AA28" s="377">
        <f t="shared" si="83"/>
        <v>0</v>
      </c>
      <c r="AB28" s="377">
        <f t="shared" si="83"/>
        <v>0</v>
      </c>
      <c r="AC28" s="377">
        <f t="shared" si="83"/>
        <v>0</v>
      </c>
      <c r="AD28" s="377">
        <f t="shared" si="83"/>
        <v>176000</v>
      </c>
    </row>
    <row r="29" spans="1:173">
      <c r="A29" s="376"/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</row>
    <row r="30" spans="1:173">
      <c r="A30" s="380" t="s">
        <v>3939</v>
      </c>
      <c r="B30" s="382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</row>
    <row r="31" spans="1:173">
      <c r="A31" s="381" t="s">
        <v>419</v>
      </c>
      <c r="B31" s="382"/>
      <c r="C31" s="357" t="s">
        <v>388</v>
      </c>
      <c r="D31" s="358" t="s">
        <v>389</v>
      </c>
      <c r="E31" s="358">
        <v>43831</v>
      </c>
      <c r="F31" s="358">
        <v>43862</v>
      </c>
      <c r="G31" s="358">
        <v>43891</v>
      </c>
      <c r="H31" s="358">
        <v>43922</v>
      </c>
      <c r="I31" s="358">
        <v>43952</v>
      </c>
      <c r="J31" s="358">
        <v>43983</v>
      </c>
      <c r="K31" s="358">
        <v>44013</v>
      </c>
      <c r="L31" s="358">
        <v>44044</v>
      </c>
      <c r="M31" s="358">
        <v>44075</v>
      </c>
      <c r="N31" s="358">
        <v>44105</v>
      </c>
      <c r="O31" s="358">
        <v>44136</v>
      </c>
      <c r="P31" s="358">
        <v>44166</v>
      </c>
      <c r="Q31" s="359" t="s">
        <v>390</v>
      </c>
    </row>
    <row r="32" spans="1:173">
      <c r="A32" s="360" t="s">
        <v>420</v>
      </c>
      <c r="B32" s="349" t="s">
        <v>421</v>
      </c>
      <c r="C32" s="366">
        <v>268000</v>
      </c>
      <c r="D32" s="361"/>
      <c r="E32" s="362">
        <v>4962.96</v>
      </c>
      <c r="F32" s="362"/>
      <c r="G32" s="362">
        <f>4962.96*2</f>
        <v>9925.92</v>
      </c>
      <c r="H32" s="362">
        <v>4962.96</v>
      </c>
      <c r="I32" s="362"/>
      <c r="J32" s="362">
        <f>4962.96*2</f>
        <v>9925.92</v>
      </c>
      <c r="K32" s="362">
        <v>4962.96</v>
      </c>
      <c r="L32" s="362">
        <v>4962.96</v>
      </c>
      <c r="M32" s="362">
        <v>4962.96</v>
      </c>
      <c r="N32" s="362"/>
      <c r="O32" s="362">
        <f>4962.96*2</f>
        <v>9925.92</v>
      </c>
      <c r="P32" s="362">
        <v>4962.96</v>
      </c>
      <c r="Q32" s="363">
        <f>SUM(E32:P32)</f>
        <v>59555.519999999997</v>
      </c>
      <c r="R32" s="362"/>
      <c r="S32" s="362">
        <f>4962.96</f>
        <v>4962.96</v>
      </c>
      <c r="T32" s="362">
        <f>4962.96*2</f>
        <v>9925.92</v>
      </c>
      <c r="U32" s="362">
        <v>4962.96</v>
      </c>
      <c r="V32" s="362">
        <v>4962.96</v>
      </c>
      <c r="W32" s="362">
        <v>4962.96</v>
      </c>
      <c r="X32" s="362"/>
      <c r="Y32" s="362">
        <f>4962.96*2</f>
        <v>9925.92</v>
      </c>
      <c r="Z32" s="362">
        <v>4962.96</v>
      </c>
      <c r="AA32" s="362"/>
      <c r="AB32" s="362">
        <f>4962.96*2</f>
        <v>9925.92</v>
      </c>
      <c r="AC32" s="362">
        <v>4962.96</v>
      </c>
      <c r="AD32" s="362">
        <f>SUM(R32:AC32)</f>
        <v>59555.519999999997</v>
      </c>
      <c r="AE32" s="362">
        <v>4962.96</v>
      </c>
      <c r="AF32" s="362">
        <v>4962.96</v>
      </c>
      <c r="AG32" s="362">
        <v>4962.96</v>
      </c>
      <c r="AH32" s="362"/>
      <c r="AI32" s="362">
        <f>4962.96*2</f>
        <v>9925.92</v>
      </c>
      <c r="AJ32" s="362">
        <v>4962.96</v>
      </c>
      <c r="AK32" s="362"/>
      <c r="AL32" s="362">
        <f>4962.96*2</f>
        <v>9925.92</v>
      </c>
      <c r="AM32" s="362">
        <v>4962.96</v>
      </c>
      <c r="AN32" s="362">
        <v>4962.96</v>
      </c>
      <c r="AO32" s="362">
        <v>4962.96</v>
      </c>
      <c r="AP32" s="362"/>
      <c r="AQ32" s="361"/>
      <c r="AR32" s="362">
        <v>4962.96</v>
      </c>
      <c r="AS32" s="362"/>
      <c r="AT32" s="362"/>
      <c r="AU32" s="362"/>
      <c r="AV32" s="362"/>
      <c r="AW32" s="362"/>
      <c r="AX32" s="362"/>
      <c r="AY32" s="362"/>
      <c r="AZ32" s="362"/>
      <c r="BA32" s="362"/>
      <c r="BB32" s="362"/>
      <c r="BC32" s="362"/>
      <c r="BD32" s="362"/>
      <c r="BE32" s="362"/>
      <c r="BF32" s="362"/>
      <c r="BG32" s="362"/>
      <c r="BH32" s="362"/>
      <c r="BI32" s="362"/>
      <c r="BJ32" s="362"/>
      <c r="BK32" s="362"/>
      <c r="BL32" s="362"/>
      <c r="BM32" s="362"/>
      <c r="BN32" s="362"/>
      <c r="BO32" s="362"/>
      <c r="BP32" s="362"/>
      <c r="BQ32" s="362"/>
      <c r="BR32" s="362"/>
      <c r="BS32" s="362"/>
      <c r="BT32" s="362"/>
      <c r="BU32" s="362"/>
      <c r="BV32" s="362"/>
      <c r="BW32" s="362"/>
      <c r="BX32" s="362"/>
      <c r="BY32" s="362"/>
      <c r="BZ32" s="362"/>
      <c r="CA32" s="362"/>
      <c r="CB32" s="362"/>
      <c r="CC32" s="362"/>
      <c r="CD32" s="362"/>
      <c r="CE32" s="362"/>
      <c r="CF32" s="362"/>
      <c r="CG32" s="362"/>
      <c r="CH32" s="362"/>
      <c r="CI32" s="362"/>
      <c r="CJ32" s="362"/>
      <c r="CK32" s="362"/>
      <c r="CL32" s="362"/>
      <c r="CM32" s="362"/>
      <c r="CN32" s="362"/>
      <c r="CO32" s="362"/>
      <c r="CP32" s="362"/>
      <c r="CQ32" s="362"/>
      <c r="CR32" s="362"/>
      <c r="CS32" s="362"/>
      <c r="CT32" s="362"/>
      <c r="CU32" s="362"/>
      <c r="CV32" s="362"/>
      <c r="CW32" s="362"/>
      <c r="CX32" s="362"/>
      <c r="CY32" s="362"/>
      <c r="CZ32" s="362"/>
      <c r="DA32" s="362"/>
      <c r="DB32" s="362"/>
      <c r="DC32" s="362"/>
      <c r="DD32" s="362"/>
      <c r="DE32" s="362"/>
      <c r="DF32" s="362"/>
      <c r="DG32" s="362"/>
      <c r="DH32" s="362"/>
      <c r="DI32" s="362"/>
      <c r="DJ32" s="362"/>
      <c r="DK32" s="362"/>
      <c r="DL32" s="362"/>
      <c r="DM32" s="362"/>
      <c r="DN32" s="362"/>
      <c r="DO32" s="362"/>
      <c r="DP32" s="362"/>
      <c r="DQ32" s="362"/>
      <c r="DR32" s="362"/>
      <c r="DS32" s="362"/>
      <c r="DT32" s="362"/>
      <c r="DU32" s="362"/>
      <c r="DV32" s="362"/>
      <c r="DW32" s="362"/>
      <c r="DX32" s="362"/>
      <c r="DY32" s="362"/>
      <c r="DZ32" s="362"/>
      <c r="EA32" s="362"/>
      <c r="EB32" s="362"/>
      <c r="EC32" s="362"/>
      <c r="ED32" s="362"/>
      <c r="EE32" s="362"/>
      <c r="EF32" s="362"/>
      <c r="EG32" s="362"/>
      <c r="EH32" s="362"/>
      <c r="EI32" s="362"/>
      <c r="EJ32" s="362"/>
      <c r="EK32" s="362"/>
      <c r="EL32" s="362"/>
      <c r="EM32" s="362"/>
      <c r="EN32" s="362"/>
      <c r="EO32" s="362"/>
      <c r="EP32" s="362"/>
      <c r="EQ32" s="362"/>
      <c r="ER32" s="362"/>
      <c r="ES32" s="362"/>
      <c r="ET32" s="362"/>
      <c r="EU32" s="362"/>
      <c r="EV32" s="362"/>
      <c r="EW32" s="362"/>
      <c r="EX32" s="362"/>
      <c r="EY32" s="362"/>
      <c r="EZ32" s="362"/>
      <c r="FA32" s="362"/>
      <c r="FB32" s="362"/>
      <c r="FC32" s="362"/>
      <c r="FD32" s="362"/>
      <c r="FE32" s="362"/>
      <c r="FF32" s="362"/>
      <c r="FG32" s="362"/>
      <c r="FH32" s="362"/>
      <c r="FI32" s="362"/>
      <c r="FJ32" s="362"/>
      <c r="FK32" s="362"/>
      <c r="FL32" s="362"/>
      <c r="FM32" s="362"/>
      <c r="FN32" s="362"/>
      <c r="FO32" s="362"/>
      <c r="FP32" s="362"/>
      <c r="FQ32" s="362"/>
    </row>
    <row r="33" spans="1:173">
      <c r="A33" s="352"/>
      <c r="B33" s="352"/>
      <c r="C33" s="364" t="s">
        <v>405</v>
      </c>
      <c r="D33" s="362">
        <v>178666.56</v>
      </c>
      <c r="E33" s="362">
        <f>D33-E32</f>
        <v>173703.6</v>
      </c>
      <c r="F33" s="362">
        <f t="shared" ref="F33:P33" si="84">E33-F32</f>
        <v>173703.6</v>
      </c>
      <c r="G33" s="362">
        <f t="shared" si="84"/>
        <v>163777.68</v>
      </c>
      <c r="H33" s="362">
        <f t="shared" si="84"/>
        <v>158814.72</v>
      </c>
      <c r="I33" s="362">
        <f t="shared" si="84"/>
        <v>158814.72</v>
      </c>
      <c r="J33" s="362">
        <f t="shared" si="84"/>
        <v>148888.79999999999</v>
      </c>
      <c r="K33" s="362">
        <f t="shared" si="84"/>
        <v>143925.84</v>
      </c>
      <c r="L33" s="362">
        <f t="shared" si="84"/>
        <v>138962.88</v>
      </c>
      <c r="M33" s="362">
        <f t="shared" si="84"/>
        <v>133999.92000000001</v>
      </c>
      <c r="N33" s="362">
        <f t="shared" si="84"/>
        <v>133999.92000000001</v>
      </c>
      <c r="O33" s="362">
        <f t="shared" si="84"/>
        <v>124074.00000000001</v>
      </c>
      <c r="P33" s="362">
        <f t="shared" si="84"/>
        <v>119111.04000000001</v>
      </c>
      <c r="Q33" s="362">
        <f>P33</f>
        <v>119111.04000000001</v>
      </c>
      <c r="R33" s="362">
        <f>Q33-R32</f>
        <v>119111.04000000001</v>
      </c>
      <c r="S33" s="362">
        <f t="shared" ref="S33:AC33" si="85">R33-S32</f>
        <v>114148.08</v>
      </c>
      <c r="T33" s="362">
        <f t="shared" si="85"/>
        <v>104222.16</v>
      </c>
      <c r="U33" s="362">
        <f t="shared" si="85"/>
        <v>99259.199999999997</v>
      </c>
      <c r="V33" s="362">
        <f t="shared" si="85"/>
        <v>94296.239999999991</v>
      </c>
      <c r="W33" s="362">
        <f t="shared" si="85"/>
        <v>89333.279999999984</v>
      </c>
      <c r="X33" s="362">
        <f t="shared" si="85"/>
        <v>89333.279999999984</v>
      </c>
      <c r="Y33" s="362">
        <f t="shared" si="85"/>
        <v>79407.359999999986</v>
      </c>
      <c r="Z33" s="362">
        <f t="shared" si="85"/>
        <v>74444.39999999998</v>
      </c>
      <c r="AA33" s="362">
        <f t="shared" si="85"/>
        <v>74444.39999999998</v>
      </c>
      <c r="AB33" s="362">
        <f t="shared" si="85"/>
        <v>64518.479999999981</v>
      </c>
      <c r="AC33" s="362">
        <f t="shared" si="85"/>
        <v>59555.519999999982</v>
      </c>
      <c r="AD33" s="362">
        <f>AC33</f>
        <v>59555.519999999982</v>
      </c>
      <c r="AE33" s="362">
        <f>AD33-AE32</f>
        <v>54592.559999999983</v>
      </c>
      <c r="AF33" s="362">
        <f t="shared" ref="AF33:AP33" si="86">AE33-AF32</f>
        <v>49629.599999999984</v>
      </c>
      <c r="AG33" s="362">
        <f t="shared" si="86"/>
        <v>44666.639999999985</v>
      </c>
      <c r="AH33" s="362">
        <f t="shared" si="86"/>
        <v>44666.639999999985</v>
      </c>
      <c r="AI33" s="362">
        <f t="shared" si="86"/>
        <v>34740.719999999987</v>
      </c>
      <c r="AJ33" s="362">
        <f t="shared" si="86"/>
        <v>29777.759999999987</v>
      </c>
      <c r="AK33" s="362">
        <f t="shared" si="86"/>
        <v>29777.759999999987</v>
      </c>
      <c r="AL33" s="362">
        <f t="shared" si="86"/>
        <v>19851.839999999989</v>
      </c>
      <c r="AM33" s="362">
        <f t="shared" si="86"/>
        <v>14888.87999999999</v>
      </c>
      <c r="AN33" s="362">
        <f t="shared" si="86"/>
        <v>9925.919999999991</v>
      </c>
      <c r="AO33" s="362">
        <f t="shared" si="86"/>
        <v>4962.9599999999909</v>
      </c>
      <c r="AP33" s="362">
        <f t="shared" si="86"/>
        <v>4962.9599999999909</v>
      </c>
      <c r="AQ33" s="362">
        <f>AP33</f>
        <v>4962.9599999999909</v>
      </c>
      <c r="AR33" s="362">
        <f>AQ33-AR32</f>
        <v>-9.0949470177292824E-12</v>
      </c>
      <c r="AS33" s="362"/>
      <c r="AT33" s="362"/>
      <c r="AU33" s="362"/>
      <c r="AV33" s="362"/>
      <c r="AW33" s="362"/>
      <c r="AX33" s="362"/>
      <c r="AY33" s="362"/>
      <c r="AZ33" s="362"/>
      <c r="BA33" s="362"/>
      <c r="BB33" s="362"/>
      <c r="BC33" s="362"/>
      <c r="BD33" s="362"/>
      <c r="BE33" s="362"/>
      <c r="BF33" s="362"/>
      <c r="BG33" s="362"/>
      <c r="BH33" s="362"/>
      <c r="BI33" s="362"/>
      <c r="BJ33" s="362"/>
      <c r="BK33" s="362"/>
      <c r="BL33" s="362"/>
      <c r="BM33" s="362"/>
      <c r="BN33" s="362"/>
      <c r="BO33" s="362"/>
      <c r="BP33" s="362"/>
      <c r="BQ33" s="362"/>
      <c r="BR33" s="362"/>
      <c r="BS33" s="362"/>
      <c r="BT33" s="362"/>
      <c r="BU33" s="362"/>
      <c r="BV33" s="362"/>
      <c r="BW33" s="362"/>
      <c r="BX33" s="362"/>
      <c r="BY33" s="362"/>
      <c r="BZ33" s="362"/>
      <c r="CA33" s="362"/>
      <c r="CB33" s="362"/>
      <c r="CC33" s="362"/>
      <c r="CD33" s="362"/>
      <c r="CE33" s="362"/>
      <c r="CF33" s="362"/>
      <c r="CG33" s="362"/>
      <c r="CH33" s="362"/>
      <c r="CI33" s="362"/>
      <c r="CJ33" s="362"/>
      <c r="CK33" s="362"/>
      <c r="CL33" s="362"/>
      <c r="CM33" s="362"/>
      <c r="CN33" s="362"/>
      <c r="CO33" s="362"/>
      <c r="CP33" s="362"/>
      <c r="CQ33" s="362"/>
      <c r="CR33" s="362"/>
      <c r="CS33" s="362"/>
      <c r="CT33" s="362"/>
      <c r="CU33" s="362"/>
      <c r="CV33" s="362"/>
      <c r="CW33" s="362"/>
      <c r="CX33" s="362"/>
      <c r="CY33" s="362"/>
      <c r="CZ33" s="362"/>
      <c r="DA33" s="362"/>
      <c r="DB33" s="362"/>
      <c r="DC33" s="362"/>
      <c r="DD33" s="362"/>
      <c r="DE33" s="362"/>
      <c r="DF33" s="362"/>
      <c r="DG33" s="362"/>
      <c r="DH33" s="362"/>
      <c r="DI33" s="362"/>
      <c r="DJ33" s="362"/>
      <c r="DK33" s="362"/>
      <c r="DL33" s="362"/>
      <c r="DM33" s="362"/>
      <c r="DN33" s="362"/>
      <c r="DO33" s="362"/>
      <c r="DP33" s="362"/>
      <c r="DQ33" s="362"/>
      <c r="DR33" s="362"/>
      <c r="DS33" s="362"/>
      <c r="DT33" s="362"/>
      <c r="DU33" s="362"/>
      <c r="DV33" s="362"/>
      <c r="DW33" s="362"/>
      <c r="DX33" s="362"/>
      <c r="DY33" s="362"/>
      <c r="DZ33" s="362"/>
      <c r="EA33" s="362"/>
      <c r="EB33" s="362"/>
      <c r="EC33" s="362"/>
      <c r="ED33" s="362"/>
      <c r="EE33" s="362"/>
      <c r="EF33" s="362"/>
      <c r="EG33" s="362"/>
      <c r="EH33" s="362"/>
      <c r="EI33" s="362"/>
      <c r="EJ33" s="362"/>
      <c r="EK33" s="362"/>
      <c r="EL33" s="362"/>
      <c r="EM33" s="362"/>
      <c r="EN33" s="362"/>
      <c r="EO33" s="362"/>
      <c r="EP33" s="362"/>
      <c r="EQ33" s="362"/>
      <c r="ER33" s="362"/>
      <c r="ES33" s="362"/>
      <c r="ET33" s="362"/>
      <c r="EU33" s="362"/>
      <c r="EV33" s="362"/>
      <c r="EW33" s="362"/>
      <c r="EX33" s="362"/>
      <c r="EY33" s="362"/>
      <c r="EZ33" s="362"/>
      <c r="FA33" s="362"/>
      <c r="FB33" s="362"/>
      <c r="FC33" s="362"/>
      <c r="FD33" s="362"/>
      <c r="FE33" s="362"/>
      <c r="FF33" s="362"/>
      <c r="FG33" s="362"/>
      <c r="FH33" s="362"/>
      <c r="FI33" s="362"/>
      <c r="FJ33" s="362"/>
      <c r="FK33" s="362"/>
      <c r="FL33" s="362"/>
      <c r="FM33" s="362"/>
      <c r="FN33" s="362"/>
      <c r="FO33" s="362"/>
      <c r="FP33" s="362"/>
      <c r="FQ33" s="362"/>
    </row>
    <row r="34" spans="1:173">
      <c r="A34" s="378"/>
      <c r="B34" s="352"/>
      <c r="C34" s="364" t="s">
        <v>412</v>
      </c>
      <c r="D34" s="361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  <c r="BZ34" s="361"/>
      <c r="CA34" s="361"/>
      <c r="CB34" s="361"/>
      <c r="CC34" s="361"/>
      <c r="CD34" s="361"/>
      <c r="CE34" s="361"/>
      <c r="CF34" s="361"/>
      <c r="CG34" s="361"/>
      <c r="CH34" s="361"/>
      <c r="CI34" s="361"/>
      <c r="CJ34" s="361"/>
      <c r="CK34" s="361"/>
      <c r="CL34" s="361"/>
      <c r="CM34" s="361"/>
      <c r="CN34" s="361"/>
      <c r="CO34" s="361"/>
      <c r="CP34" s="361"/>
      <c r="CQ34" s="361"/>
      <c r="CR34" s="361"/>
      <c r="CS34" s="361"/>
      <c r="CT34" s="361"/>
      <c r="CU34" s="361"/>
      <c r="CV34" s="361"/>
      <c r="CW34" s="361"/>
      <c r="CX34" s="361"/>
      <c r="CY34" s="361"/>
      <c r="CZ34" s="361"/>
      <c r="DA34" s="361"/>
      <c r="DB34" s="361"/>
      <c r="DC34" s="361"/>
      <c r="DD34" s="361"/>
      <c r="DE34" s="361"/>
      <c r="DF34" s="361"/>
      <c r="DG34" s="361"/>
      <c r="DH34" s="361"/>
      <c r="DI34" s="361"/>
      <c r="DJ34" s="361"/>
      <c r="DK34" s="361"/>
      <c r="DL34" s="361"/>
      <c r="DM34" s="361"/>
      <c r="DN34" s="361"/>
      <c r="DO34" s="361"/>
      <c r="DP34" s="361"/>
      <c r="DQ34" s="361"/>
      <c r="DR34" s="361"/>
      <c r="DS34" s="361"/>
      <c r="DT34" s="361"/>
      <c r="DU34" s="361"/>
      <c r="DV34" s="361"/>
      <c r="DW34" s="361"/>
      <c r="DX34" s="361"/>
      <c r="DY34" s="361"/>
      <c r="DZ34" s="361"/>
      <c r="EA34" s="361"/>
      <c r="EB34" s="361"/>
      <c r="EC34" s="361"/>
      <c r="ED34" s="361"/>
      <c r="EE34" s="361"/>
      <c r="EF34" s="361"/>
      <c r="EG34" s="361"/>
      <c r="EH34" s="361"/>
      <c r="EI34" s="361"/>
      <c r="EJ34" s="361"/>
      <c r="EK34" s="361"/>
      <c r="EL34" s="361"/>
      <c r="EM34" s="361"/>
      <c r="EN34" s="361"/>
      <c r="EO34" s="361"/>
      <c r="EP34" s="361"/>
      <c r="EQ34" s="361"/>
      <c r="ER34" s="361"/>
      <c r="ES34" s="361"/>
      <c r="ET34" s="361"/>
      <c r="EU34" s="361"/>
      <c r="EV34" s="361"/>
      <c r="EW34" s="361"/>
      <c r="EX34" s="361"/>
      <c r="EY34" s="361"/>
      <c r="EZ34" s="361"/>
      <c r="FA34" s="361"/>
      <c r="FB34" s="361"/>
      <c r="FC34" s="361"/>
      <c r="FD34" s="361"/>
      <c r="FE34" s="361"/>
      <c r="FF34" s="361"/>
      <c r="FG34" s="361"/>
      <c r="FH34" s="361"/>
      <c r="FI34" s="361"/>
      <c r="FJ34" s="361"/>
      <c r="FK34" s="361"/>
      <c r="FL34" s="361"/>
      <c r="FM34" s="361"/>
      <c r="FN34" s="361"/>
      <c r="FO34" s="361"/>
      <c r="FP34" s="361"/>
      <c r="FQ34" s="361"/>
    </row>
    <row r="35" spans="1:173" s="372" customFormat="1" ht="21" customHeight="1">
      <c r="A35" s="368"/>
      <c r="B35" s="354">
        <v>3.6700000000000003E-2</v>
      </c>
      <c r="C35" s="369" t="s">
        <v>413</v>
      </c>
      <c r="D35" s="370"/>
      <c r="E35" s="371">
        <f>E33*$B$35/12</f>
        <v>531.24351000000013</v>
      </c>
      <c r="F35" s="371">
        <f t="shared" ref="F35:BC35" si="87">F33*$B$35/12</f>
        <v>531.24351000000013</v>
      </c>
      <c r="G35" s="371">
        <f t="shared" si="87"/>
        <v>500.88673799999998</v>
      </c>
      <c r="H35" s="371">
        <f t="shared" si="87"/>
        <v>485.70835200000005</v>
      </c>
      <c r="I35" s="371">
        <f t="shared" si="87"/>
        <v>485.70835200000005</v>
      </c>
      <c r="J35" s="371">
        <f t="shared" si="87"/>
        <v>455.35158000000001</v>
      </c>
      <c r="K35" s="371">
        <f t="shared" si="87"/>
        <v>440.17319400000002</v>
      </c>
      <c r="L35" s="371">
        <f t="shared" si="87"/>
        <v>424.99480800000009</v>
      </c>
      <c r="M35" s="371">
        <f t="shared" si="87"/>
        <v>409.8164220000001</v>
      </c>
      <c r="N35" s="371">
        <f t="shared" si="87"/>
        <v>409.8164220000001</v>
      </c>
      <c r="O35" s="371">
        <f t="shared" si="87"/>
        <v>379.45965000000007</v>
      </c>
      <c r="P35" s="371">
        <f t="shared" si="87"/>
        <v>364.28126400000002</v>
      </c>
      <c r="Q35" s="371"/>
      <c r="R35" s="371">
        <f t="shared" si="87"/>
        <v>364.28126400000002</v>
      </c>
      <c r="S35" s="371">
        <f t="shared" si="87"/>
        <v>349.10287800000009</v>
      </c>
      <c r="T35" s="371">
        <f t="shared" si="87"/>
        <v>318.74610600000005</v>
      </c>
      <c r="U35" s="371">
        <f t="shared" si="87"/>
        <v>303.56772000000001</v>
      </c>
      <c r="V35" s="371">
        <f t="shared" si="87"/>
        <v>288.38933400000002</v>
      </c>
      <c r="W35" s="371">
        <f t="shared" si="87"/>
        <v>273.21094799999997</v>
      </c>
      <c r="X35" s="371">
        <f t="shared" si="87"/>
        <v>273.21094799999997</v>
      </c>
      <c r="Y35" s="371">
        <f t="shared" si="87"/>
        <v>242.85417599999997</v>
      </c>
      <c r="Z35" s="371">
        <f t="shared" si="87"/>
        <v>227.67578999999998</v>
      </c>
      <c r="AA35" s="371">
        <f t="shared" si="87"/>
        <v>227.67578999999998</v>
      </c>
      <c r="AB35" s="371">
        <f t="shared" si="87"/>
        <v>197.31901799999994</v>
      </c>
      <c r="AC35" s="371">
        <f t="shared" si="87"/>
        <v>182.14063199999995</v>
      </c>
      <c r="AD35" s="370"/>
      <c r="AE35" s="371">
        <f t="shared" si="87"/>
        <v>166.96224599999996</v>
      </c>
      <c r="AF35" s="371">
        <f t="shared" si="87"/>
        <v>151.78385999999998</v>
      </c>
      <c r="AG35" s="371">
        <f t="shared" si="87"/>
        <v>136.60547399999996</v>
      </c>
      <c r="AH35" s="371">
        <f t="shared" si="87"/>
        <v>136.60547399999996</v>
      </c>
      <c r="AI35" s="371">
        <f t="shared" si="87"/>
        <v>106.24870199999997</v>
      </c>
      <c r="AJ35" s="371">
        <f t="shared" si="87"/>
        <v>91.070315999999977</v>
      </c>
      <c r="AK35" s="371">
        <f t="shared" si="87"/>
        <v>91.070315999999977</v>
      </c>
      <c r="AL35" s="371">
        <f t="shared" si="87"/>
        <v>60.713543999999978</v>
      </c>
      <c r="AM35" s="371">
        <f t="shared" si="87"/>
        <v>45.535157999999974</v>
      </c>
      <c r="AN35" s="371">
        <f t="shared" si="87"/>
        <v>30.356771999999975</v>
      </c>
      <c r="AO35" s="371">
        <f t="shared" si="87"/>
        <v>15.178385999999975</v>
      </c>
      <c r="AP35" s="371">
        <f t="shared" si="87"/>
        <v>15.178385999999975</v>
      </c>
      <c r="AQ35" s="370"/>
      <c r="AR35" s="371">
        <f t="shared" si="87"/>
        <v>-2.7815379629222059E-14</v>
      </c>
      <c r="AS35" s="371">
        <f t="shared" si="87"/>
        <v>0</v>
      </c>
      <c r="AT35" s="371">
        <f t="shared" si="87"/>
        <v>0</v>
      </c>
      <c r="AU35" s="371">
        <f t="shared" si="87"/>
        <v>0</v>
      </c>
      <c r="AV35" s="371">
        <f t="shared" si="87"/>
        <v>0</v>
      </c>
      <c r="AW35" s="371">
        <f t="shared" si="87"/>
        <v>0</v>
      </c>
      <c r="AX35" s="371">
        <f t="shared" si="87"/>
        <v>0</v>
      </c>
      <c r="AY35" s="371">
        <f t="shared" si="87"/>
        <v>0</v>
      </c>
      <c r="AZ35" s="371">
        <f t="shared" si="87"/>
        <v>0</v>
      </c>
      <c r="BA35" s="371">
        <f t="shared" si="87"/>
        <v>0</v>
      </c>
      <c r="BB35" s="371">
        <f t="shared" si="87"/>
        <v>0</v>
      </c>
      <c r="BC35" s="371">
        <f t="shared" si="87"/>
        <v>0</v>
      </c>
      <c r="BD35" s="370"/>
      <c r="BE35" s="370"/>
      <c r="BF35" s="370"/>
      <c r="BG35" s="370"/>
      <c r="BH35" s="370"/>
      <c r="BI35" s="370"/>
      <c r="BJ35" s="370"/>
      <c r="BK35" s="370"/>
      <c r="BL35" s="370"/>
      <c r="BM35" s="370"/>
      <c r="BN35" s="370"/>
      <c r="BO35" s="370"/>
      <c r="BP35" s="370"/>
      <c r="BQ35" s="370"/>
      <c r="BR35" s="370"/>
      <c r="BS35" s="370"/>
      <c r="BT35" s="370"/>
      <c r="BU35" s="370"/>
      <c r="BV35" s="370"/>
      <c r="BW35" s="370"/>
      <c r="BX35" s="370"/>
      <c r="BY35" s="370"/>
      <c r="BZ35" s="370"/>
      <c r="CA35" s="370"/>
      <c r="CB35" s="370"/>
      <c r="CC35" s="370"/>
      <c r="CD35" s="370"/>
      <c r="CE35" s="370"/>
      <c r="CF35" s="370"/>
      <c r="CG35" s="370"/>
      <c r="CH35" s="370"/>
      <c r="CI35" s="370"/>
      <c r="CJ35" s="370"/>
      <c r="CK35" s="370"/>
      <c r="CL35" s="370"/>
      <c r="CM35" s="370"/>
      <c r="CN35" s="370"/>
      <c r="CO35" s="370"/>
      <c r="CP35" s="370"/>
      <c r="CQ35" s="370"/>
      <c r="CR35" s="370"/>
      <c r="CS35" s="370"/>
      <c r="CT35" s="370"/>
      <c r="CU35" s="370"/>
      <c r="CV35" s="370"/>
      <c r="CW35" s="370"/>
      <c r="CX35" s="370"/>
      <c r="CY35" s="370"/>
      <c r="CZ35" s="370"/>
      <c r="DA35" s="370"/>
      <c r="DB35" s="370"/>
      <c r="DC35" s="370"/>
      <c r="DD35" s="370"/>
      <c r="DE35" s="370"/>
      <c r="DF35" s="370"/>
      <c r="DG35" s="370"/>
      <c r="DH35" s="370"/>
      <c r="DI35" s="370"/>
      <c r="DJ35" s="370"/>
      <c r="DK35" s="370"/>
      <c r="DL35" s="370"/>
      <c r="DM35" s="370"/>
      <c r="DN35" s="370"/>
      <c r="DO35" s="370"/>
      <c r="DP35" s="370"/>
      <c r="DQ35" s="370"/>
      <c r="DR35" s="370"/>
      <c r="DS35" s="370"/>
      <c r="DT35" s="370"/>
      <c r="DU35" s="370"/>
      <c r="DV35" s="370"/>
      <c r="DW35" s="370"/>
      <c r="DX35" s="370"/>
      <c r="DY35" s="370"/>
      <c r="DZ35" s="370"/>
      <c r="EA35" s="370"/>
      <c r="EB35" s="370"/>
      <c r="EC35" s="370"/>
      <c r="ED35" s="370"/>
      <c r="EE35" s="370"/>
      <c r="EF35" s="370"/>
      <c r="EG35" s="370"/>
      <c r="EH35" s="370"/>
      <c r="EI35" s="370"/>
      <c r="EJ35" s="370"/>
      <c r="EK35" s="370"/>
      <c r="EL35" s="370"/>
      <c r="EM35" s="370"/>
      <c r="EN35" s="370"/>
      <c r="EO35" s="370"/>
      <c r="EP35" s="370"/>
      <c r="EQ35" s="370"/>
      <c r="ER35" s="370"/>
      <c r="ES35" s="370"/>
      <c r="ET35" s="370"/>
      <c r="EU35" s="370"/>
      <c r="EV35" s="370"/>
      <c r="EW35" s="370"/>
      <c r="EX35" s="370"/>
      <c r="EY35" s="370"/>
      <c r="EZ35" s="370"/>
      <c r="FA35" s="370"/>
      <c r="FB35" s="370"/>
      <c r="FC35" s="370"/>
      <c r="FD35" s="370"/>
      <c r="FE35" s="370"/>
      <c r="FF35" s="370"/>
      <c r="FG35" s="370"/>
      <c r="FH35" s="370"/>
      <c r="FI35" s="370"/>
      <c r="FJ35" s="370"/>
      <c r="FK35" s="370"/>
      <c r="FL35" s="370"/>
      <c r="FM35" s="370"/>
      <c r="FN35" s="370"/>
      <c r="FO35" s="370"/>
      <c r="FP35" s="370"/>
      <c r="FQ35" s="370"/>
    </row>
    <row r="37" spans="1:173">
      <c r="A37" s="360" t="s">
        <v>422</v>
      </c>
      <c r="B37" s="349" t="s">
        <v>423</v>
      </c>
      <c r="C37" s="366">
        <f>535200+72800+205600+216960+185440</f>
        <v>1216000</v>
      </c>
      <c r="D37" s="361"/>
      <c r="E37" s="362">
        <v>22109.09</v>
      </c>
      <c r="F37" s="362"/>
      <c r="G37" s="362">
        <f>22109.09*2</f>
        <v>44218.18</v>
      </c>
      <c r="H37" s="362">
        <v>22109.09</v>
      </c>
      <c r="I37" s="362"/>
      <c r="J37" s="362">
        <f>22109.09*2</f>
        <v>44218.18</v>
      </c>
      <c r="K37" s="362">
        <v>22109.09</v>
      </c>
      <c r="L37" s="362">
        <v>22109.09</v>
      </c>
      <c r="M37" s="362">
        <v>22109.09</v>
      </c>
      <c r="N37" s="362"/>
      <c r="O37" s="362">
        <f>22109.09*2</f>
        <v>44218.18</v>
      </c>
      <c r="P37" s="362">
        <v>22109.09</v>
      </c>
      <c r="Q37" s="363">
        <f>SUM(E37:P37)</f>
        <v>265309.08</v>
      </c>
      <c r="R37" s="362"/>
      <c r="S37" s="362">
        <v>22109.09</v>
      </c>
      <c r="T37" s="362">
        <f>22109.09*2</f>
        <v>44218.18</v>
      </c>
      <c r="U37" s="362">
        <v>22109.09</v>
      </c>
      <c r="V37" s="362">
        <v>22109.09</v>
      </c>
      <c r="W37" s="362">
        <v>22109.09</v>
      </c>
      <c r="X37" s="362"/>
      <c r="Y37" s="362">
        <f>22109.09*2</f>
        <v>44218.18</v>
      </c>
      <c r="Z37" s="362">
        <v>22109.09</v>
      </c>
      <c r="AA37" s="362"/>
      <c r="AB37" s="362">
        <f>22109.09*2</f>
        <v>44218.18</v>
      </c>
      <c r="AC37" s="362">
        <v>22109.09</v>
      </c>
      <c r="AD37" s="362">
        <f>SUM(R37:AC37)</f>
        <v>265309.08</v>
      </c>
      <c r="AE37" s="362">
        <v>22109.09</v>
      </c>
      <c r="AF37" s="362">
        <v>22109.09</v>
      </c>
      <c r="AG37" s="362">
        <v>22109.09</v>
      </c>
      <c r="AH37" s="362"/>
      <c r="AI37" s="362">
        <f>22109.09*2</f>
        <v>44218.18</v>
      </c>
      <c r="AJ37" s="362">
        <v>22109.09</v>
      </c>
      <c r="AK37" s="362"/>
      <c r="AL37" s="362">
        <f>22109.09*2</f>
        <v>44218.18</v>
      </c>
      <c r="AM37" s="362">
        <v>22109.09</v>
      </c>
      <c r="AN37" s="362">
        <v>22109.09</v>
      </c>
      <c r="AO37" s="362">
        <v>22109.09</v>
      </c>
      <c r="AP37" s="362"/>
      <c r="AQ37" s="361"/>
      <c r="AR37" s="362">
        <f>22109.09*2</f>
        <v>44218.18</v>
      </c>
      <c r="AS37" s="362">
        <v>22109.09</v>
      </c>
      <c r="AT37" s="362">
        <v>22109.09</v>
      </c>
      <c r="AU37" s="362"/>
      <c r="AV37" s="362">
        <f>22109.09*2</f>
        <v>44218.18</v>
      </c>
      <c r="AW37" s="362"/>
      <c r="AX37" s="362"/>
      <c r="AY37" s="362"/>
      <c r="AZ37" s="362"/>
      <c r="BA37" s="362"/>
      <c r="BB37" s="362"/>
      <c r="BC37" s="362"/>
      <c r="BD37" s="362"/>
      <c r="BE37" s="362"/>
      <c r="BF37" s="362"/>
      <c r="BG37" s="362"/>
      <c r="BH37" s="362"/>
      <c r="BI37" s="362"/>
      <c r="BJ37" s="362"/>
      <c r="BK37" s="362"/>
      <c r="BL37" s="362"/>
      <c r="BM37" s="362"/>
      <c r="BN37" s="362"/>
      <c r="BO37" s="362"/>
      <c r="BP37" s="362"/>
      <c r="BQ37" s="362"/>
      <c r="BR37" s="362"/>
      <c r="BS37" s="362"/>
      <c r="BT37" s="362"/>
      <c r="BU37" s="362"/>
      <c r="BV37" s="362"/>
      <c r="BW37" s="362"/>
      <c r="BX37" s="362"/>
      <c r="BY37" s="362"/>
      <c r="BZ37" s="362"/>
      <c r="CA37" s="362"/>
      <c r="CB37" s="362"/>
      <c r="CC37" s="362"/>
      <c r="CD37" s="362"/>
      <c r="CE37" s="362"/>
      <c r="CF37" s="362"/>
      <c r="CG37" s="362"/>
      <c r="CH37" s="362"/>
      <c r="CI37" s="362"/>
      <c r="CJ37" s="362"/>
      <c r="CK37" s="362"/>
      <c r="CL37" s="362"/>
      <c r="CM37" s="362"/>
      <c r="CN37" s="362"/>
      <c r="CO37" s="362"/>
      <c r="CP37" s="362"/>
      <c r="CQ37" s="362"/>
      <c r="CR37" s="362"/>
      <c r="CS37" s="362"/>
      <c r="CT37" s="362"/>
      <c r="CU37" s="362"/>
      <c r="CV37" s="362"/>
      <c r="CW37" s="362"/>
      <c r="CX37" s="362"/>
      <c r="CY37" s="362"/>
      <c r="CZ37" s="362"/>
      <c r="DA37" s="362"/>
      <c r="DB37" s="362"/>
      <c r="DC37" s="362"/>
      <c r="DD37" s="362"/>
      <c r="DE37" s="362"/>
      <c r="DF37" s="362"/>
      <c r="DG37" s="362"/>
      <c r="DH37" s="362"/>
      <c r="DI37" s="362"/>
      <c r="DJ37" s="362"/>
      <c r="DK37" s="362"/>
      <c r="DL37" s="362"/>
      <c r="DM37" s="362"/>
      <c r="DN37" s="362"/>
      <c r="DO37" s="362"/>
      <c r="DP37" s="362"/>
      <c r="DQ37" s="362"/>
      <c r="DR37" s="362"/>
      <c r="DS37" s="362"/>
      <c r="DT37" s="362"/>
      <c r="DU37" s="362"/>
      <c r="DV37" s="362"/>
      <c r="DW37" s="362"/>
      <c r="DX37" s="362"/>
      <c r="DY37" s="362"/>
      <c r="DZ37" s="362"/>
      <c r="EA37" s="362"/>
      <c r="EB37" s="362"/>
      <c r="EC37" s="362"/>
      <c r="ED37" s="362"/>
      <c r="EE37" s="362"/>
      <c r="EF37" s="362"/>
      <c r="EG37" s="362"/>
      <c r="EH37" s="362"/>
      <c r="EI37" s="362"/>
      <c r="EJ37" s="362"/>
      <c r="EK37" s="362"/>
      <c r="EL37" s="362"/>
      <c r="EM37" s="362"/>
      <c r="EN37" s="362"/>
      <c r="EO37" s="362"/>
      <c r="EP37" s="362"/>
      <c r="EQ37" s="362"/>
      <c r="ER37" s="362"/>
      <c r="ES37" s="362"/>
      <c r="ET37" s="362"/>
      <c r="EU37" s="362"/>
      <c r="EV37" s="362"/>
      <c r="EW37" s="362"/>
      <c r="EX37" s="362"/>
      <c r="EY37" s="362"/>
      <c r="EZ37" s="362"/>
      <c r="FA37" s="362"/>
      <c r="FB37" s="362"/>
      <c r="FC37" s="362"/>
      <c r="FD37" s="362"/>
      <c r="FE37" s="362"/>
      <c r="FF37" s="362"/>
      <c r="FG37" s="362"/>
      <c r="FH37" s="362"/>
      <c r="FI37" s="362"/>
      <c r="FJ37" s="362"/>
      <c r="FK37" s="362"/>
      <c r="FL37" s="362"/>
      <c r="FM37" s="362"/>
      <c r="FN37" s="362"/>
      <c r="FO37" s="362"/>
      <c r="FP37" s="362"/>
      <c r="FQ37" s="362"/>
    </row>
    <row r="38" spans="1:173">
      <c r="A38" s="352"/>
      <c r="B38" s="352"/>
      <c r="C38" s="375" t="s">
        <v>405</v>
      </c>
      <c r="D38" s="362">
        <v>906472.69</v>
      </c>
      <c r="E38" s="362">
        <f>D38-E37</f>
        <v>884363.6</v>
      </c>
      <c r="F38" s="362">
        <f t="shared" ref="F38:P38" si="88">E38-F37</f>
        <v>884363.6</v>
      </c>
      <c r="G38" s="362">
        <f t="shared" si="88"/>
        <v>840145.41999999993</v>
      </c>
      <c r="H38" s="362">
        <f t="shared" si="88"/>
        <v>818036.33</v>
      </c>
      <c r="I38" s="362">
        <f t="shared" si="88"/>
        <v>818036.33</v>
      </c>
      <c r="J38" s="362">
        <f t="shared" si="88"/>
        <v>773818.14999999991</v>
      </c>
      <c r="K38" s="362">
        <f t="shared" si="88"/>
        <v>751709.05999999994</v>
      </c>
      <c r="L38" s="362">
        <f t="shared" si="88"/>
        <v>729599.97</v>
      </c>
      <c r="M38" s="362">
        <f t="shared" si="88"/>
        <v>707490.88</v>
      </c>
      <c r="N38" s="362">
        <f t="shared" si="88"/>
        <v>707490.88</v>
      </c>
      <c r="O38" s="362">
        <f t="shared" si="88"/>
        <v>663272.69999999995</v>
      </c>
      <c r="P38" s="362">
        <f t="shared" si="88"/>
        <v>641163.61</v>
      </c>
      <c r="Q38" s="362">
        <f>P38</f>
        <v>641163.61</v>
      </c>
      <c r="R38" s="362">
        <f>Q38-R37</f>
        <v>641163.61</v>
      </c>
      <c r="S38" s="362">
        <f t="shared" ref="S38:AC38" si="89">R38-S37</f>
        <v>619054.52</v>
      </c>
      <c r="T38" s="362">
        <f t="shared" si="89"/>
        <v>574836.34</v>
      </c>
      <c r="U38" s="362">
        <f t="shared" si="89"/>
        <v>552727.25</v>
      </c>
      <c r="V38" s="362">
        <f t="shared" si="89"/>
        <v>530618.16</v>
      </c>
      <c r="W38" s="362">
        <f t="shared" si="89"/>
        <v>508509.07</v>
      </c>
      <c r="X38" s="362">
        <f t="shared" si="89"/>
        <v>508509.07</v>
      </c>
      <c r="Y38" s="362">
        <f t="shared" si="89"/>
        <v>464290.89</v>
      </c>
      <c r="Z38" s="362">
        <f t="shared" si="89"/>
        <v>442181.8</v>
      </c>
      <c r="AA38" s="362">
        <f t="shared" si="89"/>
        <v>442181.8</v>
      </c>
      <c r="AB38" s="362">
        <f t="shared" si="89"/>
        <v>397963.62</v>
      </c>
      <c r="AC38" s="362">
        <f t="shared" si="89"/>
        <v>375854.52999999997</v>
      </c>
      <c r="AD38" s="362">
        <f>AC38</f>
        <v>375854.52999999997</v>
      </c>
      <c r="AE38" s="362">
        <f>AD38-AE37</f>
        <v>353745.43999999994</v>
      </c>
      <c r="AF38" s="362">
        <f t="shared" ref="AF38:AP38" si="90">AE38-AF37</f>
        <v>331636.34999999992</v>
      </c>
      <c r="AG38" s="362">
        <f t="shared" si="90"/>
        <v>309527.25999999989</v>
      </c>
      <c r="AH38" s="362">
        <f t="shared" si="90"/>
        <v>309527.25999999989</v>
      </c>
      <c r="AI38" s="362">
        <f t="shared" si="90"/>
        <v>265309.0799999999</v>
      </c>
      <c r="AJ38" s="362">
        <f t="shared" si="90"/>
        <v>243199.9899999999</v>
      </c>
      <c r="AK38" s="362">
        <f t="shared" si="90"/>
        <v>243199.9899999999</v>
      </c>
      <c r="AL38" s="362">
        <f t="shared" si="90"/>
        <v>198981.80999999991</v>
      </c>
      <c r="AM38" s="362">
        <f t="shared" si="90"/>
        <v>176872.71999999991</v>
      </c>
      <c r="AN38" s="362">
        <f t="shared" si="90"/>
        <v>154763.62999999992</v>
      </c>
      <c r="AO38" s="362">
        <f t="shared" si="90"/>
        <v>132654.53999999992</v>
      </c>
      <c r="AP38" s="362">
        <f t="shared" si="90"/>
        <v>132654.53999999992</v>
      </c>
      <c r="AQ38" s="362">
        <f>AP38</f>
        <v>132654.53999999992</v>
      </c>
      <c r="AR38" s="362">
        <f>AQ38-AR37</f>
        <v>88436.359999999928</v>
      </c>
      <c r="AS38" s="362">
        <f>AR38-AS37</f>
        <v>66327.269999999931</v>
      </c>
      <c r="AT38" s="362">
        <f>AS38-AT37</f>
        <v>44218.179999999935</v>
      </c>
      <c r="AU38" s="362">
        <f>AT38-AU37</f>
        <v>44218.179999999935</v>
      </c>
      <c r="AV38" s="362">
        <f>AU38-AV37</f>
        <v>-6.5483618527650833E-11</v>
      </c>
      <c r="AW38" s="362"/>
      <c r="AX38" s="362"/>
      <c r="AY38" s="362"/>
      <c r="AZ38" s="362"/>
      <c r="BA38" s="362"/>
      <c r="BB38" s="362"/>
      <c r="BC38" s="362"/>
      <c r="BD38" s="362"/>
      <c r="BE38" s="362"/>
      <c r="BF38" s="362"/>
      <c r="BG38" s="362"/>
      <c r="BH38" s="362"/>
      <c r="BI38" s="362"/>
      <c r="BJ38" s="362"/>
      <c r="BK38" s="362"/>
      <c r="BL38" s="362"/>
      <c r="BM38" s="362"/>
      <c r="BN38" s="362"/>
      <c r="BO38" s="362"/>
      <c r="BP38" s="362"/>
      <c r="BQ38" s="362"/>
      <c r="BR38" s="362"/>
      <c r="BS38" s="362"/>
      <c r="BT38" s="362"/>
      <c r="BU38" s="362"/>
      <c r="BV38" s="362"/>
      <c r="BW38" s="362"/>
      <c r="BX38" s="362"/>
      <c r="BY38" s="362"/>
      <c r="BZ38" s="362"/>
      <c r="CA38" s="362"/>
      <c r="CB38" s="362"/>
      <c r="CC38" s="362"/>
      <c r="CD38" s="362"/>
      <c r="CE38" s="362"/>
      <c r="CF38" s="362"/>
      <c r="CG38" s="362"/>
      <c r="CH38" s="362"/>
      <c r="CI38" s="362"/>
      <c r="CJ38" s="362"/>
      <c r="CK38" s="362"/>
      <c r="CL38" s="362"/>
      <c r="CM38" s="362"/>
      <c r="CN38" s="362"/>
      <c r="CO38" s="362"/>
      <c r="CP38" s="362"/>
      <c r="CQ38" s="362"/>
      <c r="CR38" s="362"/>
      <c r="CS38" s="362"/>
      <c r="CT38" s="362"/>
      <c r="CU38" s="362"/>
      <c r="CV38" s="362"/>
      <c r="CW38" s="362"/>
      <c r="CX38" s="362"/>
      <c r="CY38" s="362"/>
      <c r="CZ38" s="362"/>
      <c r="DA38" s="362"/>
      <c r="DB38" s="362"/>
      <c r="DC38" s="362"/>
      <c r="DD38" s="362"/>
      <c r="DE38" s="362"/>
      <c r="DF38" s="362"/>
      <c r="DG38" s="362"/>
      <c r="DH38" s="362"/>
      <c r="DI38" s="362"/>
      <c r="DJ38" s="362"/>
      <c r="DK38" s="362"/>
      <c r="DL38" s="362"/>
      <c r="DM38" s="362"/>
      <c r="DN38" s="362"/>
      <c r="DO38" s="362"/>
      <c r="DP38" s="362"/>
      <c r="DQ38" s="362"/>
      <c r="DR38" s="362"/>
      <c r="DS38" s="362"/>
      <c r="DT38" s="362"/>
      <c r="DU38" s="362"/>
      <c r="DV38" s="362"/>
      <c r="DW38" s="362"/>
      <c r="DX38" s="362"/>
      <c r="DY38" s="362"/>
      <c r="DZ38" s="362"/>
      <c r="EA38" s="362"/>
      <c r="EB38" s="362"/>
      <c r="EC38" s="362"/>
      <c r="ED38" s="362"/>
      <c r="EE38" s="362"/>
      <c r="EF38" s="362"/>
      <c r="EG38" s="362"/>
      <c r="EH38" s="362"/>
      <c r="EI38" s="362"/>
      <c r="EJ38" s="362"/>
      <c r="EK38" s="362"/>
      <c r="EL38" s="362"/>
      <c r="EM38" s="362"/>
      <c r="EN38" s="362"/>
      <c r="EO38" s="362"/>
      <c r="EP38" s="362"/>
      <c r="EQ38" s="362"/>
      <c r="ER38" s="362"/>
      <c r="ES38" s="362"/>
      <c r="ET38" s="362"/>
      <c r="EU38" s="362"/>
      <c r="EV38" s="362"/>
      <c r="EW38" s="362"/>
      <c r="EX38" s="362"/>
      <c r="EY38" s="362"/>
      <c r="EZ38" s="362"/>
      <c r="FA38" s="362"/>
      <c r="FB38" s="362"/>
      <c r="FC38" s="362"/>
      <c r="FD38" s="362"/>
      <c r="FE38" s="362"/>
      <c r="FF38" s="362"/>
      <c r="FG38" s="362"/>
      <c r="FH38" s="362"/>
      <c r="FI38" s="362"/>
      <c r="FJ38" s="362"/>
      <c r="FK38" s="362"/>
      <c r="FL38" s="362"/>
      <c r="FM38" s="362"/>
      <c r="FN38" s="362"/>
      <c r="FO38" s="362"/>
      <c r="FP38" s="362"/>
      <c r="FQ38" s="362"/>
    </row>
    <row r="39" spans="1:173">
      <c r="A39" s="378"/>
      <c r="B39" s="352"/>
      <c r="C39" s="375" t="s">
        <v>412</v>
      </c>
      <c r="D39" s="361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  <c r="BZ39" s="361"/>
      <c r="CA39" s="361"/>
      <c r="CB39" s="361"/>
      <c r="CC39" s="361"/>
      <c r="CD39" s="361"/>
      <c r="CE39" s="361"/>
      <c r="CF39" s="361"/>
      <c r="CG39" s="361"/>
      <c r="CH39" s="361"/>
      <c r="CI39" s="361"/>
      <c r="CJ39" s="361"/>
      <c r="CK39" s="361"/>
      <c r="CL39" s="361"/>
      <c r="CM39" s="361"/>
      <c r="CN39" s="361"/>
      <c r="CO39" s="361"/>
      <c r="CP39" s="361"/>
      <c r="CQ39" s="361"/>
      <c r="CR39" s="361"/>
      <c r="CS39" s="361"/>
      <c r="CT39" s="361"/>
      <c r="CU39" s="361"/>
      <c r="CV39" s="361"/>
      <c r="CW39" s="361"/>
      <c r="CX39" s="361"/>
      <c r="CY39" s="361"/>
      <c r="CZ39" s="361"/>
      <c r="DA39" s="361"/>
      <c r="DB39" s="361"/>
      <c r="DC39" s="361"/>
      <c r="DD39" s="361"/>
      <c r="DE39" s="361"/>
      <c r="DF39" s="361"/>
      <c r="DG39" s="361"/>
      <c r="DH39" s="361"/>
      <c r="DI39" s="361"/>
      <c r="DJ39" s="361"/>
      <c r="DK39" s="361"/>
      <c r="DL39" s="361"/>
      <c r="DM39" s="361"/>
      <c r="DN39" s="361"/>
      <c r="DO39" s="361"/>
      <c r="DP39" s="361"/>
      <c r="DQ39" s="361"/>
      <c r="DR39" s="361"/>
      <c r="DS39" s="361"/>
      <c r="DT39" s="361"/>
      <c r="DU39" s="361"/>
      <c r="DV39" s="361"/>
      <c r="DW39" s="361"/>
      <c r="DX39" s="361"/>
      <c r="DY39" s="361"/>
      <c r="DZ39" s="361"/>
      <c r="EA39" s="361"/>
      <c r="EB39" s="361"/>
      <c r="EC39" s="361"/>
      <c r="ED39" s="361"/>
      <c r="EE39" s="361"/>
      <c r="EF39" s="361"/>
      <c r="EG39" s="361"/>
      <c r="EH39" s="361"/>
      <c r="EI39" s="361"/>
      <c r="EJ39" s="361"/>
      <c r="EK39" s="361"/>
      <c r="EL39" s="361"/>
      <c r="EM39" s="361"/>
      <c r="EN39" s="361"/>
      <c r="EO39" s="361"/>
      <c r="EP39" s="361"/>
      <c r="EQ39" s="361"/>
      <c r="ER39" s="361"/>
      <c r="ES39" s="361"/>
      <c r="ET39" s="361"/>
      <c r="EU39" s="361"/>
      <c r="EV39" s="361"/>
      <c r="EW39" s="361"/>
      <c r="EX39" s="361"/>
      <c r="EY39" s="361"/>
      <c r="EZ39" s="361"/>
      <c r="FA39" s="361"/>
      <c r="FB39" s="361"/>
      <c r="FC39" s="361"/>
      <c r="FD39" s="361"/>
      <c r="FE39" s="361"/>
      <c r="FF39" s="361"/>
      <c r="FG39" s="361"/>
      <c r="FH39" s="361"/>
      <c r="FI39" s="361"/>
      <c r="FJ39" s="361"/>
      <c r="FK39" s="361"/>
      <c r="FL39" s="361"/>
      <c r="FM39" s="361"/>
      <c r="FN39" s="361"/>
      <c r="FO39" s="361"/>
      <c r="FP39" s="361"/>
      <c r="FQ39" s="361"/>
    </row>
    <row r="40" spans="1:173" s="372" customFormat="1" ht="21" customHeight="1">
      <c r="A40" s="368"/>
      <c r="B40" s="354">
        <v>3.6700000000000003E-2</v>
      </c>
      <c r="C40" s="369" t="s">
        <v>413</v>
      </c>
      <c r="D40" s="370"/>
      <c r="E40" s="371">
        <f>E38*$B$40/12</f>
        <v>2704.6786766666669</v>
      </c>
      <c r="F40" s="371">
        <f t="shared" ref="F40:BC40" si="91">F38*$B$40/12</f>
        <v>2704.6786766666669</v>
      </c>
      <c r="G40" s="371">
        <f t="shared" si="91"/>
        <v>2569.4447428333333</v>
      </c>
      <c r="H40" s="371">
        <f t="shared" si="91"/>
        <v>2501.8277759166667</v>
      </c>
      <c r="I40" s="371">
        <f t="shared" si="91"/>
        <v>2501.8277759166667</v>
      </c>
      <c r="J40" s="371">
        <f t="shared" si="91"/>
        <v>2366.5938420833331</v>
      </c>
      <c r="K40" s="371">
        <f t="shared" si="91"/>
        <v>2298.9768751666666</v>
      </c>
      <c r="L40" s="371">
        <f t="shared" si="91"/>
        <v>2231.35990825</v>
      </c>
      <c r="M40" s="371">
        <f t="shared" si="91"/>
        <v>2163.7429413333334</v>
      </c>
      <c r="N40" s="371">
        <f t="shared" si="91"/>
        <v>2163.7429413333334</v>
      </c>
      <c r="O40" s="371">
        <f t="shared" si="91"/>
        <v>2028.5090075000001</v>
      </c>
      <c r="P40" s="371">
        <f t="shared" si="91"/>
        <v>1960.8920405833335</v>
      </c>
      <c r="Q40" s="371"/>
      <c r="R40" s="371">
        <f t="shared" si="91"/>
        <v>1960.8920405833335</v>
      </c>
      <c r="S40" s="371">
        <f t="shared" si="91"/>
        <v>1893.2750736666669</v>
      </c>
      <c r="T40" s="371">
        <f t="shared" si="91"/>
        <v>1758.0411398333335</v>
      </c>
      <c r="U40" s="371">
        <f t="shared" si="91"/>
        <v>1690.424172916667</v>
      </c>
      <c r="V40" s="371">
        <f t="shared" si="91"/>
        <v>1622.8072060000002</v>
      </c>
      <c r="W40" s="371">
        <f t="shared" si="91"/>
        <v>1555.1902390833336</v>
      </c>
      <c r="X40" s="371">
        <f t="shared" si="91"/>
        <v>1555.1902390833336</v>
      </c>
      <c r="Y40" s="371">
        <f t="shared" si="91"/>
        <v>1419.95630525</v>
      </c>
      <c r="Z40" s="371">
        <f t="shared" si="91"/>
        <v>1352.3393383333334</v>
      </c>
      <c r="AA40" s="371">
        <f t="shared" si="91"/>
        <v>1352.3393383333334</v>
      </c>
      <c r="AB40" s="371">
        <f t="shared" si="91"/>
        <v>1217.1054045000001</v>
      </c>
      <c r="AC40" s="371">
        <f t="shared" si="91"/>
        <v>1149.4884375833333</v>
      </c>
      <c r="AD40" s="371"/>
      <c r="AE40" s="371">
        <f t="shared" si="91"/>
        <v>1081.8714706666667</v>
      </c>
      <c r="AF40" s="371">
        <f t="shared" si="91"/>
        <v>1014.2545037499999</v>
      </c>
      <c r="AG40" s="371">
        <f t="shared" si="91"/>
        <v>946.637536833333</v>
      </c>
      <c r="AH40" s="371">
        <f t="shared" si="91"/>
        <v>946.637536833333</v>
      </c>
      <c r="AI40" s="371">
        <f t="shared" si="91"/>
        <v>811.40360299999975</v>
      </c>
      <c r="AJ40" s="371">
        <f t="shared" si="91"/>
        <v>743.78663608333318</v>
      </c>
      <c r="AK40" s="371">
        <f t="shared" si="91"/>
        <v>743.78663608333318</v>
      </c>
      <c r="AL40" s="371">
        <f t="shared" si="91"/>
        <v>608.55270224999981</v>
      </c>
      <c r="AM40" s="371">
        <f t="shared" si="91"/>
        <v>540.93573533333313</v>
      </c>
      <c r="AN40" s="371">
        <f t="shared" si="91"/>
        <v>473.31876841666644</v>
      </c>
      <c r="AO40" s="371">
        <f t="shared" si="91"/>
        <v>405.70180149999982</v>
      </c>
      <c r="AP40" s="371">
        <f t="shared" si="91"/>
        <v>405.70180149999982</v>
      </c>
      <c r="AQ40" s="370"/>
      <c r="AR40" s="371">
        <f t="shared" si="91"/>
        <v>270.46786766666645</v>
      </c>
      <c r="AS40" s="371">
        <f t="shared" si="91"/>
        <v>202.85090074999982</v>
      </c>
      <c r="AT40" s="371">
        <f t="shared" si="91"/>
        <v>135.23393383333314</v>
      </c>
      <c r="AU40" s="371">
        <f t="shared" si="91"/>
        <v>135.23393383333314</v>
      </c>
      <c r="AV40" s="371">
        <f t="shared" si="91"/>
        <v>-2.0027073333039883E-13</v>
      </c>
      <c r="AW40" s="371">
        <f t="shared" si="91"/>
        <v>0</v>
      </c>
      <c r="AX40" s="371">
        <f t="shared" si="91"/>
        <v>0</v>
      </c>
      <c r="AY40" s="371">
        <f t="shared" si="91"/>
        <v>0</v>
      </c>
      <c r="AZ40" s="371">
        <f t="shared" si="91"/>
        <v>0</v>
      </c>
      <c r="BA40" s="371">
        <f t="shared" si="91"/>
        <v>0</v>
      </c>
      <c r="BB40" s="371">
        <f t="shared" si="91"/>
        <v>0</v>
      </c>
      <c r="BC40" s="371">
        <f t="shared" si="91"/>
        <v>0</v>
      </c>
      <c r="BD40" s="370"/>
      <c r="BE40" s="370"/>
      <c r="BF40" s="370"/>
      <c r="BG40" s="370"/>
      <c r="BH40" s="370"/>
      <c r="BI40" s="370"/>
      <c r="BJ40" s="370"/>
      <c r="BK40" s="370"/>
      <c r="BL40" s="370"/>
      <c r="BM40" s="370"/>
      <c r="BN40" s="370"/>
      <c r="BO40" s="370"/>
      <c r="BP40" s="370"/>
      <c r="BQ40" s="370"/>
      <c r="BR40" s="370"/>
      <c r="BS40" s="370"/>
      <c r="BT40" s="370"/>
      <c r="BU40" s="370"/>
      <c r="BV40" s="370"/>
      <c r="BW40" s="370"/>
      <c r="BX40" s="370"/>
      <c r="BY40" s="370"/>
      <c r="BZ40" s="370"/>
      <c r="CA40" s="370"/>
      <c r="CB40" s="370"/>
      <c r="CC40" s="370"/>
      <c r="CD40" s="370"/>
      <c r="CE40" s="370"/>
      <c r="CF40" s="370"/>
      <c r="CG40" s="370"/>
      <c r="CH40" s="370"/>
      <c r="CI40" s="370"/>
      <c r="CJ40" s="370"/>
      <c r="CK40" s="370"/>
      <c r="CL40" s="370"/>
      <c r="CM40" s="370"/>
      <c r="CN40" s="370"/>
      <c r="CO40" s="370"/>
      <c r="CP40" s="370"/>
      <c r="CQ40" s="370"/>
      <c r="CR40" s="370"/>
      <c r="CS40" s="370"/>
      <c r="CT40" s="370"/>
      <c r="CU40" s="370"/>
      <c r="CV40" s="370"/>
      <c r="CW40" s="370"/>
      <c r="CX40" s="370"/>
      <c r="CY40" s="370"/>
      <c r="CZ40" s="370"/>
      <c r="DA40" s="370"/>
      <c r="DB40" s="370"/>
      <c r="DC40" s="370"/>
      <c r="DD40" s="370"/>
      <c r="DE40" s="370"/>
      <c r="DF40" s="370"/>
      <c r="DG40" s="370"/>
      <c r="DH40" s="370"/>
      <c r="DI40" s="370"/>
      <c r="DJ40" s="370"/>
      <c r="DK40" s="370"/>
      <c r="DL40" s="370"/>
      <c r="DM40" s="370"/>
      <c r="DN40" s="370"/>
      <c r="DO40" s="370"/>
      <c r="DP40" s="370"/>
      <c r="DQ40" s="370"/>
      <c r="DR40" s="370"/>
      <c r="DS40" s="370"/>
      <c r="DT40" s="370"/>
      <c r="DU40" s="370"/>
      <c r="DV40" s="370"/>
      <c r="DW40" s="370"/>
      <c r="DX40" s="370"/>
      <c r="DY40" s="370"/>
      <c r="DZ40" s="370"/>
      <c r="EA40" s="370"/>
      <c r="EB40" s="370"/>
      <c r="EC40" s="370"/>
      <c r="ED40" s="370"/>
      <c r="EE40" s="370"/>
      <c r="EF40" s="370"/>
      <c r="EG40" s="370"/>
      <c r="EH40" s="370"/>
      <c r="EI40" s="370"/>
      <c r="EJ40" s="370"/>
      <c r="EK40" s="370"/>
      <c r="EL40" s="370"/>
      <c r="EM40" s="370"/>
      <c r="EN40" s="370"/>
      <c r="EO40" s="370"/>
      <c r="EP40" s="370"/>
      <c r="EQ40" s="370"/>
      <c r="ER40" s="370"/>
      <c r="ES40" s="370"/>
      <c r="ET40" s="370"/>
      <c r="EU40" s="370"/>
      <c r="EV40" s="370"/>
      <c r="EW40" s="370"/>
      <c r="EX40" s="370"/>
      <c r="EY40" s="370"/>
      <c r="EZ40" s="370"/>
      <c r="FA40" s="370"/>
      <c r="FB40" s="370"/>
      <c r="FC40" s="370"/>
      <c r="FD40" s="370"/>
      <c r="FE40" s="370"/>
      <c r="FF40" s="370"/>
      <c r="FG40" s="370"/>
      <c r="FH40" s="370"/>
      <c r="FI40" s="370"/>
      <c r="FJ40" s="370"/>
      <c r="FK40" s="370"/>
      <c r="FL40" s="370"/>
      <c r="FM40" s="370"/>
      <c r="FN40" s="370"/>
      <c r="FO40" s="370"/>
      <c r="FP40" s="370"/>
      <c r="FQ40" s="370"/>
    </row>
    <row r="41" spans="1:173">
      <c r="AD41" s="374">
        <f>AD37+AD32</f>
        <v>324864.60000000003</v>
      </c>
    </row>
    <row r="42" spans="1:173" s="356" customFormat="1">
      <c r="A42" s="594" t="s">
        <v>424</v>
      </c>
      <c r="B42" s="594"/>
      <c r="C42" s="594"/>
      <c r="D42" s="594"/>
      <c r="E42" s="377">
        <f>E39+E34</f>
        <v>0</v>
      </c>
      <c r="F42" s="377">
        <f t="shared" ref="F42:P42" si="92">F39+F34</f>
        <v>0</v>
      </c>
      <c r="G42" s="377">
        <f>G39+G34</f>
        <v>0</v>
      </c>
      <c r="H42" s="377">
        <f t="shared" si="92"/>
        <v>0</v>
      </c>
      <c r="I42" s="377">
        <f t="shared" si="92"/>
        <v>0</v>
      </c>
      <c r="J42" s="377">
        <f t="shared" si="92"/>
        <v>0</v>
      </c>
      <c r="K42" s="377">
        <f t="shared" si="92"/>
        <v>0</v>
      </c>
      <c r="L42" s="377">
        <f t="shared" si="92"/>
        <v>0</v>
      </c>
      <c r="M42" s="377">
        <f t="shared" si="92"/>
        <v>0</v>
      </c>
      <c r="N42" s="377">
        <f t="shared" si="92"/>
        <v>0</v>
      </c>
      <c r="O42" s="377">
        <f t="shared" si="92"/>
        <v>0</v>
      </c>
      <c r="P42" s="377">
        <f t="shared" si="92"/>
        <v>0</v>
      </c>
      <c r="Q42" s="377">
        <f>Q39+Q34</f>
        <v>0</v>
      </c>
      <c r="R42" s="377">
        <f t="shared" ref="R42:AD42" si="93">R39+R34</f>
        <v>0</v>
      </c>
      <c r="S42" s="377">
        <f t="shared" si="93"/>
        <v>0</v>
      </c>
      <c r="T42" s="377">
        <f t="shared" si="93"/>
        <v>0</v>
      </c>
      <c r="U42" s="377">
        <f t="shared" si="93"/>
        <v>0</v>
      </c>
      <c r="V42" s="377">
        <f t="shared" si="93"/>
        <v>0</v>
      </c>
      <c r="W42" s="377">
        <f t="shared" si="93"/>
        <v>0</v>
      </c>
      <c r="X42" s="377">
        <f t="shared" si="93"/>
        <v>0</v>
      </c>
      <c r="Y42" s="377">
        <f t="shared" si="93"/>
        <v>0</v>
      </c>
      <c r="Z42" s="377">
        <f t="shared" si="93"/>
        <v>0</v>
      </c>
      <c r="AA42" s="377">
        <f t="shared" si="93"/>
        <v>0</v>
      </c>
      <c r="AB42" s="377">
        <f t="shared" si="93"/>
        <v>0</v>
      </c>
      <c r="AC42" s="377">
        <f t="shared" si="93"/>
        <v>0</v>
      </c>
      <c r="AD42" s="377">
        <f t="shared" si="93"/>
        <v>0</v>
      </c>
    </row>
    <row r="43" spans="1:173" s="356" customFormat="1">
      <c r="A43" s="594" t="s">
        <v>425</v>
      </c>
      <c r="B43" s="594"/>
      <c r="C43" s="594"/>
      <c r="D43" s="594"/>
      <c r="E43" s="377">
        <f>E42+E28</f>
        <v>0</v>
      </c>
      <c r="F43" s="377">
        <f t="shared" ref="F43:AD43" si="94">F42+F28</f>
        <v>0</v>
      </c>
      <c r="G43" s="377">
        <f t="shared" si="94"/>
        <v>0</v>
      </c>
      <c r="H43" s="377">
        <f t="shared" si="94"/>
        <v>0</v>
      </c>
      <c r="I43" s="377">
        <f t="shared" si="94"/>
        <v>0</v>
      </c>
      <c r="J43" s="377">
        <f t="shared" si="94"/>
        <v>0</v>
      </c>
      <c r="K43" s="377">
        <f t="shared" si="94"/>
        <v>0</v>
      </c>
      <c r="L43" s="377">
        <f t="shared" si="94"/>
        <v>0</v>
      </c>
      <c r="M43" s="377">
        <f t="shared" si="94"/>
        <v>0</v>
      </c>
      <c r="N43" s="377">
        <f t="shared" si="94"/>
        <v>0</v>
      </c>
      <c r="O43" s="377">
        <f t="shared" si="94"/>
        <v>0</v>
      </c>
      <c r="P43" s="377">
        <f t="shared" si="94"/>
        <v>0</v>
      </c>
      <c r="Q43" s="377">
        <f t="shared" si="94"/>
        <v>16973981.379999999</v>
      </c>
      <c r="R43" s="377">
        <f t="shared" si="94"/>
        <v>0</v>
      </c>
      <c r="S43" s="377">
        <f t="shared" si="94"/>
        <v>0</v>
      </c>
      <c r="T43" s="377">
        <f t="shared" si="94"/>
        <v>0</v>
      </c>
      <c r="U43" s="377">
        <f t="shared" si="94"/>
        <v>0</v>
      </c>
      <c r="V43" s="377">
        <f t="shared" si="94"/>
        <v>0</v>
      </c>
      <c r="W43" s="377">
        <f t="shared" si="94"/>
        <v>0</v>
      </c>
      <c r="X43" s="377">
        <f t="shared" si="94"/>
        <v>0</v>
      </c>
      <c r="Y43" s="377">
        <f t="shared" si="94"/>
        <v>0</v>
      </c>
      <c r="Z43" s="377">
        <f t="shared" si="94"/>
        <v>0</v>
      </c>
      <c r="AA43" s="377">
        <f t="shared" si="94"/>
        <v>0</v>
      </c>
      <c r="AB43" s="377">
        <f t="shared" si="94"/>
        <v>0</v>
      </c>
      <c r="AC43" s="377">
        <f t="shared" si="94"/>
        <v>0</v>
      </c>
      <c r="AD43" s="377">
        <f t="shared" si="94"/>
        <v>176000</v>
      </c>
    </row>
    <row r="45" spans="1:173">
      <c r="E45" s="374">
        <f>E6+E8+E10+E12+E14+E21+E23+E32+E37</f>
        <v>41597.050000000003</v>
      </c>
      <c r="F45" s="374">
        <f t="shared" ref="F45:AD45" si="95">F6+F8+F10+F12+F14+F21+F23+F32+F37</f>
        <v>28005</v>
      </c>
      <c r="G45" s="374">
        <f t="shared" si="95"/>
        <v>660669.10000000009</v>
      </c>
      <c r="H45" s="374">
        <f t="shared" si="95"/>
        <v>41597.050000000003</v>
      </c>
      <c r="I45" s="374">
        <f t="shared" si="95"/>
        <v>20671</v>
      </c>
      <c r="J45" s="374">
        <f t="shared" si="95"/>
        <v>660669.10000000009</v>
      </c>
      <c r="K45" s="374">
        <f t="shared" si="95"/>
        <v>41597.050000000003</v>
      </c>
      <c r="L45" s="374">
        <f t="shared" si="95"/>
        <v>55872.05</v>
      </c>
      <c r="M45" s="374">
        <f t="shared" si="95"/>
        <v>647872.04999999993</v>
      </c>
      <c r="N45" s="374">
        <f t="shared" si="95"/>
        <v>31345</v>
      </c>
      <c r="O45" s="374">
        <f t="shared" si="95"/>
        <v>85489.1</v>
      </c>
      <c r="P45" s="374">
        <f t="shared" si="95"/>
        <v>650417.04999999993</v>
      </c>
      <c r="Q45" s="374">
        <f>Q6+Q8+Q10+Q12+Q14+Q21+Q23+Q32+Q37</f>
        <v>2281549.6</v>
      </c>
      <c r="R45" s="374">
        <f>R6+R8+R10+R12+R14+R21+R23+R32+R37</f>
        <v>31345</v>
      </c>
      <c r="S45" s="374">
        <f>S6+S8+S10+S12+S14+S21+S23+S32+S37</f>
        <v>58417.05</v>
      </c>
      <c r="T45" s="374">
        <f t="shared" si="95"/>
        <v>677489.10000000009</v>
      </c>
      <c r="U45" s="374">
        <f t="shared" si="95"/>
        <v>74437.05</v>
      </c>
      <c r="V45" s="374">
        <f t="shared" si="95"/>
        <v>74437.05</v>
      </c>
      <c r="W45" s="374">
        <f t="shared" si="95"/>
        <v>666437.04999999993</v>
      </c>
      <c r="X45" s="374">
        <f t="shared" si="95"/>
        <v>47365</v>
      </c>
      <c r="Y45" s="374">
        <f t="shared" si="95"/>
        <v>101509.1</v>
      </c>
      <c r="Z45" s="374">
        <f t="shared" si="95"/>
        <v>666437.04999999993</v>
      </c>
      <c r="AA45" s="374">
        <f t="shared" si="95"/>
        <v>47365</v>
      </c>
      <c r="AB45" s="374">
        <f t="shared" si="95"/>
        <v>101509.1</v>
      </c>
      <c r="AC45" s="374">
        <f t="shared" si="95"/>
        <v>666437.04999999993</v>
      </c>
      <c r="AD45" s="374">
        <f t="shared" si="95"/>
        <v>3213184.6</v>
      </c>
      <c r="AE45" s="374">
        <f>AE6+AE8+AE10+AE12+AE14+AE21+AE23+AE32+AE37</f>
        <v>74437.05</v>
      </c>
      <c r="AF45" s="374">
        <f>AF6+AF8+AF10+AF12+AF14+AF21+AF23+AF32+AF37</f>
        <v>74437.05</v>
      </c>
      <c r="AG45" s="374">
        <f t="shared" ref="AG45:AP45" si="96">AG6+AG8+AG10+AG12+AG14+AG21+AG23+AG32+AG37</f>
        <v>666437.04999999993</v>
      </c>
      <c r="AH45" s="374">
        <f t="shared" si="96"/>
        <v>47365</v>
      </c>
      <c r="AI45" s="374">
        <f t="shared" si="96"/>
        <v>101509.1</v>
      </c>
      <c r="AJ45" s="374">
        <f t="shared" si="96"/>
        <v>666437.04999999993</v>
      </c>
      <c r="AK45" s="374">
        <f t="shared" si="96"/>
        <v>47365</v>
      </c>
      <c r="AL45" s="374">
        <f t="shared" si="96"/>
        <v>101509.1</v>
      </c>
      <c r="AM45" s="374">
        <f t="shared" si="96"/>
        <v>666437.04999999993</v>
      </c>
      <c r="AN45" s="374">
        <f t="shared" si="96"/>
        <v>74437.05</v>
      </c>
      <c r="AO45" s="374">
        <f t="shared" si="96"/>
        <v>74437.05</v>
      </c>
      <c r="AP45" s="374">
        <f t="shared" si="96"/>
        <v>639365</v>
      </c>
      <c r="AQ45" s="374">
        <f>SUM(AE45:AP45)</f>
        <v>3234172.5499999993</v>
      </c>
      <c r="AR45" s="374">
        <f>AR6+AR8+AR10+AR12+AR14+AR21+AR23+AR32+AR37</f>
        <v>96546.14</v>
      </c>
      <c r="AS45" s="374">
        <f>AS6+AS8+AS10+AS12+AS14+AS21+AS23+AS32+AS37</f>
        <v>69474.09</v>
      </c>
      <c r="AT45" s="374">
        <f t="shared" ref="AT45:BC45" si="97">AT6+AT8+AT10+AT12+AT14+AT21+AT23+AT32+AT37</f>
        <v>661474.09</v>
      </c>
      <c r="AU45" s="374">
        <f t="shared" si="97"/>
        <v>47365</v>
      </c>
      <c r="AV45" s="374">
        <f t="shared" si="97"/>
        <v>91583.18</v>
      </c>
      <c r="AW45" s="374">
        <f t="shared" si="97"/>
        <v>639365</v>
      </c>
      <c r="AX45" s="374">
        <f t="shared" si="97"/>
        <v>47365</v>
      </c>
      <c r="AY45" s="374">
        <f t="shared" si="97"/>
        <v>47365</v>
      </c>
      <c r="AZ45" s="374">
        <f t="shared" si="97"/>
        <v>639365</v>
      </c>
      <c r="BA45" s="374">
        <f t="shared" si="97"/>
        <v>47365</v>
      </c>
      <c r="BB45" s="374">
        <f t="shared" si="97"/>
        <v>47365</v>
      </c>
      <c r="BC45" s="374">
        <f t="shared" si="97"/>
        <v>639365</v>
      </c>
      <c r="BD45" s="374">
        <f>SUM(AR45:BC45)</f>
        <v>3073997.5</v>
      </c>
      <c r="BE45" s="374">
        <f>BE6+BE8+BE10+BE12+BE14+BE21+BE23+BE32+BE37</f>
        <v>47365</v>
      </c>
      <c r="BF45" s="374">
        <f>BF6+BF8+BF10+BF12+BF14+BF21+BF23+BF32+BF37</f>
        <v>47365</v>
      </c>
      <c r="BG45" s="374">
        <f t="shared" ref="BG45:BP45" si="98">BG6+BG8+BG10+BG12+BG14+BG21+BG23+BG32+BG37</f>
        <v>639365</v>
      </c>
      <c r="BH45" s="374">
        <f t="shared" si="98"/>
        <v>47365</v>
      </c>
      <c r="BI45" s="374">
        <f t="shared" si="98"/>
        <v>47365</v>
      </c>
      <c r="BJ45" s="374">
        <f t="shared" si="98"/>
        <v>639365</v>
      </c>
      <c r="BK45" s="374">
        <f t="shared" si="98"/>
        <v>47365</v>
      </c>
      <c r="BL45" s="374">
        <f t="shared" si="98"/>
        <v>47365</v>
      </c>
      <c r="BM45" s="374">
        <f t="shared" si="98"/>
        <v>639365</v>
      </c>
      <c r="BN45" s="374">
        <f t="shared" si="98"/>
        <v>47365</v>
      </c>
      <c r="BO45" s="374">
        <f t="shared" si="98"/>
        <v>47365</v>
      </c>
      <c r="BP45" s="374">
        <f t="shared" si="98"/>
        <v>639365</v>
      </c>
      <c r="BQ45" s="374">
        <f>SUM(BE45:BP45)</f>
        <v>2936380</v>
      </c>
      <c r="BR45" s="374">
        <f>BR6+BR8+BR10+BR12+BR14+BR21+BR23+BR32+BR37</f>
        <v>47365</v>
      </c>
      <c r="BS45" s="374">
        <f>BS6+BS8+BS10+BS12+BS14+BS21+BS23+BS32+BS37</f>
        <v>47365</v>
      </c>
      <c r="BT45" s="374">
        <f t="shared" ref="BT45:CC45" si="99">BT6+BT8+BT10+BT12+BT14+BT21+BT23+BT32+BT37</f>
        <v>639365</v>
      </c>
      <c r="BU45" s="374">
        <f t="shared" si="99"/>
        <v>47365</v>
      </c>
      <c r="BV45" s="374">
        <f t="shared" si="99"/>
        <v>47365</v>
      </c>
      <c r="BW45" s="374">
        <f t="shared" si="99"/>
        <v>639365</v>
      </c>
      <c r="BX45" s="374">
        <f t="shared" si="99"/>
        <v>47365</v>
      </c>
      <c r="BY45" s="374">
        <f t="shared" si="99"/>
        <v>47365</v>
      </c>
      <c r="BZ45" s="374">
        <f t="shared" si="99"/>
        <v>639365</v>
      </c>
      <c r="CA45" s="374">
        <f t="shared" si="99"/>
        <v>47365</v>
      </c>
      <c r="CB45" s="374">
        <f t="shared" si="99"/>
        <v>47365</v>
      </c>
      <c r="CC45" s="374">
        <f t="shared" si="99"/>
        <v>622066</v>
      </c>
      <c r="CD45" s="374">
        <f>SUM(BR45:CC45)</f>
        <v>2919081</v>
      </c>
      <c r="CE45" s="374">
        <f>CE6+CE8+CE10+CE12+CE14+CE21+CE23+CE32+CE37</f>
        <v>47365</v>
      </c>
      <c r="CF45" s="374">
        <f>CF6+CF8+CF10+CF12+CF14+CF21+CF23+CF32+CF37</f>
        <v>47365</v>
      </c>
      <c r="CG45" s="374">
        <f t="shared" ref="CG45:CP45" si="100">CG6+CG8+CG10+CG12+CG14+CG21+CG23+CG32+CG37</f>
        <v>47365</v>
      </c>
      <c r="CH45" s="374">
        <f t="shared" si="100"/>
        <v>47365</v>
      </c>
      <c r="CI45" s="374">
        <f t="shared" si="100"/>
        <v>47365</v>
      </c>
      <c r="CJ45" s="374">
        <f t="shared" si="100"/>
        <v>47365</v>
      </c>
      <c r="CK45" s="374">
        <f t="shared" si="100"/>
        <v>47365</v>
      </c>
      <c r="CL45" s="374">
        <f t="shared" si="100"/>
        <v>47365</v>
      </c>
      <c r="CM45" s="374">
        <f t="shared" si="100"/>
        <v>47365</v>
      </c>
      <c r="CN45" s="374">
        <f t="shared" si="100"/>
        <v>47365</v>
      </c>
      <c r="CO45" s="374">
        <f t="shared" si="100"/>
        <v>47365</v>
      </c>
      <c r="CP45" s="374">
        <f t="shared" si="100"/>
        <v>47365</v>
      </c>
      <c r="CQ45" s="374">
        <f>SUM(CE45:CP45)</f>
        <v>568380</v>
      </c>
      <c r="CR45" s="374">
        <f>CR6+CR8+CR10+CR12+CR14+CR21+CR23+CR32+CR37</f>
        <v>47365</v>
      </c>
      <c r="CS45" s="374">
        <f>CS6+CS8+CS10+CS12+CS14+CS21+CS23+CS32+CS37</f>
        <v>47365</v>
      </c>
      <c r="CT45" s="374">
        <f t="shared" ref="CT45:DC45" si="101">CT6+CT8+CT10+CT12+CT14+CT21+CT23+CT32+CT37</f>
        <v>47365</v>
      </c>
      <c r="CU45" s="374">
        <f t="shared" si="101"/>
        <v>47365</v>
      </c>
      <c r="CV45" s="374">
        <f t="shared" si="101"/>
        <v>47365</v>
      </c>
      <c r="CW45" s="374">
        <f t="shared" si="101"/>
        <v>47365</v>
      </c>
      <c r="CX45" s="374">
        <f t="shared" si="101"/>
        <v>47428.88</v>
      </c>
      <c r="CY45" s="374">
        <f t="shared" si="101"/>
        <v>33090</v>
      </c>
      <c r="CZ45" s="374">
        <f t="shared" si="101"/>
        <v>33090</v>
      </c>
      <c r="DA45" s="374">
        <f t="shared" si="101"/>
        <v>33090</v>
      </c>
      <c r="DB45" s="374">
        <f t="shared" si="101"/>
        <v>33090</v>
      </c>
      <c r="DC45" s="374">
        <f t="shared" si="101"/>
        <v>33090</v>
      </c>
      <c r="DD45" s="374">
        <f>SUM(CR45:DC45)</f>
        <v>497068.88</v>
      </c>
      <c r="DE45" s="374">
        <f>DE6+DE8+DE10+DE12+DE14+DE21+DE23+DE32+DE37</f>
        <v>33090</v>
      </c>
      <c r="DF45" s="374">
        <f>DF6+DF8+DF10+DF12+DF14+DF21+DF23+DF32+DF37</f>
        <v>33090</v>
      </c>
      <c r="DG45" s="374">
        <f t="shared" ref="DG45:DP45" si="102">DG6+DG8+DG10+DG12+DG14+DG21+DG23+DG32+DG37</f>
        <v>33090</v>
      </c>
      <c r="DH45" s="374">
        <f t="shared" si="102"/>
        <v>33090</v>
      </c>
      <c r="DI45" s="374">
        <f t="shared" si="102"/>
        <v>33090</v>
      </c>
      <c r="DJ45" s="374">
        <f t="shared" si="102"/>
        <v>33090</v>
      </c>
      <c r="DK45" s="374">
        <f t="shared" si="102"/>
        <v>33090</v>
      </c>
      <c r="DL45" s="374">
        <f t="shared" si="102"/>
        <v>33090</v>
      </c>
      <c r="DM45" s="374">
        <f t="shared" si="102"/>
        <v>33090</v>
      </c>
      <c r="DN45" s="374">
        <f t="shared" si="102"/>
        <v>33090</v>
      </c>
      <c r="DO45" s="374">
        <f t="shared" si="102"/>
        <v>33090</v>
      </c>
      <c r="DP45" s="374">
        <f t="shared" si="102"/>
        <v>33090</v>
      </c>
      <c r="DQ45" s="374">
        <f>SUM(DE45:DP45)</f>
        <v>397080</v>
      </c>
      <c r="DR45" s="374">
        <f>DR6+DR8+DR10+DR12+DR14+DR21+DR23+DR32+DR37</f>
        <v>33090</v>
      </c>
      <c r="DS45" s="374">
        <f>DS6+DS8+DS10+DS12+DS14+DS21+DS23+DS32+DS37</f>
        <v>33090</v>
      </c>
      <c r="DT45" s="374">
        <f t="shared" ref="DT45:EC45" si="103">DT6+DT8+DT10+DT12+DT14+DT21+DT23+DT32+DT37</f>
        <v>33090</v>
      </c>
      <c r="DU45" s="374">
        <f t="shared" si="103"/>
        <v>33090</v>
      </c>
      <c r="DV45" s="374">
        <f t="shared" si="103"/>
        <v>33090</v>
      </c>
      <c r="DW45" s="374">
        <f t="shared" si="103"/>
        <v>33090</v>
      </c>
      <c r="DX45" s="374">
        <f t="shared" si="103"/>
        <v>33090</v>
      </c>
      <c r="DY45" s="374">
        <f t="shared" si="103"/>
        <v>33090</v>
      </c>
      <c r="DZ45" s="374">
        <f t="shared" si="103"/>
        <v>33121.5</v>
      </c>
      <c r="EA45" s="374">
        <f t="shared" si="103"/>
        <v>30545</v>
      </c>
      <c r="EB45" s="374">
        <f t="shared" si="103"/>
        <v>30545</v>
      </c>
      <c r="EC45" s="374">
        <f t="shared" si="103"/>
        <v>30545</v>
      </c>
      <c r="ED45" s="374">
        <f>SUM(DR45:EC45)</f>
        <v>389476.5</v>
      </c>
      <c r="EE45" s="374">
        <f>EE6+EE8+EE10+EE12+EE14+EE21+EE23+EE32+EE37</f>
        <v>30545</v>
      </c>
      <c r="EF45" s="374">
        <f>EF6+EF8+EF10+EF12+EF14+EF21+EF23+EF32+EF37</f>
        <v>30545</v>
      </c>
      <c r="EG45" s="374">
        <f t="shared" ref="EG45:EP45" si="104">EG6+EG8+EG10+EG12+EG14+EG21+EG23+EG32+EG37</f>
        <v>30545</v>
      </c>
      <c r="EH45" s="374">
        <f t="shared" si="104"/>
        <v>30545</v>
      </c>
      <c r="EI45" s="374">
        <f t="shared" si="104"/>
        <v>35925.24</v>
      </c>
      <c r="EJ45" s="374">
        <f t="shared" si="104"/>
        <v>16020</v>
      </c>
      <c r="EK45" s="374">
        <f t="shared" si="104"/>
        <v>16020</v>
      </c>
      <c r="EL45" s="374">
        <f t="shared" si="104"/>
        <v>16020</v>
      </c>
      <c r="EM45" s="374">
        <f t="shared" si="104"/>
        <v>16020</v>
      </c>
      <c r="EN45" s="374">
        <f t="shared" si="104"/>
        <v>16020</v>
      </c>
      <c r="EO45" s="374">
        <f t="shared" si="104"/>
        <v>16020</v>
      </c>
      <c r="EP45" s="374">
        <f t="shared" si="104"/>
        <v>16020</v>
      </c>
      <c r="EQ45" s="374">
        <f>SUM(EE45:EP45)</f>
        <v>270245.24</v>
      </c>
      <c r="ER45" s="374">
        <f>ER6+ER8+ER10+ER12+ER14+ER21+ER23+ER32+ER37</f>
        <v>16020</v>
      </c>
      <c r="ES45" s="374">
        <f>ES6+ES8+ES10+ES12+ES14+ES21+ES23+ES32+ES37</f>
        <v>16020</v>
      </c>
      <c r="ET45" s="374">
        <f t="shared" ref="ET45:FC45" si="105">ET6+ET8+ET10+ET12+ET14+ET21+ET23+ET32+ET37</f>
        <v>16020</v>
      </c>
      <c r="EU45" s="374">
        <f t="shared" si="105"/>
        <v>16020</v>
      </c>
      <c r="EV45" s="374">
        <f t="shared" si="105"/>
        <v>16020</v>
      </c>
      <c r="EW45" s="374">
        <f t="shared" si="105"/>
        <v>16020</v>
      </c>
      <c r="EX45" s="374">
        <f t="shared" si="105"/>
        <v>16020</v>
      </c>
      <c r="EY45" s="374">
        <f t="shared" si="105"/>
        <v>16020</v>
      </c>
      <c r="EZ45" s="374">
        <f t="shared" si="105"/>
        <v>16020</v>
      </c>
      <c r="FA45" s="374">
        <f t="shared" si="105"/>
        <v>16020</v>
      </c>
      <c r="FB45" s="374">
        <f t="shared" si="105"/>
        <v>16020</v>
      </c>
      <c r="FC45" s="374">
        <f t="shared" si="105"/>
        <v>16020</v>
      </c>
      <c r="FD45" s="374">
        <f>SUM(ER45:FC45)</f>
        <v>192240</v>
      </c>
      <c r="FE45" s="374">
        <f>FE6+FE8+FE10+FE12+FE14+FE21+FE23+FE32+FE37</f>
        <v>16020</v>
      </c>
      <c r="FF45" s="374">
        <f>FF6+FF8+FF10+FF12+FF14+FF21+FF23+FF32+FF37</f>
        <v>16020</v>
      </c>
      <c r="FG45" s="374">
        <f t="shared" ref="FG45:FP45" si="106">FG6+FG8+FG10+FG12+FG14+FG21+FG23+FG32+FG37</f>
        <v>16290</v>
      </c>
      <c r="FH45" s="374">
        <f t="shared" si="106"/>
        <v>0</v>
      </c>
      <c r="FI45" s="374">
        <f t="shared" si="106"/>
        <v>0</v>
      </c>
      <c r="FJ45" s="374">
        <f t="shared" si="106"/>
        <v>0</v>
      </c>
      <c r="FK45" s="374">
        <f t="shared" si="106"/>
        <v>0</v>
      </c>
      <c r="FL45" s="374">
        <f t="shared" si="106"/>
        <v>0</v>
      </c>
      <c r="FM45" s="374">
        <f t="shared" si="106"/>
        <v>0</v>
      </c>
      <c r="FN45" s="374">
        <f t="shared" si="106"/>
        <v>0</v>
      </c>
      <c r="FO45" s="374">
        <f t="shared" si="106"/>
        <v>0</v>
      </c>
      <c r="FP45" s="374">
        <f t="shared" si="106"/>
        <v>0</v>
      </c>
      <c r="FQ45" s="374">
        <f>SUM(FE45:FP45)</f>
        <v>48330</v>
      </c>
    </row>
    <row r="46" spans="1:173">
      <c r="P46" s="374">
        <f>Q45-Q46</f>
        <v>1676636.6</v>
      </c>
      <c r="Q46" s="374">
        <f>Analityka!I1784</f>
        <v>604913</v>
      </c>
      <c r="R46" s="374"/>
      <c r="AC46" s="374">
        <f>AD45-AD46</f>
        <v>2668977.6217275001</v>
      </c>
      <c r="AD46" s="374">
        <f>AD55</f>
        <v>544206.9782725001</v>
      </c>
      <c r="AP46" s="374">
        <f>AQ45-AQ46</f>
        <v>2801782.1479004161</v>
      </c>
      <c r="AQ46" s="374">
        <f>AQ55</f>
        <v>432390.40209958341</v>
      </c>
      <c r="BC46" s="374">
        <f>BD45-BD46</f>
        <v>2750564.6086305832</v>
      </c>
      <c r="BD46" s="374">
        <f>BD55</f>
        <v>323432.89136941673</v>
      </c>
      <c r="BP46" s="374">
        <f>BQ45-BQ46</f>
        <v>2713622.2952666664</v>
      </c>
      <c r="BQ46" s="374">
        <f>BQ55</f>
        <v>222757.70473333332</v>
      </c>
      <c r="CC46" s="374">
        <f>CD45-CD46</f>
        <v>2796204.23985</v>
      </c>
      <c r="CD46" s="374">
        <f>CD55</f>
        <v>122876.76015000002</v>
      </c>
      <c r="CP46" s="374">
        <f>CQ45-CQ46</f>
        <v>568380</v>
      </c>
      <c r="CQ46" s="374">
        <f>CQ45*$R$46</f>
        <v>0</v>
      </c>
      <c r="DC46" s="374">
        <f>DD45-DD46</f>
        <v>452098.88930000004</v>
      </c>
      <c r="DD46" s="374">
        <f>DD55</f>
        <v>44969.990699999995</v>
      </c>
      <c r="DP46" s="374">
        <f>DQ45-DQ46</f>
        <v>364772.80499999999</v>
      </c>
      <c r="DQ46" s="374">
        <f>DQ55</f>
        <v>32307.195</v>
      </c>
      <c r="EC46" s="374">
        <f>ED45-ED46</f>
        <v>369043.84499999997</v>
      </c>
      <c r="ED46" s="374">
        <f>ED55</f>
        <v>20432.654999999999</v>
      </c>
      <c r="EP46" s="374">
        <f>EQ45-EQ46</f>
        <v>260129.3198</v>
      </c>
      <c r="EQ46" s="374">
        <f>EQ55</f>
        <v>10115.920199999997</v>
      </c>
      <c r="FC46" s="374">
        <f>FD45-FD46</f>
        <v>188308.2072</v>
      </c>
      <c r="FD46" s="374">
        <f>FD55</f>
        <v>3931.792799999997</v>
      </c>
      <c r="FP46" s="374">
        <f>FQ45-FQ46</f>
        <v>48369.907200000001</v>
      </c>
      <c r="FQ46" s="374">
        <f>FQ55</f>
        <v>-39.907200000003257</v>
      </c>
    </row>
    <row r="47" spans="1:173">
      <c r="C47" s="374">
        <f>C6+C8+C10+C12+C14+C21+C23+C32+C37</f>
        <v>31875049.960000001</v>
      </c>
      <c r="Q47" s="374"/>
      <c r="Z47" s="374"/>
    </row>
    <row r="48" spans="1:173">
      <c r="Q48" s="374">
        <f>Q7+Q9+Q11+Q13+Q15+Q22+Q24+Q33+Q38</f>
        <v>17734256.029999997</v>
      </c>
      <c r="AD48" s="374">
        <f>AD7+AD9+AD11+AD13+AD15+AD22+AD24+AD33+AD38</f>
        <v>14521071.429999998</v>
      </c>
      <c r="AE48" s="374"/>
      <c r="AQ48" s="374">
        <f>AQ7+AQ9+AQ11+AQ13+AQ15+AQ22+AQ24+AQ33+AQ38</f>
        <v>11286898.879999999</v>
      </c>
      <c r="AR48" s="374">
        <f>AE48-AP46</f>
        <v>-2801782.1479004161</v>
      </c>
      <c r="BD48" s="374">
        <f>BD7+BD9+BD11+BD13+BD15+BD22+BD24+BD33+BD38</f>
        <v>8212901.3799999999</v>
      </c>
      <c r="BE48" s="374"/>
      <c r="BQ48" s="374">
        <f>BQ7+BQ9+BQ11+BQ13+BQ15+BQ22+BQ24+BQ33+BQ38</f>
        <v>5276521.38</v>
      </c>
      <c r="CD48" s="374">
        <f>CD7+CD9+CD11+CD13+CD15+CD22+CD24+CD33+CD38</f>
        <v>2357440.38</v>
      </c>
      <c r="CQ48" s="374">
        <f>CQ7+CQ9+CQ11+CQ13+CQ15+CQ22+CQ24+CQ33+CQ38</f>
        <v>1789060.38</v>
      </c>
      <c r="DD48" s="374">
        <f>DD7+DD9+DD11+DD13+DD15+DD22+DD24+DD33+DD38</f>
        <v>1291991.5</v>
      </c>
      <c r="DQ48" s="374">
        <f>DQ7+DQ9+DQ11+DQ13+DQ15+DQ22+DQ24+DQ33+DQ38</f>
        <v>894911.49999999988</v>
      </c>
      <c r="ED48" s="374">
        <f>ED7+ED9+ED11+ED13+ED15+ED22+ED24+ED33+ED38</f>
        <v>505434.99999999988</v>
      </c>
      <c r="EQ48" s="374">
        <f>EQ7+EQ9+EQ11+EQ13+EQ15+EQ22+EQ24+EQ33+EQ38</f>
        <v>235189.75999999989</v>
      </c>
      <c r="FD48" s="374">
        <f>FD7+FD9+FD11+FD13+FD15+FD22+FD24+FD33+FD38</f>
        <v>42949.759999999893</v>
      </c>
      <c r="FQ48" s="374">
        <f>FQ7+FQ9+FQ11+FQ13+FQ15+FQ22+FQ24+FQ33+FQ38</f>
        <v>-5380.2400000001089</v>
      </c>
    </row>
    <row r="49" spans="2:173">
      <c r="Q49" s="374">
        <f>Q50+Q51</f>
        <v>17734256.029999997</v>
      </c>
      <c r="R49" s="374"/>
      <c r="S49" s="374"/>
      <c r="T49" s="374"/>
      <c r="AD49" s="374">
        <f>AD50+AD51</f>
        <v>14521071.43</v>
      </c>
      <c r="AQ49" s="374">
        <f>AQ50+AQ51</f>
        <v>11286898.879999999</v>
      </c>
      <c r="BD49" s="374">
        <f>BD50+BD51</f>
        <v>8212901.3799999999</v>
      </c>
      <c r="BQ49" s="374">
        <f>BQ50+BQ51</f>
        <v>5276521.38</v>
      </c>
      <c r="CD49" s="374">
        <f>CD50+CD51</f>
        <v>2357440.38</v>
      </c>
      <c r="CQ49" s="374">
        <f>CQ50+CQ51</f>
        <v>1789060.38</v>
      </c>
      <c r="DD49" s="374">
        <f>DD50+DD51</f>
        <v>1291991.5</v>
      </c>
      <c r="DQ49" s="374">
        <f>DQ50+DQ51</f>
        <v>894911.49999999988</v>
      </c>
      <c r="ED49" s="374">
        <f>ED50+ED51</f>
        <v>505434.99999999988</v>
      </c>
      <c r="EQ49" s="374">
        <f>EQ50+EQ51</f>
        <v>235189.75999999989</v>
      </c>
      <c r="FD49" s="374">
        <f>FD50+FD51</f>
        <v>42949.759999999893</v>
      </c>
      <c r="FQ49" s="374">
        <f>FQ50+FQ51</f>
        <v>-5380.2400000001089</v>
      </c>
    </row>
    <row r="50" spans="2:173">
      <c r="P50" s="355" t="s">
        <v>4067</v>
      </c>
      <c r="Q50" s="374">
        <f>Q9+Q11</f>
        <v>3242698.88</v>
      </c>
      <c r="R50" s="374">
        <f>R8+R10</f>
        <v>14275</v>
      </c>
      <c r="S50" s="374">
        <f t="shared" ref="S50:AC50" si="107">S8+S10</f>
        <v>14275</v>
      </c>
      <c r="T50" s="374">
        <f t="shared" si="107"/>
        <v>14275</v>
      </c>
      <c r="U50" s="374">
        <f t="shared" si="107"/>
        <v>30295</v>
      </c>
      <c r="V50" s="374">
        <f t="shared" si="107"/>
        <v>30295</v>
      </c>
      <c r="W50" s="374">
        <f t="shared" si="107"/>
        <v>30295</v>
      </c>
      <c r="X50" s="374">
        <f t="shared" si="107"/>
        <v>30295</v>
      </c>
      <c r="Y50" s="374">
        <f t="shared" si="107"/>
        <v>30295</v>
      </c>
      <c r="Z50" s="374">
        <f t="shared" si="107"/>
        <v>30295</v>
      </c>
      <c r="AA50" s="374">
        <f t="shared" si="107"/>
        <v>30295</v>
      </c>
      <c r="AB50" s="374">
        <f t="shared" si="107"/>
        <v>30295</v>
      </c>
      <c r="AC50" s="374">
        <f t="shared" si="107"/>
        <v>30295</v>
      </c>
      <c r="AD50" s="374">
        <f>AD9+AD11</f>
        <v>2927218.88</v>
      </c>
      <c r="AE50" s="374">
        <f t="shared" ref="AE50:AP50" si="108">AE8+AE10</f>
        <v>30295</v>
      </c>
      <c r="AF50" s="374">
        <f t="shared" si="108"/>
        <v>30295</v>
      </c>
      <c r="AG50" s="374">
        <f t="shared" si="108"/>
        <v>30295</v>
      </c>
      <c r="AH50" s="374">
        <f t="shared" si="108"/>
        <v>30295</v>
      </c>
      <c r="AI50" s="374">
        <f t="shared" si="108"/>
        <v>30295</v>
      </c>
      <c r="AJ50" s="374">
        <f t="shared" si="108"/>
        <v>30295</v>
      </c>
      <c r="AK50" s="374">
        <f t="shared" si="108"/>
        <v>30295</v>
      </c>
      <c r="AL50" s="374">
        <f t="shared" si="108"/>
        <v>30295</v>
      </c>
      <c r="AM50" s="374">
        <f t="shared" si="108"/>
        <v>30295</v>
      </c>
      <c r="AN50" s="374">
        <f t="shared" si="108"/>
        <v>30295</v>
      </c>
      <c r="AO50" s="374">
        <f t="shared" si="108"/>
        <v>30295</v>
      </c>
      <c r="AP50" s="374">
        <f t="shared" si="108"/>
        <v>30295</v>
      </c>
      <c r="AQ50" s="374">
        <f>AQ9+AQ11</f>
        <v>2563678.88</v>
      </c>
      <c r="AR50" s="374">
        <f t="shared" ref="AR50:BC50" si="109">AR8+AR10</f>
        <v>30295</v>
      </c>
      <c r="AS50" s="374">
        <f t="shared" si="109"/>
        <v>30295</v>
      </c>
      <c r="AT50" s="374">
        <f t="shared" si="109"/>
        <v>30295</v>
      </c>
      <c r="AU50" s="374">
        <f t="shared" si="109"/>
        <v>30295</v>
      </c>
      <c r="AV50" s="374">
        <f t="shared" si="109"/>
        <v>30295</v>
      </c>
      <c r="AW50" s="374">
        <f t="shared" si="109"/>
        <v>30295</v>
      </c>
      <c r="AX50" s="374">
        <f t="shared" si="109"/>
        <v>30295</v>
      </c>
      <c r="AY50" s="374">
        <f t="shared" si="109"/>
        <v>30295</v>
      </c>
      <c r="AZ50" s="374">
        <f t="shared" si="109"/>
        <v>30295</v>
      </c>
      <c r="BA50" s="374">
        <f t="shared" si="109"/>
        <v>30295</v>
      </c>
      <c r="BB50" s="374">
        <f t="shared" si="109"/>
        <v>30295</v>
      </c>
      <c r="BC50" s="374">
        <f t="shared" si="109"/>
        <v>30295</v>
      </c>
      <c r="BD50" s="374">
        <f>BD9+BD11</f>
        <v>2200138.88</v>
      </c>
      <c r="BE50" s="374">
        <f t="shared" ref="BE50:BP50" si="110">BE8+BE10</f>
        <v>30295</v>
      </c>
      <c r="BF50" s="374">
        <f t="shared" si="110"/>
        <v>30295</v>
      </c>
      <c r="BG50" s="374">
        <f t="shared" si="110"/>
        <v>30295</v>
      </c>
      <c r="BH50" s="374">
        <f t="shared" si="110"/>
        <v>30295</v>
      </c>
      <c r="BI50" s="374">
        <f t="shared" si="110"/>
        <v>30295</v>
      </c>
      <c r="BJ50" s="374">
        <f t="shared" si="110"/>
        <v>30295</v>
      </c>
      <c r="BK50" s="374">
        <f t="shared" si="110"/>
        <v>30295</v>
      </c>
      <c r="BL50" s="374">
        <f t="shared" si="110"/>
        <v>30295</v>
      </c>
      <c r="BM50" s="374">
        <f t="shared" si="110"/>
        <v>30295</v>
      </c>
      <c r="BN50" s="374">
        <f t="shared" si="110"/>
        <v>30295</v>
      </c>
      <c r="BO50" s="374">
        <f t="shared" si="110"/>
        <v>30295</v>
      </c>
      <c r="BP50" s="374">
        <f t="shared" si="110"/>
        <v>30295</v>
      </c>
      <c r="BQ50" s="374">
        <f>BQ9+BQ11</f>
        <v>1836598.88</v>
      </c>
      <c r="BR50" s="374">
        <f t="shared" ref="BR50:CC50" si="111">BR8+BR10</f>
        <v>30295</v>
      </c>
      <c r="BS50" s="374">
        <f t="shared" si="111"/>
        <v>30295</v>
      </c>
      <c r="BT50" s="374">
        <f t="shared" si="111"/>
        <v>30295</v>
      </c>
      <c r="BU50" s="374">
        <f t="shared" si="111"/>
        <v>30295</v>
      </c>
      <c r="BV50" s="374">
        <f t="shared" si="111"/>
        <v>30295</v>
      </c>
      <c r="BW50" s="374">
        <f t="shared" si="111"/>
        <v>30295</v>
      </c>
      <c r="BX50" s="374">
        <f t="shared" si="111"/>
        <v>30295</v>
      </c>
      <c r="BY50" s="374">
        <f t="shared" si="111"/>
        <v>30295</v>
      </c>
      <c r="BZ50" s="374">
        <f t="shared" si="111"/>
        <v>30295</v>
      </c>
      <c r="CA50" s="374">
        <f t="shared" si="111"/>
        <v>30295</v>
      </c>
      <c r="CB50" s="374">
        <f t="shared" si="111"/>
        <v>30295</v>
      </c>
      <c r="CC50" s="374">
        <f t="shared" si="111"/>
        <v>30295</v>
      </c>
      <c r="CD50" s="374">
        <f>CD9+CD11</f>
        <v>1473058.88</v>
      </c>
      <c r="CE50" s="374">
        <f t="shared" ref="CE50:CP50" si="112">CE8+CE10</f>
        <v>30295</v>
      </c>
      <c r="CF50" s="374">
        <f t="shared" si="112"/>
        <v>30295</v>
      </c>
      <c r="CG50" s="374">
        <f t="shared" si="112"/>
        <v>30295</v>
      </c>
      <c r="CH50" s="374">
        <f t="shared" si="112"/>
        <v>30295</v>
      </c>
      <c r="CI50" s="374">
        <f t="shared" si="112"/>
        <v>30295</v>
      </c>
      <c r="CJ50" s="374">
        <f t="shared" si="112"/>
        <v>30295</v>
      </c>
      <c r="CK50" s="374">
        <f t="shared" si="112"/>
        <v>30295</v>
      </c>
      <c r="CL50" s="374">
        <f t="shared" si="112"/>
        <v>30295</v>
      </c>
      <c r="CM50" s="374">
        <f t="shared" si="112"/>
        <v>30295</v>
      </c>
      <c r="CN50" s="374">
        <f t="shared" si="112"/>
        <v>30295</v>
      </c>
      <c r="CO50" s="374">
        <f t="shared" si="112"/>
        <v>30295</v>
      </c>
      <c r="CP50" s="374">
        <f t="shared" si="112"/>
        <v>30295</v>
      </c>
      <c r="CQ50" s="374">
        <f>CQ9+CQ11</f>
        <v>1109518.8799999999</v>
      </c>
      <c r="CR50" s="374">
        <f t="shared" ref="CR50:DC50" si="113">CR8+CR10</f>
        <v>30295</v>
      </c>
      <c r="CS50" s="374">
        <f t="shared" si="113"/>
        <v>30295</v>
      </c>
      <c r="CT50" s="374">
        <f t="shared" si="113"/>
        <v>30295</v>
      </c>
      <c r="CU50" s="374">
        <f t="shared" si="113"/>
        <v>30295</v>
      </c>
      <c r="CV50" s="374">
        <f t="shared" si="113"/>
        <v>30295</v>
      </c>
      <c r="CW50" s="374">
        <f t="shared" si="113"/>
        <v>30295</v>
      </c>
      <c r="CX50" s="374">
        <f t="shared" si="113"/>
        <v>30358.879999999997</v>
      </c>
      <c r="CY50" s="374">
        <f t="shared" si="113"/>
        <v>16020</v>
      </c>
      <c r="CZ50" s="374">
        <f t="shared" si="113"/>
        <v>16020</v>
      </c>
      <c r="DA50" s="374">
        <f t="shared" si="113"/>
        <v>16020</v>
      </c>
      <c r="DB50" s="374">
        <f t="shared" si="113"/>
        <v>16020</v>
      </c>
      <c r="DC50" s="374">
        <f t="shared" si="113"/>
        <v>16020</v>
      </c>
      <c r="DD50" s="374">
        <f>DD9+DD11</f>
        <v>817289.99999999988</v>
      </c>
      <c r="DE50" s="374">
        <f t="shared" ref="DE50:DP50" si="114">DE8+DE10</f>
        <v>16020</v>
      </c>
      <c r="DF50" s="374">
        <f t="shared" si="114"/>
        <v>16020</v>
      </c>
      <c r="DG50" s="374">
        <f t="shared" si="114"/>
        <v>16020</v>
      </c>
      <c r="DH50" s="374">
        <f t="shared" si="114"/>
        <v>16020</v>
      </c>
      <c r="DI50" s="374">
        <f t="shared" si="114"/>
        <v>16020</v>
      </c>
      <c r="DJ50" s="374">
        <f t="shared" si="114"/>
        <v>16020</v>
      </c>
      <c r="DK50" s="374">
        <f t="shared" si="114"/>
        <v>16020</v>
      </c>
      <c r="DL50" s="374">
        <f t="shared" si="114"/>
        <v>16020</v>
      </c>
      <c r="DM50" s="374">
        <f t="shared" si="114"/>
        <v>16020</v>
      </c>
      <c r="DN50" s="374">
        <f t="shared" si="114"/>
        <v>16020</v>
      </c>
      <c r="DO50" s="374">
        <f t="shared" si="114"/>
        <v>16020</v>
      </c>
      <c r="DP50" s="374">
        <f t="shared" si="114"/>
        <v>16020</v>
      </c>
      <c r="DQ50" s="374">
        <f>DQ9+DQ11</f>
        <v>625049.99999999988</v>
      </c>
      <c r="DR50" s="374">
        <f t="shared" ref="DR50:EC50" si="115">DR8+DR10</f>
        <v>16020</v>
      </c>
      <c r="DS50" s="374">
        <f t="shared" si="115"/>
        <v>16020</v>
      </c>
      <c r="DT50" s="374">
        <f t="shared" si="115"/>
        <v>16020</v>
      </c>
      <c r="DU50" s="374">
        <f t="shared" si="115"/>
        <v>16020</v>
      </c>
      <c r="DV50" s="374">
        <f t="shared" si="115"/>
        <v>16020</v>
      </c>
      <c r="DW50" s="374">
        <f t="shared" si="115"/>
        <v>16020</v>
      </c>
      <c r="DX50" s="374">
        <f t="shared" si="115"/>
        <v>16020</v>
      </c>
      <c r="DY50" s="374">
        <f t="shared" si="115"/>
        <v>16020</v>
      </c>
      <c r="DZ50" s="374">
        <f t="shared" si="115"/>
        <v>16020</v>
      </c>
      <c r="EA50" s="374">
        <f t="shared" si="115"/>
        <v>16020</v>
      </c>
      <c r="EB50" s="374">
        <f t="shared" si="115"/>
        <v>16020</v>
      </c>
      <c r="EC50" s="374">
        <f t="shared" si="115"/>
        <v>16020</v>
      </c>
      <c r="ED50" s="374">
        <f>ED9+ED11</f>
        <v>432809.99999999988</v>
      </c>
      <c r="EE50" s="374">
        <f t="shared" ref="EE50:EP50" si="116">EE8+EE10</f>
        <v>16020</v>
      </c>
      <c r="EF50" s="374">
        <f t="shared" si="116"/>
        <v>16020</v>
      </c>
      <c r="EG50" s="374">
        <f t="shared" si="116"/>
        <v>16020</v>
      </c>
      <c r="EH50" s="374">
        <f t="shared" si="116"/>
        <v>16020</v>
      </c>
      <c r="EI50" s="374">
        <f t="shared" si="116"/>
        <v>16020</v>
      </c>
      <c r="EJ50" s="374">
        <f t="shared" si="116"/>
        <v>16020</v>
      </c>
      <c r="EK50" s="374">
        <f t="shared" si="116"/>
        <v>16020</v>
      </c>
      <c r="EL50" s="374">
        <f t="shared" si="116"/>
        <v>16020</v>
      </c>
      <c r="EM50" s="374">
        <f t="shared" si="116"/>
        <v>16020</v>
      </c>
      <c r="EN50" s="374">
        <f t="shared" si="116"/>
        <v>16020</v>
      </c>
      <c r="EO50" s="374">
        <f t="shared" si="116"/>
        <v>16020</v>
      </c>
      <c r="EP50" s="374">
        <f t="shared" si="116"/>
        <v>16020</v>
      </c>
      <c r="EQ50" s="374">
        <f>EQ9+EQ11</f>
        <v>240569.99999999988</v>
      </c>
      <c r="ER50" s="374">
        <f t="shared" ref="ER50:FC50" si="117">ER8+ER10</f>
        <v>16020</v>
      </c>
      <c r="ES50" s="374">
        <f t="shared" si="117"/>
        <v>16020</v>
      </c>
      <c r="ET50" s="374">
        <f t="shared" si="117"/>
        <v>16020</v>
      </c>
      <c r="EU50" s="374">
        <f t="shared" si="117"/>
        <v>16020</v>
      </c>
      <c r="EV50" s="374">
        <f t="shared" si="117"/>
        <v>16020</v>
      </c>
      <c r="EW50" s="374">
        <f t="shared" si="117"/>
        <v>16020</v>
      </c>
      <c r="EX50" s="374">
        <f t="shared" si="117"/>
        <v>16020</v>
      </c>
      <c r="EY50" s="374">
        <f t="shared" si="117"/>
        <v>16020</v>
      </c>
      <c r="EZ50" s="374">
        <f t="shared" si="117"/>
        <v>16020</v>
      </c>
      <c r="FA50" s="374">
        <f t="shared" si="117"/>
        <v>16020</v>
      </c>
      <c r="FB50" s="374">
        <f t="shared" si="117"/>
        <v>16020</v>
      </c>
      <c r="FC50" s="374">
        <f t="shared" si="117"/>
        <v>16020</v>
      </c>
      <c r="FD50" s="374">
        <f>FD9+FD11</f>
        <v>48329.999999999891</v>
      </c>
      <c r="FE50" s="374">
        <f t="shared" ref="FE50:FP50" si="118">FE8+FE10</f>
        <v>16020</v>
      </c>
      <c r="FF50" s="374">
        <f t="shared" si="118"/>
        <v>16020</v>
      </c>
      <c r="FG50" s="374">
        <f t="shared" si="118"/>
        <v>16290</v>
      </c>
      <c r="FH50" s="374">
        <f t="shared" si="118"/>
        <v>0</v>
      </c>
      <c r="FI50" s="374">
        <f t="shared" si="118"/>
        <v>0</v>
      </c>
      <c r="FJ50" s="374">
        <f t="shared" si="118"/>
        <v>0</v>
      </c>
      <c r="FK50" s="374">
        <f t="shared" si="118"/>
        <v>0</v>
      </c>
      <c r="FL50" s="374">
        <f t="shared" si="118"/>
        <v>0</v>
      </c>
      <c r="FM50" s="374">
        <f t="shared" si="118"/>
        <v>0</v>
      </c>
      <c r="FN50" s="374">
        <f t="shared" si="118"/>
        <v>0</v>
      </c>
      <c r="FO50" s="374">
        <f t="shared" si="118"/>
        <v>0</v>
      </c>
      <c r="FP50" s="374">
        <f t="shared" si="118"/>
        <v>0</v>
      </c>
      <c r="FQ50" s="374">
        <f>FQ9+FQ11</f>
        <v>-1.1095835361629725E-10</v>
      </c>
    </row>
    <row r="51" spans="2:173">
      <c r="P51" s="355" t="s">
        <v>4068</v>
      </c>
      <c r="Q51" s="374">
        <f>Q7+Q13+Q22+Q24+Q33+Q38</f>
        <v>14491557.149999999</v>
      </c>
      <c r="R51" s="374">
        <f>R6+R12+R21+R23+R32+R37</f>
        <v>17070</v>
      </c>
      <c r="S51" s="374">
        <f t="shared" ref="S51:AC51" si="119">S6+S12+S21+S23+S32+S37</f>
        <v>44142.05</v>
      </c>
      <c r="T51" s="374">
        <f t="shared" si="119"/>
        <v>663214.10000000009</v>
      </c>
      <c r="U51" s="374">
        <f t="shared" si="119"/>
        <v>44142.05</v>
      </c>
      <c r="V51" s="374">
        <f t="shared" si="119"/>
        <v>44142.05</v>
      </c>
      <c r="W51" s="374">
        <f t="shared" si="119"/>
        <v>636142.04999999993</v>
      </c>
      <c r="X51" s="374">
        <f t="shared" si="119"/>
        <v>17070</v>
      </c>
      <c r="Y51" s="374">
        <f t="shared" si="119"/>
        <v>71214.100000000006</v>
      </c>
      <c r="Z51" s="374">
        <f t="shared" si="119"/>
        <v>636142.04999999993</v>
      </c>
      <c r="AA51" s="374">
        <f t="shared" si="119"/>
        <v>17070</v>
      </c>
      <c r="AB51" s="374">
        <f t="shared" si="119"/>
        <v>71214.100000000006</v>
      </c>
      <c r="AC51" s="374">
        <f t="shared" si="119"/>
        <v>636142.04999999993</v>
      </c>
      <c r="AD51" s="374">
        <f>AD7+AD13+AD22+AD24+AD33+AD38</f>
        <v>11593852.549999999</v>
      </c>
      <c r="AE51" s="374">
        <f t="shared" ref="AE51:AP51" si="120">AE6+AE12+AE21+AE23+AE32+AE37</f>
        <v>44142.05</v>
      </c>
      <c r="AF51" s="374">
        <f t="shared" si="120"/>
        <v>44142.05</v>
      </c>
      <c r="AG51" s="374">
        <f t="shared" si="120"/>
        <v>636142.04999999993</v>
      </c>
      <c r="AH51" s="374">
        <f t="shared" si="120"/>
        <v>17070</v>
      </c>
      <c r="AI51" s="374">
        <f t="shared" si="120"/>
        <v>71214.100000000006</v>
      </c>
      <c r="AJ51" s="374">
        <f t="shared" si="120"/>
        <v>636142.04999999993</v>
      </c>
      <c r="AK51" s="374">
        <f t="shared" si="120"/>
        <v>17070</v>
      </c>
      <c r="AL51" s="374">
        <f t="shared" si="120"/>
        <v>71214.100000000006</v>
      </c>
      <c r="AM51" s="374">
        <f t="shared" si="120"/>
        <v>636142.04999999993</v>
      </c>
      <c r="AN51" s="374">
        <f t="shared" si="120"/>
        <v>44142.05</v>
      </c>
      <c r="AO51" s="374">
        <f t="shared" si="120"/>
        <v>44142.05</v>
      </c>
      <c r="AP51" s="374">
        <f t="shared" si="120"/>
        <v>609070</v>
      </c>
      <c r="AQ51" s="374">
        <f>AP7+AP13+AP22+AP24+AP33+AP38</f>
        <v>8723220</v>
      </c>
      <c r="AR51" s="374">
        <f t="shared" ref="AR51:BC51" si="121">AR6+AR12+AR21+AR23+AR32+AR37</f>
        <v>66251.14</v>
      </c>
      <c r="AS51" s="374">
        <f t="shared" si="121"/>
        <v>39179.089999999997</v>
      </c>
      <c r="AT51" s="374">
        <f t="shared" si="121"/>
        <v>631179.09</v>
      </c>
      <c r="AU51" s="374">
        <f t="shared" si="121"/>
        <v>17070</v>
      </c>
      <c r="AV51" s="374">
        <f t="shared" si="121"/>
        <v>61288.18</v>
      </c>
      <c r="AW51" s="374">
        <f t="shared" si="121"/>
        <v>609070</v>
      </c>
      <c r="AX51" s="374">
        <f t="shared" si="121"/>
        <v>17070</v>
      </c>
      <c r="AY51" s="374">
        <f t="shared" si="121"/>
        <v>17070</v>
      </c>
      <c r="AZ51" s="374">
        <f t="shared" si="121"/>
        <v>609070</v>
      </c>
      <c r="BA51" s="374">
        <f t="shared" si="121"/>
        <v>17070</v>
      </c>
      <c r="BB51" s="374">
        <f t="shared" si="121"/>
        <v>17070</v>
      </c>
      <c r="BC51" s="374">
        <f t="shared" si="121"/>
        <v>609070</v>
      </c>
      <c r="BD51" s="374">
        <f>BC7+BC13+BC22+BC24+BC33+BC38</f>
        <v>6012762.5</v>
      </c>
      <c r="BE51" s="374">
        <f t="shared" ref="BE51:BP51" si="122">BE6+BE12+BE21+BE23+BE32+BE37</f>
        <v>17070</v>
      </c>
      <c r="BF51" s="374">
        <f t="shared" si="122"/>
        <v>17070</v>
      </c>
      <c r="BG51" s="374">
        <f t="shared" si="122"/>
        <v>609070</v>
      </c>
      <c r="BH51" s="374">
        <f t="shared" si="122"/>
        <v>17070</v>
      </c>
      <c r="BI51" s="374">
        <f t="shared" si="122"/>
        <v>17070</v>
      </c>
      <c r="BJ51" s="374">
        <f t="shared" si="122"/>
        <v>609070</v>
      </c>
      <c r="BK51" s="374">
        <f t="shared" si="122"/>
        <v>17070</v>
      </c>
      <c r="BL51" s="374">
        <f t="shared" si="122"/>
        <v>17070</v>
      </c>
      <c r="BM51" s="374">
        <f t="shared" si="122"/>
        <v>609070</v>
      </c>
      <c r="BN51" s="374">
        <f t="shared" si="122"/>
        <v>17070</v>
      </c>
      <c r="BO51" s="374">
        <f t="shared" si="122"/>
        <v>17070</v>
      </c>
      <c r="BP51" s="374">
        <f t="shared" si="122"/>
        <v>609070</v>
      </c>
      <c r="BQ51" s="374">
        <f>BP7+BP13+BP22+BP24+BP33+BP38</f>
        <v>3439922.5</v>
      </c>
      <c r="BR51" s="374">
        <f t="shared" ref="BR51:CC51" si="123">BR6+BR12+BR21+BR23+BR32+BR37</f>
        <v>17070</v>
      </c>
      <c r="BS51" s="374">
        <f t="shared" si="123"/>
        <v>17070</v>
      </c>
      <c r="BT51" s="374">
        <f t="shared" si="123"/>
        <v>609070</v>
      </c>
      <c r="BU51" s="374">
        <f t="shared" si="123"/>
        <v>17070</v>
      </c>
      <c r="BV51" s="374">
        <f t="shared" si="123"/>
        <v>17070</v>
      </c>
      <c r="BW51" s="374">
        <f t="shared" si="123"/>
        <v>609070</v>
      </c>
      <c r="BX51" s="374">
        <f t="shared" si="123"/>
        <v>17070</v>
      </c>
      <c r="BY51" s="374">
        <f t="shared" si="123"/>
        <v>17070</v>
      </c>
      <c r="BZ51" s="374">
        <f t="shared" si="123"/>
        <v>609070</v>
      </c>
      <c r="CA51" s="374">
        <f t="shared" si="123"/>
        <v>17070</v>
      </c>
      <c r="CB51" s="374">
        <f t="shared" si="123"/>
        <v>17070</v>
      </c>
      <c r="CC51" s="374">
        <f t="shared" si="123"/>
        <v>591771</v>
      </c>
      <c r="CD51" s="374">
        <f>CC7+CC13+CC22+CC24+CC33+CC38</f>
        <v>884381.5</v>
      </c>
      <c r="CE51" s="374">
        <f t="shared" ref="CE51:CP51" si="124">CE6+CE12+CE21+CE23+CE32+CE37</f>
        <v>17070</v>
      </c>
      <c r="CF51" s="374">
        <f t="shared" si="124"/>
        <v>17070</v>
      </c>
      <c r="CG51" s="374">
        <f t="shared" si="124"/>
        <v>17070</v>
      </c>
      <c r="CH51" s="374">
        <f t="shared" si="124"/>
        <v>17070</v>
      </c>
      <c r="CI51" s="374">
        <f t="shared" si="124"/>
        <v>17070</v>
      </c>
      <c r="CJ51" s="374">
        <f t="shared" si="124"/>
        <v>17070</v>
      </c>
      <c r="CK51" s="374">
        <f t="shared" si="124"/>
        <v>17070</v>
      </c>
      <c r="CL51" s="374">
        <f t="shared" si="124"/>
        <v>17070</v>
      </c>
      <c r="CM51" s="374">
        <f t="shared" si="124"/>
        <v>17070</v>
      </c>
      <c r="CN51" s="374">
        <f t="shared" si="124"/>
        <v>17070</v>
      </c>
      <c r="CO51" s="374">
        <f t="shared" si="124"/>
        <v>17070</v>
      </c>
      <c r="CP51" s="374">
        <f t="shared" si="124"/>
        <v>17070</v>
      </c>
      <c r="CQ51" s="374">
        <f>CP7+CP13+CP22+CP24+CP33+CP38</f>
        <v>679541.5</v>
      </c>
      <c r="CR51" s="374">
        <f t="shared" ref="CR51:DC51" si="125">CR6+CR12+CR21+CR23+CR32+CR37</f>
        <v>17070</v>
      </c>
      <c r="CS51" s="374">
        <f t="shared" si="125"/>
        <v>17070</v>
      </c>
      <c r="CT51" s="374">
        <f t="shared" si="125"/>
        <v>17070</v>
      </c>
      <c r="CU51" s="374">
        <f t="shared" si="125"/>
        <v>17070</v>
      </c>
      <c r="CV51" s="374">
        <f t="shared" si="125"/>
        <v>17070</v>
      </c>
      <c r="CW51" s="374">
        <f t="shared" si="125"/>
        <v>17070</v>
      </c>
      <c r="CX51" s="374">
        <f t="shared" si="125"/>
        <v>17070</v>
      </c>
      <c r="CY51" s="374">
        <f t="shared" si="125"/>
        <v>17070</v>
      </c>
      <c r="CZ51" s="374">
        <f t="shared" si="125"/>
        <v>17070</v>
      </c>
      <c r="DA51" s="374">
        <f t="shared" si="125"/>
        <v>17070</v>
      </c>
      <c r="DB51" s="374">
        <f t="shared" si="125"/>
        <v>17070</v>
      </c>
      <c r="DC51" s="374">
        <f t="shared" si="125"/>
        <v>17070</v>
      </c>
      <c r="DD51" s="374">
        <f>DC7+DC13+DC22+DC24+DC33+DC38</f>
        <v>474701.5</v>
      </c>
      <c r="DE51" s="374">
        <f t="shared" ref="DE51:DP51" si="126">DE6+DE12+DE21+DE23+DE32+DE37</f>
        <v>17070</v>
      </c>
      <c r="DF51" s="374">
        <f t="shared" si="126"/>
        <v>17070</v>
      </c>
      <c r="DG51" s="374">
        <f t="shared" si="126"/>
        <v>17070</v>
      </c>
      <c r="DH51" s="374">
        <f t="shared" si="126"/>
        <v>17070</v>
      </c>
      <c r="DI51" s="374">
        <f t="shared" si="126"/>
        <v>17070</v>
      </c>
      <c r="DJ51" s="374">
        <f t="shared" si="126"/>
        <v>17070</v>
      </c>
      <c r="DK51" s="374">
        <f t="shared" si="126"/>
        <v>17070</v>
      </c>
      <c r="DL51" s="374">
        <f t="shared" si="126"/>
        <v>17070</v>
      </c>
      <c r="DM51" s="374">
        <f t="shared" si="126"/>
        <v>17070</v>
      </c>
      <c r="DN51" s="374">
        <f t="shared" si="126"/>
        <v>17070</v>
      </c>
      <c r="DO51" s="374">
        <f t="shared" si="126"/>
        <v>17070</v>
      </c>
      <c r="DP51" s="374">
        <f t="shared" si="126"/>
        <v>17070</v>
      </c>
      <c r="DQ51" s="374">
        <f>DP7+DP13+DP22+DP24+DP33+DP38</f>
        <v>269861.5</v>
      </c>
      <c r="DR51" s="374">
        <f t="shared" ref="DR51:EC51" si="127">DR6+DR12+DR21+DR23+DR32+DR37</f>
        <v>17070</v>
      </c>
      <c r="DS51" s="374">
        <f t="shared" si="127"/>
        <v>17070</v>
      </c>
      <c r="DT51" s="374">
        <f t="shared" si="127"/>
        <v>17070</v>
      </c>
      <c r="DU51" s="374">
        <f t="shared" si="127"/>
        <v>17070</v>
      </c>
      <c r="DV51" s="374">
        <f t="shared" si="127"/>
        <v>17070</v>
      </c>
      <c r="DW51" s="374">
        <f t="shared" si="127"/>
        <v>17070</v>
      </c>
      <c r="DX51" s="374">
        <f t="shared" si="127"/>
        <v>17070</v>
      </c>
      <c r="DY51" s="374">
        <f t="shared" si="127"/>
        <v>17070</v>
      </c>
      <c r="DZ51" s="374">
        <f t="shared" si="127"/>
        <v>17101.5</v>
      </c>
      <c r="EA51" s="374">
        <f t="shared" si="127"/>
        <v>14525</v>
      </c>
      <c r="EB51" s="374">
        <f t="shared" si="127"/>
        <v>14525</v>
      </c>
      <c r="EC51" s="374">
        <f t="shared" si="127"/>
        <v>14525</v>
      </c>
      <c r="ED51" s="374">
        <f>EC7+EC13+EC22+EC24+EC33+EC38</f>
        <v>72625</v>
      </c>
      <c r="EE51" s="374">
        <f t="shared" ref="EE51:EP51" si="128">EE6+EE12+EE21+EE23+EE32+EE37</f>
        <v>14525</v>
      </c>
      <c r="EF51" s="374">
        <f t="shared" si="128"/>
        <v>14525</v>
      </c>
      <c r="EG51" s="374">
        <f t="shared" si="128"/>
        <v>14525</v>
      </c>
      <c r="EH51" s="374">
        <f t="shared" si="128"/>
        <v>14525</v>
      </c>
      <c r="EI51" s="374">
        <f t="shared" si="128"/>
        <v>19905.239999999998</v>
      </c>
      <c r="EJ51" s="374">
        <f t="shared" si="128"/>
        <v>0</v>
      </c>
      <c r="EK51" s="374">
        <f t="shared" si="128"/>
        <v>0</v>
      </c>
      <c r="EL51" s="374">
        <f t="shared" si="128"/>
        <v>0</v>
      </c>
      <c r="EM51" s="374">
        <f t="shared" si="128"/>
        <v>0</v>
      </c>
      <c r="EN51" s="374">
        <f t="shared" si="128"/>
        <v>0</v>
      </c>
      <c r="EO51" s="374">
        <f t="shared" si="128"/>
        <v>0</v>
      </c>
      <c r="EP51" s="374">
        <f t="shared" si="128"/>
        <v>0</v>
      </c>
      <c r="EQ51" s="374">
        <f>EP7+EP13+EP22+EP24+EP33+EP38</f>
        <v>-5380.239999999998</v>
      </c>
      <c r="ER51" s="374">
        <f t="shared" ref="ER51:FC51" si="129">ER6+ER12+ER21+ER23+ER32+ER37</f>
        <v>0</v>
      </c>
      <c r="ES51" s="374">
        <f t="shared" si="129"/>
        <v>0</v>
      </c>
      <c r="ET51" s="374">
        <f t="shared" si="129"/>
        <v>0</v>
      </c>
      <c r="EU51" s="374">
        <f t="shared" si="129"/>
        <v>0</v>
      </c>
      <c r="EV51" s="374">
        <f t="shared" si="129"/>
        <v>0</v>
      </c>
      <c r="EW51" s="374">
        <f t="shared" si="129"/>
        <v>0</v>
      </c>
      <c r="EX51" s="374">
        <f t="shared" si="129"/>
        <v>0</v>
      </c>
      <c r="EY51" s="374">
        <f t="shared" si="129"/>
        <v>0</v>
      </c>
      <c r="EZ51" s="374">
        <f t="shared" si="129"/>
        <v>0</v>
      </c>
      <c r="FA51" s="374">
        <f t="shared" si="129"/>
        <v>0</v>
      </c>
      <c r="FB51" s="374">
        <f t="shared" si="129"/>
        <v>0</v>
      </c>
      <c r="FC51" s="374">
        <f t="shared" si="129"/>
        <v>0</v>
      </c>
      <c r="FD51" s="374">
        <f>FC7+FC13+FC22+FC24+FC33+FC38</f>
        <v>-5380.239999999998</v>
      </c>
      <c r="FE51" s="374">
        <f t="shared" ref="FE51:FP51" si="130">FE6+FE12+FE21+FE23+FE32+FE37</f>
        <v>0</v>
      </c>
      <c r="FF51" s="374">
        <f t="shared" si="130"/>
        <v>0</v>
      </c>
      <c r="FG51" s="374">
        <f t="shared" si="130"/>
        <v>0</v>
      </c>
      <c r="FH51" s="374">
        <f t="shared" si="130"/>
        <v>0</v>
      </c>
      <c r="FI51" s="374">
        <f t="shared" si="130"/>
        <v>0</v>
      </c>
      <c r="FJ51" s="374">
        <f t="shared" si="130"/>
        <v>0</v>
      </c>
      <c r="FK51" s="374">
        <f t="shared" si="130"/>
        <v>0</v>
      </c>
      <c r="FL51" s="374">
        <f t="shared" si="130"/>
        <v>0</v>
      </c>
      <c r="FM51" s="374">
        <f t="shared" si="130"/>
        <v>0</v>
      </c>
      <c r="FN51" s="374">
        <f t="shared" si="130"/>
        <v>0</v>
      </c>
      <c r="FO51" s="374">
        <f t="shared" si="130"/>
        <v>0</v>
      </c>
      <c r="FP51" s="374">
        <f t="shared" si="130"/>
        <v>0</v>
      </c>
      <c r="FQ51" s="374">
        <f>FP7+FP13+FP22+FP24+FP33+FP38</f>
        <v>-5380.239999999998</v>
      </c>
    </row>
    <row r="52" spans="2:173">
      <c r="Q52" s="374">
        <f>Q33+Q38</f>
        <v>760274.65</v>
      </c>
      <c r="AD52" s="374">
        <f>AD33+AD38</f>
        <v>435410.04999999993</v>
      </c>
      <c r="AQ52" s="374">
        <f>AQ33+AQ38</f>
        <v>137617.49999999991</v>
      </c>
      <c r="BD52" s="374">
        <f>BD33+BD38</f>
        <v>0</v>
      </c>
      <c r="BQ52" s="374">
        <f>BQ33+BQ38</f>
        <v>0</v>
      </c>
      <c r="CD52" s="374">
        <f>CD33+CD38</f>
        <v>0</v>
      </c>
      <c r="CQ52" s="374">
        <f>CQ33+CQ38</f>
        <v>0</v>
      </c>
      <c r="DD52" s="374">
        <f>DD33+DD38</f>
        <v>0</v>
      </c>
      <c r="DQ52" s="374">
        <f>DQ33+DQ38</f>
        <v>0</v>
      </c>
      <c r="ED52" s="374">
        <f>ED33+ED38</f>
        <v>0</v>
      </c>
      <c r="EQ52" s="374">
        <f>EQ33+EQ38</f>
        <v>0</v>
      </c>
      <c r="FD52" s="374">
        <f>FD33+FD38</f>
        <v>0</v>
      </c>
      <c r="FQ52" s="374">
        <f>FQ33+FQ38</f>
        <v>0</v>
      </c>
    </row>
    <row r="54" spans="2:173">
      <c r="Q54" s="374"/>
      <c r="AD54" s="374">
        <f>AD49+AD52</f>
        <v>14956481.48</v>
      </c>
      <c r="AQ54" s="374">
        <f>AQ49+AQ52</f>
        <v>11424516.379999999</v>
      </c>
      <c r="BD54" s="374">
        <f>BD49+BD52</f>
        <v>8212901.3799999999</v>
      </c>
      <c r="BQ54" s="374">
        <f>BQ49+BQ52</f>
        <v>5276521.38</v>
      </c>
      <c r="CD54" s="374">
        <f>CD49+CD52</f>
        <v>2357440.38</v>
      </c>
      <c r="CQ54" s="374">
        <f>CQ49+CQ52</f>
        <v>1789060.38</v>
      </c>
      <c r="DD54" s="374">
        <f>DD49+DD52</f>
        <v>1291991.5</v>
      </c>
      <c r="DQ54" s="374">
        <f>DQ49+DQ52</f>
        <v>894911.49999999988</v>
      </c>
      <c r="ED54" s="374">
        <f>ED49+ED52</f>
        <v>505434.99999999988</v>
      </c>
      <c r="EQ54" s="374">
        <f>EQ49+EQ52</f>
        <v>235189.75999999989</v>
      </c>
      <c r="FD54" s="374">
        <f>FD49+FD52</f>
        <v>42949.759999999893</v>
      </c>
      <c r="FQ54" s="374">
        <f>FQ49+FQ52</f>
        <v>-5380.2400000001089</v>
      </c>
    </row>
    <row r="55" spans="2:173">
      <c r="B55" s="379"/>
      <c r="D55" s="355" t="s">
        <v>4062</v>
      </c>
      <c r="E55" s="374">
        <f>E17+E26+E35+E40</f>
        <v>51202.056770000003</v>
      </c>
      <c r="F55" s="374">
        <f t="shared" ref="F55:BS55" si="131">F17+F26+F35+F40</f>
        <v>51132.044270000006</v>
      </c>
      <c r="G55" s="374">
        <f t="shared" si="131"/>
        <v>49203.474397500002</v>
      </c>
      <c r="H55" s="374">
        <f t="shared" si="131"/>
        <v>49084.366544583339</v>
      </c>
      <c r="I55" s="374">
        <f t="shared" si="131"/>
        <v>52295.189044583341</v>
      </c>
      <c r="J55" s="374">
        <f t="shared" si="131"/>
        <v>54051.757622083336</v>
      </c>
      <c r="K55" s="374">
        <f t="shared" si="131"/>
        <v>53932.649769166666</v>
      </c>
      <c r="L55" s="374">
        <f t="shared" si="131"/>
        <v>53777.854416250004</v>
      </c>
      <c r="M55" s="374">
        <f t="shared" si="131"/>
        <v>51896.39239666667</v>
      </c>
      <c r="N55" s="374">
        <f t="shared" si="131"/>
        <v>51818.029896666667</v>
      </c>
      <c r="O55" s="374">
        <f t="shared" si="131"/>
        <v>51574.076690833332</v>
      </c>
      <c r="P55" s="374">
        <f t="shared" si="131"/>
        <v>49686.252171250002</v>
      </c>
      <c r="Q55" s="374">
        <f>SUM(E55:P55)</f>
        <v>619654.14398958348</v>
      </c>
      <c r="R55" s="374">
        <f t="shared" si="131"/>
        <v>49607.889671249999</v>
      </c>
      <c r="S55" s="374">
        <f t="shared" si="131"/>
        <v>49446.731818333334</v>
      </c>
      <c r="T55" s="374">
        <f t="shared" si="131"/>
        <v>47476.111945833334</v>
      </c>
      <c r="U55" s="374">
        <f t="shared" si="131"/>
        <v>47274.904092916673</v>
      </c>
      <c r="V55" s="374">
        <f t="shared" si="131"/>
        <v>47073.696239999997</v>
      </c>
      <c r="W55" s="374">
        <f t="shared" si="131"/>
        <v>45145.821720416672</v>
      </c>
      <c r="X55" s="374">
        <f t="shared" si="131"/>
        <v>45027.409220416666</v>
      </c>
      <c r="Y55" s="374">
        <f t="shared" si="131"/>
        <v>44743.406014583335</v>
      </c>
      <c r="Z55" s="374">
        <f t="shared" si="131"/>
        <v>42815.531494999996</v>
      </c>
      <c r="AA55" s="374">
        <f t="shared" si="131"/>
        <v>42697.118995000004</v>
      </c>
      <c r="AB55" s="374">
        <f t="shared" si="131"/>
        <v>42413.115789166666</v>
      </c>
      <c r="AC55" s="374">
        <f t="shared" si="131"/>
        <v>40485.241269583341</v>
      </c>
      <c r="AD55" s="374">
        <f>SUM(R55:AC55)</f>
        <v>544206.9782725001</v>
      </c>
      <c r="AE55" s="374">
        <f t="shared" si="131"/>
        <v>40284.033416666673</v>
      </c>
      <c r="AF55" s="374">
        <f t="shared" si="131"/>
        <v>40082.825563750011</v>
      </c>
      <c r="AG55" s="374">
        <f t="shared" si="131"/>
        <v>38154.951044166672</v>
      </c>
      <c r="AH55" s="374">
        <f t="shared" si="131"/>
        <v>38036.538544166666</v>
      </c>
      <c r="AI55" s="374">
        <f t="shared" si="131"/>
        <v>37752.535338333335</v>
      </c>
      <c r="AJ55" s="374">
        <f t="shared" si="131"/>
        <v>35824.660818750002</v>
      </c>
      <c r="AK55" s="374">
        <f t="shared" si="131"/>
        <v>35706.248318750004</v>
      </c>
      <c r="AL55" s="374">
        <f t="shared" si="131"/>
        <v>35422.245112916666</v>
      </c>
      <c r="AM55" s="374">
        <f t="shared" si="131"/>
        <v>33494.370593333333</v>
      </c>
      <c r="AN55" s="374">
        <f t="shared" si="131"/>
        <v>33293.162740416672</v>
      </c>
      <c r="AO55" s="374">
        <f t="shared" si="131"/>
        <v>33091.954887500004</v>
      </c>
      <c r="AP55" s="374">
        <f t="shared" si="131"/>
        <v>31246.875720833334</v>
      </c>
      <c r="AQ55" s="374">
        <f>SUM(AE55:AP55)</f>
        <v>432390.40209958341</v>
      </c>
      <c r="AR55" s="374">
        <f t="shared" si="131"/>
        <v>30978.050901000002</v>
      </c>
      <c r="AS55" s="374">
        <f t="shared" si="131"/>
        <v>30792.021434083337</v>
      </c>
      <c r="AT55" s="374">
        <f t="shared" si="131"/>
        <v>28879.325300500001</v>
      </c>
      <c r="AU55" s="374">
        <f t="shared" si="131"/>
        <v>28760.912800500002</v>
      </c>
      <c r="AV55" s="374">
        <f t="shared" si="131"/>
        <v>28507.26636666667</v>
      </c>
      <c r="AW55" s="374">
        <f t="shared" si="131"/>
        <v>26662.1872</v>
      </c>
      <c r="AX55" s="374">
        <f t="shared" si="131"/>
        <v>26543.774700000002</v>
      </c>
      <c r="AY55" s="374">
        <f t="shared" si="131"/>
        <v>26425.362200000003</v>
      </c>
      <c r="AZ55" s="374">
        <f t="shared" si="131"/>
        <v>24580.283033333333</v>
      </c>
      <c r="BA55" s="374">
        <f t="shared" si="131"/>
        <v>24461.870533333335</v>
      </c>
      <c r="BB55" s="374">
        <f t="shared" si="131"/>
        <v>24343.458033333332</v>
      </c>
      <c r="BC55" s="374">
        <f t="shared" si="131"/>
        <v>22498.378866666666</v>
      </c>
      <c r="BD55" s="374">
        <f>SUM(AR55:BC55)</f>
        <v>323432.89136941673</v>
      </c>
      <c r="BE55" s="374">
        <f t="shared" si="131"/>
        <v>22379.966366666667</v>
      </c>
      <c r="BF55" s="374">
        <f t="shared" si="131"/>
        <v>22261.553866666665</v>
      </c>
      <c r="BG55" s="374">
        <f t="shared" si="131"/>
        <v>20416.474699999999</v>
      </c>
      <c r="BH55" s="374">
        <f t="shared" si="131"/>
        <v>20298.0622</v>
      </c>
      <c r="BI55" s="374">
        <f t="shared" si="131"/>
        <v>20179.649699999998</v>
      </c>
      <c r="BJ55" s="374">
        <f t="shared" si="131"/>
        <v>18334.570533333332</v>
      </c>
      <c r="BK55" s="374">
        <f t="shared" si="131"/>
        <v>18216.158033333333</v>
      </c>
      <c r="BL55" s="374">
        <f t="shared" si="131"/>
        <v>18097.745533333335</v>
      </c>
      <c r="BM55" s="374">
        <f t="shared" si="131"/>
        <v>16252.666366666666</v>
      </c>
      <c r="BN55" s="374">
        <f t="shared" si="131"/>
        <v>16134.253866666666</v>
      </c>
      <c r="BO55" s="374">
        <f t="shared" si="131"/>
        <v>16015.841366666666</v>
      </c>
      <c r="BP55" s="374">
        <f t="shared" si="131"/>
        <v>14170.762200000001</v>
      </c>
      <c r="BQ55" s="374">
        <f>SUM(BE55:BP55)</f>
        <v>222757.70473333332</v>
      </c>
      <c r="BR55" s="374">
        <f t="shared" si="131"/>
        <v>14052.349699999999</v>
      </c>
      <c r="BS55" s="374">
        <f t="shared" si="131"/>
        <v>13933.9372</v>
      </c>
      <c r="BT55" s="374">
        <f t="shared" ref="BT55:EF55" si="132">BT17+BT26+BT35+BT40</f>
        <v>12088.858033333332</v>
      </c>
      <c r="BU55" s="374">
        <f t="shared" si="132"/>
        <v>11970.445533333332</v>
      </c>
      <c r="BV55" s="374">
        <f t="shared" si="132"/>
        <v>11852.033033333333</v>
      </c>
      <c r="BW55" s="374">
        <f t="shared" si="132"/>
        <v>10006.953866666667</v>
      </c>
      <c r="BX55" s="374">
        <f t="shared" si="132"/>
        <v>9888.5413666666664</v>
      </c>
      <c r="BY55" s="374">
        <f t="shared" si="132"/>
        <v>9770.128866666666</v>
      </c>
      <c r="BZ55" s="374">
        <f t="shared" si="132"/>
        <v>7925.0496999999996</v>
      </c>
      <c r="CA55" s="374">
        <f t="shared" si="132"/>
        <v>7806.6372000000001</v>
      </c>
      <c r="CB55" s="374">
        <f t="shared" si="132"/>
        <v>7688.2246999999998</v>
      </c>
      <c r="CC55" s="374">
        <f t="shared" si="132"/>
        <v>5893.60095</v>
      </c>
      <c r="CD55" s="374">
        <f>SUM(BR55:CC55)</f>
        <v>122876.76015000002</v>
      </c>
      <c r="CE55" s="374">
        <f t="shared" si="132"/>
        <v>5775.1884499999987</v>
      </c>
      <c r="CF55" s="374">
        <f t="shared" si="132"/>
        <v>5656.7759499999993</v>
      </c>
      <c r="CG55" s="374">
        <f t="shared" si="132"/>
        <v>5538.3634499999998</v>
      </c>
      <c r="CH55" s="374">
        <f t="shared" si="132"/>
        <v>5419.9509499999995</v>
      </c>
      <c r="CI55" s="374">
        <f t="shared" si="132"/>
        <v>5301.5384499999991</v>
      </c>
      <c r="CJ55" s="374">
        <f t="shared" si="132"/>
        <v>5183.1259499999996</v>
      </c>
      <c r="CK55" s="374">
        <f t="shared" si="132"/>
        <v>5064.7134499999993</v>
      </c>
      <c r="CL55" s="374">
        <f t="shared" si="132"/>
        <v>4946.3009499999998</v>
      </c>
      <c r="CM55" s="374">
        <f t="shared" si="132"/>
        <v>4827.8884499999995</v>
      </c>
      <c r="CN55" s="374">
        <f t="shared" si="132"/>
        <v>4709.4759499999991</v>
      </c>
      <c r="CO55" s="374">
        <f t="shared" si="132"/>
        <v>4591.0634499999996</v>
      </c>
      <c r="CP55" s="374">
        <f t="shared" si="132"/>
        <v>4472.6509499999993</v>
      </c>
      <c r="CQ55" s="374">
        <f>SUM(CE55:CP55)</f>
        <v>61487.036399999983</v>
      </c>
      <c r="CR55" s="374">
        <f t="shared" si="132"/>
        <v>4354.2384499999998</v>
      </c>
      <c r="CS55" s="374">
        <f t="shared" si="132"/>
        <v>4235.8259499999995</v>
      </c>
      <c r="CT55" s="374">
        <f t="shared" si="132"/>
        <v>4117.4134499999991</v>
      </c>
      <c r="CU55" s="374">
        <f t="shared" si="132"/>
        <v>3999.0009499999996</v>
      </c>
      <c r="CV55" s="374">
        <f t="shared" si="132"/>
        <v>3880.5884499999993</v>
      </c>
      <c r="CW55" s="374">
        <f t="shared" si="132"/>
        <v>3762.1759499999994</v>
      </c>
      <c r="CX55" s="374">
        <f t="shared" si="132"/>
        <v>3643.6037499999998</v>
      </c>
      <c r="CY55" s="374">
        <f t="shared" si="132"/>
        <v>3560.8787499999999</v>
      </c>
      <c r="CZ55" s="374">
        <f t="shared" si="132"/>
        <v>3478.1537499999999</v>
      </c>
      <c r="DA55" s="374">
        <f t="shared" si="132"/>
        <v>3395.4287499999996</v>
      </c>
      <c r="DB55" s="374">
        <f t="shared" si="132"/>
        <v>3312.7037500000001</v>
      </c>
      <c r="DC55" s="374">
        <f t="shared" si="132"/>
        <v>3229.9787499999998</v>
      </c>
      <c r="DD55" s="374">
        <f>SUM(CR55:DC55)</f>
        <v>44969.990699999995</v>
      </c>
      <c r="DE55" s="374">
        <f t="shared" si="132"/>
        <v>3147.2537499999999</v>
      </c>
      <c r="DF55" s="374">
        <f t="shared" si="132"/>
        <v>3064.5287499999999</v>
      </c>
      <c r="DG55" s="374">
        <f t="shared" si="132"/>
        <v>2981.8037499999996</v>
      </c>
      <c r="DH55" s="374">
        <f t="shared" si="132"/>
        <v>2899.0787500000001</v>
      </c>
      <c r="DI55" s="374">
        <f t="shared" si="132"/>
        <v>2816.3537499999998</v>
      </c>
      <c r="DJ55" s="374">
        <f t="shared" si="132"/>
        <v>2733.6287499999999</v>
      </c>
      <c r="DK55" s="374">
        <f t="shared" si="132"/>
        <v>2650.9037499999999</v>
      </c>
      <c r="DL55" s="374">
        <f t="shared" si="132"/>
        <v>2568.1787499999996</v>
      </c>
      <c r="DM55" s="374">
        <f t="shared" si="132"/>
        <v>2485.4537499999997</v>
      </c>
      <c r="DN55" s="374">
        <f t="shared" si="132"/>
        <v>2402.7287499999998</v>
      </c>
      <c r="DO55" s="374">
        <f t="shared" si="132"/>
        <v>2320.0037499999994</v>
      </c>
      <c r="DP55" s="374">
        <f t="shared" si="132"/>
        <v>2237.2787499999995</v>
      </c>
      <c r="DQ55" s="374">
        <f>SUM(DE55:DP55)</f>
        <v>32307.195</v>
      </c>
      <c r="DR55" s="374">
        <f t="shared" si="132"/>
        <v>2154.5537499999996</v>
      </c>
      <c r="DS55" s="374">
        <f t="shared" si="132"/>
        <v>2071.8287499999997</v>
      </c>
      <c r="DT55" s="374">
        <f t="shared" si="132"/>
        <v>1989.1037499999995</v>
      </c>
      <c r="DU55" s="374">
        <f t="shared" si="132"/>
        <v>1906.3787499999996</v>
      </c>
      <c r="DV55" s="374">
        <f t="shared" si="132"/>
        <v>1823.6537499999995</v>
      </c>
      <c r="DW55" s="374">
        <f t="shared" si="132"/>
        <v>1740.9287499999998</v>
      </c>
      <c r="DX55" s="374">
        <f t="shared" si="132"/>
        <v>1658.2037499999997</v>
      </c>
      <c r="DY55" s="374">
        <f t="shared" si="132"/>
        <v>1575.4787499999995</v>
      </c>
      <c r="DZ55" s="374">
        <f t="shared" si="132"/>
        <v>1492.6749999999995</v>
      </c>
      <c r="EA55" s="374">
        <f t="shared" si="132"/>
        <v>1416.3124999999998</v>
      </c>
      <c r="EB55" s="374">
        <f t="shared" si="132"/>
        <v>1339.9499999999996</v>
      </c>
      <c r="EC55" s="374">
        <f t="shared" si="132"/>
        <v>1263.5874999999996</v>
      </c>
      <c r="ED55" s="374">
        <f>SUM(DR55:EC55)</f>
        <v>20432.654999999999</v>
      </c>
      <c r="EE55" s="374">
        <f t="shared" si="132"/>
        <v>1187.2249999999997</v>
      </c>
      <c r="EF55" s="374">
        <f t="shared" si="132"/>
        <v>1110.8624999999997</v>
      </c>
      <c r="EG55" s="374">
        <f t="shared" ref="EG55:FP55" si="133">EG17+EG26+EG35+EG40</f>
        <v>1034.4999999999998</v>
      </c>
      <c r="EH55" s="374">
        <f t="shared" si="133"/>
        <v>958.1374999999997</v>
      </c>
      <c r="EI55" s="374">
        <f t="shared" si="133"/>
        <v>868.32439999999963</v>
      </c>
      <c r="EJ55" s="374">
        <f t="shared" si="133"/>
        <v>828.27439999999967</v>
      </c>
      <c r="EK55" s="374">
        <f t="shared" si="133"/>
        <v>788.22439999999972</v>
      </c>
      <c r="EL55" s="374">
        <f t="shared" si="133"/>
        <v>748.17439999999976</v>
      </c>
      <c r="EM55" s="374">
        <f t="shared" si="133"/>
        <v>708.1243999999997</v>
      </c>
      <c r="EN55" s="374">
        <f t="shared" si="133"/>
        <v>668.07439999999974</v>
      </c>
      <c r="EO55" s="374">
        <f t="shared" si="133"/>
        <v>628.02439999999967</v>
      </c>
      <c r="EP55" s="374">
        <f t="shared" si="133"/>
        <v>587.97439999999972</v>
      </c>
      <c r="EQ55" s="374">
        <f>SUM(EE55:EP55)</f>
        <v>10115.920199999997</v>
      </c>
      <c r="ER55" s="374">
        <f t="shared" si="133"/>
        <v>547.92439999999976</v>
      </c>
      <c r="ES55" s="374">
        <f t="shared" si="133"/>
        <v>507.8743999999997</v>
      </c>
      <c r="ET55" s="374">
        <f t="shared" si="133"/>
        <v>467.82439999999974</v>
      </c>
      <c r="EU55" s="374">
        <f t="shared" si="133"/>
        <v>427.77439999999973</v>
      </c>
      <c r="EV55" s="374">
        <f t="shared" si="133"/>
        <v>387.72439999999966</v>
      </c>
      <c r="EW55" s="374">
        <f t="shared" si="133"/>
        <v>347.67439999999971</v>
      </c>
      <c r="EX55" s="374">
        <f t="shared" si="133"/>
        <v>307.62439999999975</v>
      </c>
      <c r="EY55" s="374">
        <f t="shared" si="133"/>
        <v>267.57439999999968</v>
      </c>
      <c r="EZ55" s="374">
        <f t="shared" si="133"/>
        <v>227.5243999999997</v>
      </c>
      <c r="FA55" s="374">
        <f t="shared" si="133"/>
        <v>187.47439999999972</v>
      </c>
      <c r="FB55" s="374">
        <f t="shared" si="133"/>
        <v>147.42439999999974</v>
      </c>
      <c r="FC55" s="374">
        <f t="shared" si="133"/>
        <v>107.37439999999974</v>
      </c>
      <c r="FD55" s="374">
        <f>SUM(ER55:FC55)</f>
        <v>3931.792799999997</v>
      </c>
      <c r="FE55" s="374">
        <f t="shared" si="133"/>
        <v>67.324399999999727</v>
      </c>
      <c r="FF55" s="374">
        <f t="shared" si="133"/>
        <v>27.274399999999726</v>
      </c>
      <c r="FG55" s="374">
        <f t="shared" si="133"/>
        <v>-13.450600000000271</v>
      </c>
      <c r="FH55" s="374">
        <f t="shared" si="133"/>
        <v>-13.450600000000271</v>
      </c>
      <c r="FI55" s="374">
        <f t="shared" si="133"/>
        <v>-13.450600000000271</v>
      </c>
      <c r="FJ55" s="374">
        <f t="shared" si="133"/>
        <v>-13.450600000000271</v>
      </c>
      <c r="FK55" s="374">
        <f t="shared" si="133"/>
        <v>-13.450600000000271</v>
      </c>
      <c r="FL55" s="374">
        <f t="shared" si="133"/>
        <v>-13.450600000000271</v>
      </c>
      <c r="FM55" s="374">
        <f t="shared" si="133"/>
        <v>-13.450600000000271</v>
      </c>
      <c r="FN55" s="374">
        <f t="shared" si="133"/>
        <v>-13.450600000000271</v>
      </c>
      <c r="FO55" s="374">
        <f t="shared" si="133"/>
        <v>-13.450600000000271</v>
      </c>
      <c r="FP55" s="374">
        <f t="shared" si="133"/>
        <v>-13.450600000000271</v>
      </c>
      <c r="FQ55" s="374">
        <f>SUM(FE55:FP55)</f>
        <v>-39.907200000003257</v>
      </c>
    </row>
    <row r="57" spans="2:173">
      <c r="Q57" s="374"/>
    </row>
    <row r="58" spans="2:173">
      <c r="Q58" s="374"/>
      <c r="AD58" s="374">
        <f>SUM(R50:AC50)</f>
        <v>315480</v>
      </c>
      <c r="AQ58" s="374">
        <f>SUM(AE50:AP50)</f>
        <v>363540</v>
      </c>
      <c r="BD58" s="374">
        <f>SUM(AR50:BC50)</f>
        <v>363540</v>
      </c>
      <c r="BQ58" s="374">
        <f>SUM(BE50:BP50)</f>
        <v>363540</v>
      </c>
      <c r="CD58" s="374">
        <f>SUM(BR50:CC50)</f>
        <v>363540</v>
      </c>
      <c r="CQ58" s="374">
        <f>SUM(CE50:CP50)</f>
        <v>363540</v>
      </c>
      <c r="DD58" s="374">
        <f>SUM(CR50:DC50)</f>
        <v>292228.88</v>
      </c>
      <c r="DQ58" s="374">
        <f>SUM(DE50:DP50)</f>
        <v>192240</v>
      </c>
      <c r="ED58" s="374">
        <f>SUM(DR50:EC50)</f>
        <v>192240</v>
      </c>
      <c r="EQ58" s="374">
        <f>SUM(EE50:EP50)</f>
        <v>192240</v>
      </c>
      <c r="FD58" s="374">
        <f>SUM(ER50:FC50)</f>
        <v>192240</v>
      </c>
      <c r="FQ58" s="374">
        <f>SUM(FE50:FP50)</f>
        <v>48330</v>
      </c>
    </row>
    <row r="59" spans="2:173">
      <c r="R59" s="374"/>
      <c r="AD59" s="374">
        <f>SUM(R51:AC51)</f>
        <v>2897704.6</v>
      </c>
      <c r="AQ59" s="374">
        <f>SUM(AE51:AP51)</f>
        <v>2870632.5499999993</v>
      </c>
      <c r="BD59" s="374">
        <f>SUM(AR51:BC51)</f>
        <v>2710457.5</v>
      </c>
      <c r="BQ59" s="374">
        <f>SUM(BE51:BP51)</f>
        <v>2572840</v>
      </c>
      <c r="CD59" s="374">
        <f>SUM(BR51:CC51)</f>
        <v>2555541</v>
      </c>
      <c r="CQ59" s="374">
        <f>SUM(CE51:CP51)</f>
        <v>204840</v>
      </c>
      <c r="DD59" s="374">
        <f>SUM(CR51:DC51)</f>
        <v>204840</v>
      </c>
      <c r="DQ59" s="374">
        <f>SUM(DE51:DP51)</f>
        <v>204840</v>
      </c>
      <c r="ED59" s="374">
        <f>SUM(DR51:EC51)</f>
        <v>197236.5</v>
      </c>
      <c r="EQ59" s="374">
        <f>SUM(EE51:EP51)</f>
        <v>78005.239999999991</v>
      </c>
      <c r="FD59" s="374">
        <v>0</v>
      </c>
      <c r="FQ59" s="374">
        <f>SUM(FE51:FP51)</f>
        <v>0</v>
      </c>
    </row>
  </sheetData>
  <mergeCells count="3">
    <mergeCell ref="A28:D28"/>
    <mergeCell ref="A42:D42"/>
    <mergeCell ref="A43:D43"/>
  </mergeCells>
  <hyperlinks>
    <hyperlink ref="B6" r:id="rId1" xr:uid="{00000000-0004-0000-1100-000000000000}"/>
    <hyperlink ref="B8" r:id="rId2" xr:uid="{00000000-0004-0000-1100-000001000000}"/>
    <hyperlink ref="B10" r:id="rId3" xr:uid="{00000000-0004-0000-1100-000002000000}"/>
    <hyperlink ref="B12" r:id="rId4" xr:uid="{00000000-0004-0000-1100-000003000000}"/>
    <hyperlink ref="B14" r:id="rId5" xr:uid="{00000000-0004-0000-1100-000004000000}"/>
    <hyperlink ref="B21" r:id="rId6" xr:uid="{00000000-0004-0000-1100-000005000000}"/>
    <hyperlink ref="B23" r:id="rId7" xr:uid="{00000000-0004-0000-1100-000006000000}"/>
    <hyperlink ref="B32" r:id="rId8" xr:uid="{00000000-0004-0000-1100-000007000000}"/>
    <hyperlink ref="B37" r:id="rId9" xr:uid="{00000000-0004-0000-1100-000008000000}"/>
    <hyperlink ref="C6" r:id="rId10" display="Pożyczki\Pożyczka_66_2020_82_OZ_uk_P\Przelew_1.pdf" xr:uid="{00000000-0004-0000-1100-000009000000}"/>
    <hyperlink ref="C8" r:id="rId11" display="Pożyczki\Pożyczka_67_2020_82_OZ_si_P\Przelew_1.pdf" xr:uid="{00000000-0004-0000-1100-00000A000000}"/>
    <hyperlink ref="C10" r:id="rId12" display="Pożyczki\Pożyczka_225_2019_82_OZ_uk_P\Przelew_1.pdf" xr:uid="{00000000-0004-0000-1100-00000B000000}"/>
    <hyperlink ref="B11" r:id="rId13" xr:uid="{00000000-0004-0000-1100-00000C000000}"/>
  </hyperlinks>
  <pageMargins left="0.25" right="0.25" top="0.75" bottom="0.75" header="0.3" footer="0.3"/>
  <pageSetup paperSize="9" scale="10" orientation="landscape" r:id="rId1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1831"/>
  <sheetViews>
    <sheetView topLeftCell="A887" workbookViewId="0">
      <selection activeCell="A897" sqref="A897:XFD897"/>
    </sheetView>
  </sheetViews>
  <sheetFormatPr defaultColWidth="9.140625" defaultRowHeight="15"/>
  <cols>
    <col min="1" max="1" width="25.7109375" style="3" customWidth="1"/>
    <col min="2" max="2" width="54.42578125" style="3" customWidth="1"/>
    <col min="3" max="10" width="15.7109375" style="65" customWidth="1"/>
    <col min="11" max="11" width="9.140625" style="3"/>
    <col min="12" max="13" width="13.42578125" style="3" bestFit="1" customWidth="1"/>
    <col min="14" max="14" width="12.42578125" style="3" bestFit="1" customWidth="1"/>
    <col min="15" max="16384" width="9.140625" style="3"/>
  </cols>
  <sheetData>
    <row r="1" spans="1:13">
      <c r="A1" s="66" t="s">
        <v>1114</v>
      </c>
    </row>
    <row r="3" spans="1:13">
      <c r="A3" s="66" t="s">
        <v>1115</v>
      </c>
      <c r="B3" s="66" t="s">
        <v>1116</v>
      </c>
      <c r="C3" s="67" t="s">
        <v>1117</v>
      </c>
      <c r="D3" s="67" t="s">
        <v>1118</v>
      </c>
      <c r="E3" s="67" t="s">
        <v>1119</v>
      </c>
      <c r="F3" s="67" t="s">
        <v>1120</v>
      </c>
      <c r="G3" s="67" t="s">
        <v>1121</v>
      </c>
      <c r="H3" s="67" t="s">
        <v>1122</v>
      </c>
      <c r="I3" s="67" t="s">
        <v>1123</v>
      </c>
      <c r="J3" s="67" t="s">
        <v>1124</v>
      </c>
    </row>
    <row r="4" spans="1:13">
      <c r="A4" s="66" t="s">
        <v>1125</v>
      </c>
      <c r="B4" s="66" t="s">
        <v>1126</v>
      </c>
      <c r="C4" s="68">
        <v>170024921.86999997</v>
      </c>
      <c r="D4" s="68">
        <v>0</v>
      </c>
      <c r="E4" s="68">
        <v>1038543.3700000048</v>
      </c>
      <c r="F4" s="68">
        <v>80430</v>
      </c>
      <c r="G4" s="68">
        <v>175299092.25</v>
      </c>
      <c r="H4" s="68">
        <v>712584.34</v>
      </c>
      <c r="I4" s="68">
        <v>174586507.91</v>
      </c>
      <c r="J4" s="68">
        <v>0</v>
      </c>
      <c r="L4" s="65"/>
      <c r="M4" s="65"/>
    </row>
    <row r="5" spans="1:13">
      <c r="A5" s="66" t="s">
        <v>1127</v>
      </c>
      <c r="B5" s="66" t="s">
        <v>1128</v>
      </c>
      <c r="C5" s="68">
        <v>402908.92</v>
      </c>
      <c r="D5" s="68">
        <v>0</v>
      </c>
      <c r="E5" s="68">
        <v>0</v>
      </c>
      <c r="F5" s="68">
        <v>0</v>
      </c>
      <c r="G5" s="68">
        <v>402908.92</v>
      </c>
      <c r="H5" s="68">
        <v>0</v>
      </c>
      <c r="I5" s="68">
        <v>402908.92</v>
      </c>
      <c r="J5" s="68">
        <v>0</v>
      </c>
    </row>
    <row r="6" spans="1:13">
      <c r="A6" s="66" t="s">
        <v>1129</v>
      </c>
      <c r="B6" s="66" t="s">
        <v>1130</v>
      </c>
      <c r="C6" s="68">
        <v>10403594.4</v>
      </c>
      <c r="D6" s="68">
        <v>0</v>
      </c>
      <c r="E6" s="68">
        <v>38164.830000000075</v>
      </c>
      <c r="F6" s="68">
        <v>0</v>
      </c>
      <c r="G6" s="68">
        <v>12557972.240000002</v>
      </c>
      <c r="H6" s="68">
        <v>0</v>
      </c>
      <c r="I6" s="68">
        <v>12557972.240000002</v>
      </c>
      <c r="J6" s="68">
        <v>0</v>
      </c>
    </row>
    <row r="7" spans="1:13">
      <c r="A7" s="66" t="s">
        <v>1131</v>
      </c>
      <c r="B7" s="66" t="s">
        <v>1132</v>
      </c>
      <c r="C7" s="68">
        <v>992134.99</v>
      </c>
      <c r="D7" s="68">
        <v>0</v>
      </c>
      <c r="E7" s="68">
        <v>263709.04000000004</v>
      </c>
      <c r="F7" s="68">
        <v>0</v>
      </c>
      <c r="G7" s="68">
        <v>1255844.03</v>
      </c>
      <c r="H7" s="68">
        <v>0</v>
      </c>
      <c r="I7" s="68">
        <v>1255844.03</v>
      </c>
      <c r="J7" s="68">
        <v>0</v>
      </c>
    </row>
    <row r="8" spans="1:13">
      <c r="A8" s="66" t="s">
        <v>1133</v>
      </c>
      <c r="B8" s="66" t="s">
        <v>1134</v>
      </c>
      <c r="C8" s="68">
        <v>790149.94</v>
      </c>
      <c r="D8" s="68">
        <v>0</v>
      </c>
      <c r="E8" s="68">
        <v>0</v>
      </c>
      <c r="F8" s="68">
        <v>0</v>
      </c>
      <c r="G8" s="68">
        <v>1433049.94</v>
      </c>
      <c r="H8" s="68">
        <v>451200</v>
      </c>
      <c r="I8" s="68">
        <v>981849.94</v>
      </c>
      <c r="J8" s="68">
        <v>0</v>
      </c>
    </row>
    <row r="9" spans="1:13">
      <c r="A9" s="66" t="s">
        <v>1135</v>
      </c>
      <c r="B9" s="66" t="s">
        <v>1136</v>
      </c>
      <c r="C9" s="68">
        <v>5228289.84</v>
      </c>
      <c r="D9" s="68">
        <v>0</v>
      </c>
      <c r="E9" s="68">
        <v>375134</v>
      </c>
      <c r="F9" s="68">
        <v>0</v>
      </c>
      <c r="G9" s="68">
        <v>5609723.8399999999</v>
      </c>
      <c r="H9" s="68">
        <v>0</v>
      </c>
      <c r="I9" s="68">
        <v>5609723.8399999999</v>
      </c>
      <c r="J9" s="68">
        <v>0</v>
      </c>
    </row>
    <row r="10" spans="1:13">
      <c r="A10" s="66" t="s">
        <v>1137</v>
      </c>
      <c r="B10" s="66" t="s">
        <v>1138</v>
      </c>
      <c r="C10" s="68">
        <v>657040</v>
      </c>
      <c r="D10" s="68">
        <v>0</v>
      </c>
      <c r="E10" s="68">
        <v>0</v>
      </c>
      <c r="F10" s="68">
        <v>0</v>
      </c>
      <c r="G10" s="68">
        <v>657040</v>
      </c>
      <c r="H10" s="68">
        <v>0</v>
      </c>
      <c r="I10" s="68">
        <v>657040</v>
      </c>
      <c r="J10" s="68">
        <v>0</v>
      </c>
    </row>
    <row r="11" spans="1:13">
      <c r="A11" s="66" t="s">
        <v>1139</v>
      </c>
      <c r="B11" s="66" t="s">
        <v>1140</v>
      </c>
      <c r="C11" s="68">
        <v>892623.23</v>
      </c>
      <c r="D11" s="68">
        <v>0</v>
      </c>
      <c r="E11" s="68">
        <v>0</v>
      </c>
      <c r="F11" s="68">
        <v>18920</v>
      </c>
      <c r="G11" s="68">
        <v>975123.23</v>
      </c>
      <c r="H11" s="68">
        <v>37908</v>
      </c>
      <c r="I11" s="68">
        <v>937215.23</v>
      </c>
      <c r="J11" s="68">
        <v>0</v>
      </c>
    </row>
    <row r="12" spans="1:13">
      <c r="A12" s="66" t="s">
        <v>1141</v>
      </c>
      <c r="B12" s="66" t="s">
        <v>1142</v>
      </c>
      <c r="C12" s="68">
        <v>339531.1</v>
      </c>
      <c r="D12" s="68">
        <v>0</v>
      </c>
      <c r="E12" s="68">
        <v>0</v>
      </c>
      <c r="F12" s="68">
        <v>0</v>
      </c>
      <c r="G12" s="68">
        <v>339531.1</v>
      </c>
      <c r="H12" s="68">
        <v>0</v>
      </c>
      <c r="I12" s="68">
        <v>339531.1</v>
      </c>
      <c r="J12" s="68">
        <v>0</v>
      </c>
    </row>
    <row r="13" spans="1:13">
      <c r="A13" s="66" t="s">
        <v>1143</v>
      </c>
      <c r="B13" s="66" t="s">
        <v>1128</v>
      </c>
      <c r="C13" s="68">
        <v>32287040.649999999</v>
      </c>
      <c r="D13" s="68">
        <v>0</v>
      </c>
      <c r="E13" s="68">
        <v>0</v>
      </c>
      <c r="F13" s="68">
        <v>0</v>
      </c>
      <c r="G13" s="68">
        <v>32287040.649999999</v>
      </c>
      <c r="H13" s="68">
        <v>0</v>
      </c>
      <c r="I13" s="68">
        <v>32287040.649999999</v>
      </c>
      <c r="J13" s="68">
        <v>0</v>
      </c>
    </row>
    <row r="14" spans="1:13">
      <c r="A14" s="66" t="s">
        <v>1144</v>
      </c>
      <c r="B14" s="66" t="s">
        <v>1130</v>
      </c>
      <c r="C14" s="68">
        <v>10491175.689999999</v>
      </c>
      <c r="D14" s="68">
        <v>0</v>
      </c>
      <c r="E14" s="68">
        <v>0</v>
      </c>
      <c r="F14" s="68">
        <v>0</v>
      </c>
      <c r="G14" s="68">
        <v>10491175.689999999</v>
      </c>
      <c r="H14" s="68">
        <v>0</v>
      </c>
      <c r="I14" s="68">
        <v>10491175.689999999</v>
      </c>
      <c r="J14" s="68">
        <v>0</v>
      </c>
    </row>
    <row r="15" spans="1:13">
      <c r="A15" s="66" t="s">
        <v>1145</v>
      </c>
      <c r="B15" s="66" t="s">
        <v>1146</v>
      </c>
      <c r="C15" s="68">
        <v>3494802.8</v>
      </c>
      <c r="D15" s="68">
        <v>0</v>
      </c>
      <c r="E15" s="68">
        <v>0</v>
      </c>
      <c r="F15" s="68">
        <v>0</v>
      </c>
      <c r="G15" s="68">
        <v>3494802.8</v>
      </c>
      <c r="H15" s="68">
        <v>0</v>
      </c>
      <c r="I15" s="68">
        <v>3494802.8</v>
      </c>
      <c r="J15" s="68">
        <v>0</v>
      </c>
    </row>
    <row r="16" spans="1:13">
      <c r="A16" s="66" t="s">
        <v>1147</v>
      </c>
      <c r="B16" s="66" t="s">
        <v>1132</v>
      </c>
      <c r="C16" s="68">
        <v>53884.14</v>
      </c>
      <c r="D16" s="68">
        <v>0</v>
      </c>
      <c r="E16" s="68">
        <v>0</v>
      </c>
      <c r="F16" s="68">
        <v>0</v>
      </c>
      <c r="G16" s="68">
        <v>53884.14</v>
      </c>
      <c r="H16" s="68">
        <v>0</v>
      </c>
      <c r="I16" s="68">
        <v>53884.14</v>
      </c>
      <c r="J16" s="68">
        <v>0</v>
      </c>
    </row>
    <row r="17" spans="1:10">
      <c r="A17" s="66" t="s">
        <v>1148</v>
      </c>
      <c r="B17" s="66" t="s">
        <v>1134</v>
      </c>
      <c r="C17" s="68">
        <v>3111860</v>
      </c>
      <c r="D17" s="68">
        <v>0</v>
      </c>
      <c r="E17" s="68">
        <v>0</v>
      </c>
      <c r="F17" s="68">
        <v>0</v>
      </c>
      <c r="G17" s="68">
        <v>3111860</v>
      </c>
      <c r="H17" s="68">
        <v>0</v>
      </c>
      <c r="I17" s="68">
        <v>3111860</v>
      </c>
      <c r="J17" s="68">
        <v>0</v>
      </c>
    </row>
    <row r="18" spans="1:10">
      <c r="A18" s="66" t="s">
        <v>1149</v>
      </c>
      <c r="B18" s="66" t="s">
        <v>1136</v>
      </c>
      <c r="C18" s="68">
        <v>51365811.18</v>
      </c>
      <c r="D18" s="68">
        <v>0</v>
      </c>
      <c r="E18" s="68">
        <v>0</v>
      </c>
      <c r="F18" s="68">
        <v>0</v>
      </c>
      <c r="G18" s="68">
        <v>51365811.18</v>
      </c>
      <c r="H18" s="68">
        <v>0</v>
      </c>
      <c r="I18" s="68">
        <v>51365811.18</v>
      </c>
      <c r="J18" s="68">
        <v>0</v>
      </c>
    </row>
    <row r="19" spans="1:10">
      <c r="A19" s="66" t="s">
        <v>1150</v>
      </c>
      <c r="B19" s="66" t="s">
        <v>1138</v>
      </c>
      <c r="C19" s="68">
        <v>2038642.6</v>
      </c>
      <c r="D19" s="68">
        <v>0</v>
      </c>
      <c r="E19" s="68">
        <v>0</v>
      </c>
      <c r="F19" s="68">
        <v>0</v>
      </c>
      <c r="G19" s="68">
        <v>2038642.6</v>
      </c>
      <c r="H19" s="68">
        <v>0</v>
      </c>
      <c r="I19" s="68">
        <v>2038642.6</v>
      </c>
      <c r="J19" s="68">
        <v>0</v>
      </c>
    </row>
    <row r="20" spans="1:10">
      <c r="A20" s="66" t="s">
        <v>1151</v>
      </c>
      <c r="B20" s="66" t="s">
        <v>1140</v>
      </c>
      <c r="C20" s="68">
        <v>9132748.5999999996</v>
      </c>
      <c r="D20" s="68">
        <v>0</v>
      </c>
      <c r="E20" s="68">
        <v>0</v>
      </c>
      <c r="F20" s="68">
        <v>0</v>
      </c>
      <c r="G20" s="68">
        <v>9132748.5999999996</v>
      </c>
      <c r="H20" s="68">
        <v>0</v>
      </c>
      <c r="I20" s="68">
        <v>9132748.5999999996</v>
      </c>
      <c r="J20" s="68">
        <v>0</v>
      </c>
    </row>
    <row r="21" spans="1:10">
      <c r="A21" s="66" t="s">
        <v>1152</v>
      </c>
      <c r="B21" s="66" t="s">
        <v>1136</v>
      </c>
      <c r="C21" s="68">
        <v>737294</v>
      </c>
      <c r="D21" s="68">
        <v>0</v>
      </c>
      <c r="E21" s="68">
        <v>0</v>
      </c>
      <c r="F21" s="68">
        <v>0</v>
      </c>
      <c r="G21" s="68">
        <v>737294</v>
      </c>
      <c r="H21" s="68">
        <v>0</v>
      </c>
      <c r="I21" s="68">
        <v>737294</v>
      </c>
      <c r="J21" s="68">
        <v>0</v>
      </c>
    </row>
    <row r="22" spans="1:10">
      <c r="A22" s="66" t="s">
        <v>1153</v>
      </c>
      <c r="B22" s="66" t="s">
        <v>1130</v>
      </c>
      <c r="C22" s="68">
        <v>171224</v>
      </c>
      <c r="D22" s="68">
        <v>0</v>
      </c>
      <c r="E22" s="68">
        <v>0</v>
      </c>
      <c r="F22" s="68">
        <v>0</v>
      </c>
      <c r="G22" s="68">
        <v>171224</v>
      </c>
      <c r="H22" s="68">
        <v>0</v>
      </c>
      <c r="I22" s="68">
        <v>171224</v>
      </c>
      <c r="J22" s="68">
        <v>0</v>
      </c>
    </row>
    <row r="23" spans="1:10">
      <c r="A23" s="66" t="s">
        <v>1154</v>
      </c>
      <c r="B23" s="66" t="s">
        <v>1132</v>
      </c>
      <c r="C23" s="68">
        <v>275128.40000000002</v>
      </c>
      <c r="D23" s="68">
        <v>0</v>
      </c>
      <c r="E23" s="68">
        <v>0</v>
      </c>
      <c r="F23" s="68">
        <v>0</v>
      </c>
      <c r="G23" s="68">
        <v>289658.40000000002</v>
      </c>
      <c r="H23" s="68">
        <v>0</v>
      </c>
      <c r="I23" s="68">
        <v>289658.40000000002</v>
      </c>
      <c r="J23" s="68">
        <v>0</v>
      </c>
    </row>
    <row r="24" spans="1:10">
      <c r="A24" s="66" t="s">
        <v>1155</v>
      </c>
      <c r="B24" s="66" t="s">
        <v>1136</v>
      </c>
      <c r="C24" s="68">
        <v>171673</v>
      </c>
      <c r="D24" s="68">
        <v>0</v>
      </c>
      <c r="E24" s="68">
        <v>0</v>
      </c>
      <c r="F24" s="68">
        <v>0</v>
      </c>
      <c r="G24" s="68">
        <v>205869</v>
      </c>
      <c r="H24" s="68">
        <v>0</v>
      </c>
      <c r="I24" s="68">
        <v>205869</v>
      </c>
      <c r="J24" s="68">
        <v>0</v>
      </c>
    </row>
    <row r="25" spans="1:10">
      <c r="A25" s="66" t="s">
        <v>1156</v>
      </c>
      <c r="B25" s="66" t="s">
        <v>1138</v>
      </c>
      <c r="C25" s="68">
        <v>7734034.7699999996</v>
      </c>
      <c r="D25" s="68">
        <v>0</v>
      </c>
      <c r="E25" s="68">
        <v>0</v>
      </c>
      <c r="F25" s="68">
        <v>0</v>
      </c>
      <c r="G25" s="68">
        <v>7932078.2699999996</v>
      </c>
      <c r="H25" s="68">
        <v>0</v>
      </c>
      <c r="I25" s="68">
        <v>7932078.2699999996</v>
      </c>
      <c r="J25" s="68">
        <v>0</v>
      </c>
    </row>
    <row r="26" spans="1:10">
      <c r="A26" s="66" t="s">
        <v>1157</v>
      </c>
      <c r="B26" s="66" t="s">
        <v>1140</v>
      </c>
      <c r="C26" s="68">
        <v>7696311.7999999998</v>
      </c>
      <c r="D26" s="68">
        <v>0</v>
      </c>
      <c r="E26" s="68">
        <v>300625.5</v>
      </c>
      <c r="F26" s="68">
        <v>56990</v>
      </c>
      <c r="G26" s="68">
        <v>8836326.8000000007</v>
      </c>
      <c r="H26" s="68">
        <v>218626.34</v>
      </c>
      <c r="I26" s="68">
        <v>8617700.4600000009</v>
      </c>
      <c r="J26" s="68">
        <v>0</v>
      </c>
    </row>
    <row r="27" spans="1:10">
      <c r="A27" s="66" t="s">
        <v>1158</v>
      </c>
      <c r="B27" s="66" t="s">
        <v>1138</v>
      </c>
      <c r="C27" s="68">
        <v>1728725.2</v>
      </c>
      <c r="D27" s="68">
        <v>0</v>
      </c>
      <c r="E27" s="68">
        <v>0</v>
      </c>
      <c r="F27" s="68">
        <v>0</v>
      </c>
      <c r="G27" s="68">
        <v>1893850.2</v>
      </c>
      <c r="H27" s="68">
        <v>0</v>
      </c>
      <c r="I27" s="68">
        <v>1893850.2</v>
      </c>
      <c r="J27" s="68">
        <v>0</v>
      </c>
    </row>
    <row r="28" spans="1:10">
      <c r="A28" s="66" t="s">
        <v>1159</v>
      </c>
      <c r="B28" s="66" t="s">
        <v>1128</v>
      </c>
      <c r="C28" s="68">
        <v>857826.67</v>
      </c>
      <c r="D28" s="68">
        <v>0</v>
      </c>
      <c r="E28" s="68">
        <v>0</v>
      </c>
      <c r="F28" s="68">
        <v>0</v>
      </c>
      <c r="G28" s="68">
        <v>857826.67</v>
      </c>
      <c r="H28" s="68">
        <v>0</v>
      </c>
      <c r="I28" s="68">
        <v>857826.67</v>
      </c>
      <c r="J28" s="68">
        <v>0</v>
      </c>
    </row>
    <row r="29" spans="1:10">
      <c r="A29" s="66" t="s">
        <v>1160</v>
      </c>
      <c r="B29" s="66" t="s">
        <v>1130</v>
      </c>
      <c r="C29" s="68">
        <v>7632812.5700000003</v>
      </c>
      <c r="D29" s="68">
        <v>0</v>
      </c>
      <c r="E29" s="68">
        <v>0</v>
      </c>
      <c r="F29" s="68">
        <v>2000</v>
      </c>
      <c r="G29" s="68">
        <v>7632812.5700000003</v>
      </c>
      <c r="H29" s="68">
        <v>2000</v>
      </c>
      <c r="I29" s="68">
        <v>7630812.5700000003</v>
      </c>
      <c r="J29" s="68">
        <v>0</v>
      </c>
    </row>
    <row r="30" spans="1:10">
      <c r="A30" s="66" t="s">
        <v>1161</v>
      </c>
      <c r="B30" s="66" t="s">
        <v>1132</v>
      </c>
      <c r="C30" s="68">
        <v>551277.73</v>
      </c>
      <c r="D30" s="68">
        <v>0</v>
      </c>
      <c r="E30" s="68">
        <v>0</v>
      </c>
      <c r="F30" s="68">
        <v>0</v>
      </c>
      <c r="G30" s="68">
        <v>551277.73</v>
      </c>
      <c r="H30" s="68">
        <v>0</v>
      </c>
      <c r="I30" s="68">
        <v>551277.73</v>
      </c>
      <c r="J30" s="68">
        <v>0</v>
      </c>
    </row>
    <row r="31" spans="1:10">
      <c r="A31" s="66" t="s">
        <v>1162</v>
      </c>
      <c r="B31" s="66" t="s">
        <v>1134</v>
      </c>
      <c r="C31" s="68">
        <v>597841.77</v>
      </c>
      <c r="D31" s="68">
        <v>0</v>
      </c>
      <c r="E31" s="68">
        <v>0</v>
      </c>
      <c r="F31" s="68">
        <v>0</v>
      </c>
      <c r="G31" s="68">
        <v>597841.77</v>
      </c>
      <c r="H31" s="68">
        <v>0</v>
      </c>
      <c r="I31" s="68">
        <v>597841.77</v>
      </c>
      <c r="J31" s="68">
        <v>0</v>
      </c>
    </row>
    <row r="32" spans="1:10">
      <c r="A32" s="66" t="s">
        <v>1163</v>
      </c>
      <c r="B32" s="66" t="s">
        <v>1136</v>
      </c>
      <c r="C32" s="68">
        <v>961404.82</v>
      </c>
      <c r="D32" s="68">
        <v>0</v>
      </c>
      <c r="E32" s="68">
        <v>0</v>
      </c>
      <c r="F32" s="68">
        <v>0</v>
      </c>
      <c r="G32" s="68">
        <v>961404.82</v>
      </c>
      <c r="H32" s="68">
        <v>0</v>
      </c>
      <c r="I32" s="68">
        <v>961404.82</v>
      </c>
      <c r="J32" s="68">
        <v>0</v>
      </c>
    </row>
    <row r="33" spans="1:10">
      <c r="A33" s="66" t="s">
        <v>1164</v>
      </c>
      <c r="B33" s="66" t="s">
        <v>1140</v>
      </c>
      <c r="C33" s="68">
        <v>166616.54999999999</v>
      </c>
      <c r="D33" s="68">
        <v>0</v>
      </c>
      <c r="E33" s="68">
        <v>0</v>
      </c>
      <c r="F33" s="68">
        <v>2520</v>
      </c>
      <c r="G33" s="68">
        <v>166616.54999999999</v>
      </c>
      <c r="H33" s="68">
        <v>2520</v>
      </c>
      <c r="I33" s="68">
        <v>164096.54999999999</v>
      </c>
      <c r="J33" s="68">
        <v>0</v>
      </c>
    </row>
    <row r="34" spans="1:10">
      <c r="A34" s="66" t="s">
        <v>1165</v>
      </c>
      <c r="B34" s="66" t="s">
        <v>1142</v>
      </c>
      <c r="C34" s="68">
        <v>3987222.41</v>
      </c>
      <c r="D34" s="68">
        <v>0</v>
      </c>
      <c r="E34" s="68">
        <v>0</v>
      </c>
      <c r="F34" s="68">
        <v>0</v>
      </c>
      <c r="G34" s="68">
        <v>3987222.41</v>
      </c>
      <c r="H34" s="68">
        <v>0</v>
      </c>
      <c r="I34" s="68">
        <v>3987222.41</v>
      </c>
      <c r="J34" s="68">
        <v>0</v>
      </c>
    </row>
    <row r="35" spans="1:10">
      <c r="A35" s="66" t="s">
        <v>1166</v>
      </c>
      <c r="B35" s="66" t="s">
        <v>1134</v>
      </c>
      <c r="C35" s="68">
        <v>1027160</v>
      </c>
      <c r="D35" s="68">
        <v>0</v>
      </c>
      <c r="E35" s="68">
        <v>0</v>
      </c>
      <c r="F35" s="68">
        <v>0</v>
      </c>
      <c r="G35" s="68">
        <v>1027160</v>
      </c>
      <c r="H35" s="68">
        <v>0</v>
      </c>
      <c r="I35" s="68">
        <v>1027160</v>
      </c>
      <c r="J35" s="68">
        <v>0</v>
      </c>
    </row>
    <row r="36" spans="1:10">
      <c r="A36" s="66" t="s">
        <v>1167</v>
      </c>
      <c r="B36" s="66" t="s">
        <v>1128</v>
      </c>
      <c r="C36" s="68">
        <v>30400</v>
      </c>
      <c r="D36" s="68">
        <v>0</v>
      </c>
      <c r="E36" s="68">
        <v>0</v>
      </c>
      <c r="F36" s="68">
        <v>0</v>
      </c>
      <c r="G36" s="68">
        <v>30400</v>
      </c>
      <c r="H36" s="68">
        <v>0</v>
      </c>
      <c r="I36" s="68">
        <v>30400</v>
      </c>
      <c r="J36" s="68">
        <v>0</v>
      </c>
    </row>
    <row r="37" spans="1:10">
      <c r="A37" s="66" t="s">
        <v>1168</v>
      </c>
      <c r="B37" s="66" t="s">
        <v>1132</v>
      </c>
      <c r="C37" s="68">
        <v>2197.81</v>
      </c>
      <c r="D37" s="68">
        <v>0</v>
      </c>
      <c r="E37" s="68">
        <v>0</v>
      </c>
      <c r="F37" s="68">
        <v>0</v>
      </c>
      <c r="G37" s="68">
        <v>2197.81</v>
      </c>
      <c r="H37" s="68">
        <v>0</v>
      </c>
      <c r="I37" s="68">
        <v>2197.81</v>
      </c>
      <c r="J37" s="68">
        <v>0</v>
      </c>
    </row>
    <row r="38" spans="1:10">
      <c r="A38" s="66" t="s">
        <v>1169</v>
      </c>
      <c r="B38" s="66" t="s">
        <v>1140</v>
      </c>
      <c r="C38" s="68">
        <v>59533.49</v>
      </c>
      <c r="D38" s="68">
        <v>0</v>
      </c>
      <c r="E38" s="68">
        <v>0</v>
      </c>
      <c r="F38" s="68">
        <v>0</v>
      </c>
      <c r="G38" s="68">
        <v>59533.49</v>
      </c>
      <c r="H38" s="68">
        <v>0</v>
      </c>
      <c r="I38" s="68">
        <v>59533.49</v>
      </c>
      <c r="J38" s="68">
        <v>0</v>
      </c>
    </row>
    <row r="39" spans="1:10">
      <c r="A39" s="66" t="s">
        <v>1170</v>
      </c>
      <c r="B39" s="66" t="s">
        <v>1130</v>
      </c>
      <c r="C39" s="68">
        <v>1757552.2</v>
      </c>
      <c r="D39" s="68">
        <v>0</v>
      </c>
      <c r="E39" s="68">
        <v>0</v>
      </c>
      <c r="F39" s="68">
        <v>0</v>
      </c>
      <c r="G39" s="68">
        <v>1887662.2</v>
      </c>
      <c r="H39" s="68">
        <v>0</v>
      </c>
      <c r="I39" s="68">
        <v>1887662.2</v>
      </c>
      <c r="J39" s="68">
        <v>0</v>
      </c>
    </row>
    <row r="40" spans="1:10">
      <c r="A40" s="66" t="s">
        <v>1171</v>
      </c>
      <c r="B40" s="66" t="s">
        <v>1146</v>
      </c>
      <c r="C40" s="68">
        <v>1349157.09</v>
      </c>
      <c r="D40" s="68">
        <v>0</v>
      </c>
      <c r="E40" s="68">
        <v>0</v>
      </c>
      <c r="F40" s="68">
        <v>0</v>
      </c>
      <c r="G40" s="68">
        <v>1349157.09</v>
      </c>
      <c r="H40" s="68">
        <v>0</v>
      </c>
      <c r="I40" s="68">
        <v>1349157.09</v>
      </c>
      <c r="J40" s="68">
        <v>0</v>
      </c>
    </row>
    <row r="41" spans="1:10">
      <c r="A41" s="66" t="s">
        <v>1172</v>
      </c>
      <c r="B41" s="66" t="s">
        <v>1132</v>
      </c>
      <c r="C41" s="68">
        <v>269270.55</v>
      </c>
      <c r="D41" s="68">
        <v>0</v>
      </c>
      <c r="E41" s="68">
        <v>60910</v>
      </c>
      <c r="F41" s="68">
        <v>0</v>
      </c>
      <c r="G41" s="68">
        <v>336500.55</v>
      </c>
      <c r="H41" s="68">
        <v>0</v>
      </c>
      <c r="I41" s="68">
        <v>336500.55</v>
      </c>
      <c r="J41" s="68">
        <v>0</v>
      </c>
    </row>
    <row r="42" spans="1:10">
      <c r="A42" s="66" t="s">
        <v>1173</v>
      </c>
      <c r="B42" s="66" t="s">
        <v>1136</v>
      </c>
      <c r="C42" s="68">
        <v>1610.96</v>
      </c>
      <c r="D42" s="68">
        <v>0</v>
      </c>
      <c r="E42" s="68">
        <v>0</v>
      </c>
      <c r="F42" s="68">
        <v>0</v>
      </c>
      <c r="G42" s="68">
        <v>1610.96</v>
      </c>
      <c r="H42" s="68">
        <v>0</v>
      </c>
      <c r="I42" s="68">
        <v>1610.96</v>
      </c>
      <c r="J42" s="68">
        <v>0</v>
      </c>
    </row>
    <row r="43" spans="1:10">
      <c r="A43" s="66" t="s">
        <v>1174</v>
      </c>
      <c r="B43" s="66" t="s">
        <v>1138</v>
      </c>
      <c r="C43" s="68">
        <v>1218.23</v>
      </c>
      <c r="D43" s="68">
        <v>0</v>
      </c>
      <c r="E43" s="68">
        <v>0</v>
      </c>
      <c r="F43" s="68">
        <v>0</v>
      </c>
      <c r="G43" s="68">
        <v>1218.23</v>
      </c>
      <c r="H43" s="68">
        <v>0</v>
      </c>
      <c r="I43" s="68">
        <v>1218.23</v>
      </c>
      <c r="J43" s="68">
        <v>0</v>
      </c>
    </row>
    <row r="44" spans="1:10">
      <c r="A44" s="66" t="s">
        <v>1175</v>
      </c>
      <c r="B44" s="66" t="s">
        <v>1140</v>
      </c>
      <c r="C44" s="68">
        <v>418055.42</v>
      </c>
      <c r="D44" s="68">
        <v>0</v>
      </c>
      <c r="E44" s="68">
        <v>0</v>
      </c>
      <c r="F44" s="68">
        <v>0</v>
      </c>
      <c r="G44" s="68">
        <v>418055.42</v>
      </c>
      <c r="H44" s="68">
        <v>330</v>
      </c>
      <c r="I44" s="68">
        <v>417725.42</v>
      </c>
      <c r="J44" s="68">
        <v>0</v>
      </c>
    </row>
    <row r="45" spans="1:10">
      <c r="A45" s="66" t="s">
        <v>1176</v>
      </c>
      <c r="B45" s="66" t="s">
        <v>1138</v>
      </c>
      <c r="C45" s="68">
        <v>157134.35</v>
      </c>
      <c r="D45" s="68">
        <v>0</v>
      </c>
      <c r="E45" s="68">
        <v>0</v>
      </c>
      <c r="F45" s="68">
        <v>0</v>
      </c>
      <c r="G45" s="68">
        <v>157134.35</v>
      </c>
      <c r="H45" s="68">
        <v>0</v>
      </c>
      <c r="I45" s="68">
        <v>157134.35</v>
      </c>
      <c r="J45" s="68">
        <v>0</v>
      </c>
    </row>
    <row r="46" spans="1:10">
      <c r="A46" s="66" t="s">
        <v>1177</v>
      </c>
      <c r="B46" s="66" t="s">
        <v>1178</v>
      </c>
      <c r="C46" s="68">
        <v>0</v>
      </c>
      <c r="D46" s="68">
        <v>0</v>
      </c>
      <c r="E46" s="68">
        <v>0</v>
      </c>
      <c r="F46" s="68">
        <v>0</v>
      </c>
      <c r="G46" s="68">
        <v>5611453.8599999994</v>
      </c>
      <c r="H46" s="68">
        <v>0</v>
      </c>
      <c r="I46" s="68">
        <v>5611453.8599999994</v>
      </c>
      <c r="J46" s="68">
        <v>0</v>
      </c>
    </row>
    <row r="47" spans="1:10">
      <c r="A47" s="66" t="s">
        <v>1179</v>
      </c>
      <c r="B47" s="66" t="s">
        <v>1128</v>
      </c>
      <c r="C47" s="68">
        <v>0</v>
      </c>
      <c r="D47" s="68">
        <v>0</v>
      </c>
      <c r="E47" s="68">
        <v>0</v>
      </c>
      <c r="F47" s="68">
        <v>0</v>
      </c>
      <c r="G47" s="68">
        <v>1600116.15</v>
      </c>
      <c r="H47" s="68">
        <v>0</v>
      </c>
      <c r="I47" s="68">
        <v>1600116.15</v>
      </c>
      <c r="J47" s="68">
        <v>0</v>
      </c>
    </row>
    <row r="48" spans="1:10">
      <c r="A48" s="66" t="s">
        <v>1180</v>
      </c>
      <c r="B48" s="66" t="s">
        <v>1181</v>
      </c>
      <c r="C48" s="68">
        <v>0</v>
      </c>
      <c r="D48" s="68">
        <v>0</v>
      </c>
      <c r="E48" s="68">
        <v>0</v>
      </c>
      <c r="F48" s="68">
        <v>0</v>
      </c>
      <c r="G48" s="68">
        <v>349479.9</v>
      </c>
      <c r="H48" s="68">
        <v>0</v>
      </c>
      <c r="I48" s="68">
        <v>349479.9</v>
      </c>
      <c r="J48" s="68">
        <v>0</v>
      </c>
    </row>
    <row r="49" spans="1:10">
      <c r="A49" s="66" t="s">
        <v>1182</v>
      </c>
      <c r="B49" s="66" t="s">
        <v>1183</v>
      </c>
      <c r="C49" s="68">
        <v>0</v>
      </c>
      <c r="D49" s="68">
        <v>0</v>
      </c>
      <c r="E49" s="68">
        <v>0</v>
      </c>
      <c r="F49" s="68">
        <v>0</v>
      </c>
      <c r="G49" s="68">
        <v>700349.40999999992</v>
      </c>
      <c r="H49" s="68">
        <v>0</v>
      </c>
      <c r="I49" s="68">
        <v>700349.40999999992</v>
      </c>
      <c r="J49" s="68">
        <v>0</v>
      </c>
    </row>
    <row r="50" spans="1:10">
      <c r="A50" s="66" t="s">
        <v>1184</v>
      </c>
      <c r="B50" s="66" t="s">
        <v>1134</v>
      </c>
      <c r="C50" s="68">
        <v>0</v>
      </c>
      <c r="D50" s="68">
        <v>0</v>
      </c>
      <c r="E50" s="68">
        <v>0</v>
      </c>
      <c r="F50" s="68">
        <v>0</v>
      </c>
      <c r="G50" s="68">
        <v>2961508.4</v>
      </c>
      <c r="H50" s="68">
        <v>0</v>
      </c>
      <c r="I50" s="68">
        <v>2961508.4</v>
      </c>
      <c r="J50" s="68">
        <v>0</v>
      </c>
    </row>
    <row r="51" spans="1:10">
      <c r="A51" s="66" t="s">
        <v>1185</v>
      </c>
      <c r="B51" s="66" t="s">
        <v>1186</v>
      </c>
      <c r="C51" s="68">
        <v>306132.79000000004</v>
      </c>
      <c r="D51" s="68">
        <v>0</v>
      </c>
      <c r="E51" s="68">
        <v>0</v>
      </c>
      <c r="F51" s="68">
        <v>1270.72</v>
      </c>
      <c r="G51" s="68">
        <v>306132.79000000004</v>
      </c>
      <c r="H51" s="68">
        <v>1270.72</v>
      </c>
      <c r="I51" s="68">
        <v>304862.07000000007</v>
      </c>
      <c r="J51" s="68">
        <v>0</v>
      </c>
    </row>
    <row r="52" spans="1:10">
      <c r="A52" s="66" t="s">
        <v>1187</v>
      </c>
      <c r="B52" s="66" t="s">
        <v>1188</v>
      </c>
      <c r="C52" s="68">
        <v>25225.51</v>
      </c>
      <c r="D52" s="68">
        <v>0</v>
      </c>
      <c r="E52" s="68">
        <v>0</v>
      </c>
      <c r="F52" s="68">
        <v>0</v>
      </c>
      <c r="G52" s="68">
        <v>25225.51</v>
      </c>
      <c r="H52" s="68">
        <v>0</v>
      </c>
      <c r="I52" s="68">
        <v>25225.51</v>
      </c>
      <c r="J52" s="68">
        <v>0</v>
      </c>
    </row>
    <row r="53" spans="1:10">
      <c r="A53" s="66" t="s">
        <v>1189</v>
      </c>
      <c r="B53" s="66" t="s">
        <v>1188</v>
      </c>
      <c r="C53" s="68">
        <v>11917.59</v>
      </c>
      <c r="D53" s="68">
        <v>0</v>
      </c>
      <c r="E53" s="68">
        <v>0</v>
      </c>
      <c r="F53" s="68">
        <v>0</v>
      </c>
      <c r="G53" s="68">
        <v>11917.59</v>
      </c>
      <c r="H53" s="68">
        <v>0</v>
      </c>
      <c r="I53" s="68">
        <v>11917.59</v>
      </c>
      <c r="J53" s="68">
        <v>0</v>
      </c>
    </row>
    <row r="54" spans="1:10">
      <c r="A54" s="66" t="s">
        <v>1190</v>
      </c>
      <c r="B54" s="66" t="s">
        <v>1188</v>
      </c>
      <c r="C54" s="68">
        <v>71752.429999999993</v>
      </c>
      <c r="D54" s="68">
        <v>0</v>
      </c>
      <c r="E54" s="68">
        <v>0</v>
      </c>
      <c r="F54" s="68">
        <v>0</v>
      </c>
      <c r="G54" s="68">
        <v>71752.429999999993</v>
      </c>
      <c r="H54" s="68">
        <v>0</v>
      </c>
      <c r="I54" s="68">
        <v>71752.429999999993</v>
      </c>
      <c r="J54" s="68">
        <v>0</v>
      </c>
    </row>
    <row r="55" spans="1:10">
      <c r="A55" s="66" t="s">
        <v>1191</v>
      </c>
      <c r="B55" s="66" t="s">
        <v>1188</v>
      </c>
      <c r="C55" s="68">
        <v>63113.5</v>
      </c>
      <c r="D55" s="68">
        <v>0</v>
      </c>
      <c r="E55" s="68">
        <v>0</v>
      </c>
      <c r="F55" s="68">
        <v>1270.72</v>
      </c>
      <c r="G55" s="68">
        <v>63113.5</v>
      </c>
      <c r="H55" s="68">
        <v>1270.72</v>
      </c>
      <c r="I55" s="68">
        <v>61842.78</v>
      </c>
      <c r="J55" s="68">
        <v>0</v>
      </c>
    </row>
    <row r="56" spans="1:10">
      <c r="A56" s="66" t="s">
        <v>1192</v>
      </c>
      <c r="B56" s="66" t="s">
        <v>1188</v>
      </c>
      <c r="C56" s="68">
        <v>580</v>
      </c>
      <c r="D56" s="68">
        <v>0</v>
      </c>
      <c r="E56" s="68">
        <v>0</v>
      </c>
      <c r="F56" s="68">
        <v>0</v>
      </c>
      <c r="G56" s="68">
        <v>580</v>
      </c>
      <c r="H56" s="68">
        <v>0</v>
      </c>
      <c r="I56" s="68">
        <v>580</v>
      </c>
      <c r="J56" s="68">
        <v>0</v>
      </c>
    </row>
    <row r="57" spans="1:10">
      <c r="A57" s="66" t="s">
        <v>1193</v>
      </c>
      <c r="B57" s="66" t="s">
        <v>1188</v>
      </c>
      <c r="C57" s="68">
        <v>133543.76</v>
      </c>
      <c r="D57" s="68">
        <v>0</v>
      </c>
      <c r="E57" s="68">
        <v>0</v>
      </c>
      <c r="F57" s="68">
        <v>0</v>
      </c>
      <c r="G57" s="68">
        <v>133543.76</v>
      </c>
      <c r="H57" s="68">
        <v>0</v>
      </c>
      <c r="I57" s="68">
        <v>133543.76</v>
      </c>
      <c r="J57" s="68">
        <v>0</v>
      </c>
    </row>
    <row r="58" spans="1:10">
      <c r="A58" s="66" t="s">
        <v>1194</v>
      </c>
      <c r="B58" s="66" t="s">
        <v>252</v>
      </c>
      <c r="C58" s="68">
        <v>141507.39000000001</v>
      </c>
      <c r="D58" s="68">
        <v>0</v>
      </c>
      <c r="E58" s="68">
        <v>0</v>
      </c>
      <c r="F58" s="68">
        <v>0</v>
      </c>
      <c r="G58" s="68">
        <v>141507.39000000001</v>
      </c>
      <c r="H58" s="68">
        <v>0</v>
      </c>
      <c r="I58" s="68">
        <v>141507.39000000001</v>
      </c>
      <c r="J58" s="68">
        <v>0</v>
      </c>
    </row>
    <row r="59" spans="1:10">
      <c r="A59" s="66" t="s">
        <v>1195</v>
      </c>
      <c r="B59" s="66" t="s">
        <v>1196</v>
      </c>
      <c r="C59" s="68">
        <v>0</v>
      </c>
      <c r="D59" s="68">
        <v>97875.95</v>
      </c>
      <c r="E59" s="68">
        <v>0</v>
      </c>
      <c r="F59" s="68">
        <v>1179.2299999999959</v>
      </c>
      <c r="G59" s="68">
        <v>0</v>
      </c>
      <c r="H59" s="68">
        <v>112026.68999999996</v>
      </c>
      <c r="I59" s="68">
        <v>0</v>
      </c>
      <c r="J59" s="68">
        <v>112026.68999999996</v>
      </c>
    </row>
    <row r="60" spans="1:10">
      <c r="A60" s="66" t="s">
        <v>1197</v>
      </c>
      <c r="B60" s="66" t="s">
        <v>1198</v>
      </c>
      <c r="C60" s="68">
        <v>0</v>
      </c>
      <c r="D60" s="68">
        <v>0</v>
      </c>
      <c r="E60" s="68">
        <v>315000</v>
      </c>
      <c r="F60" s="68">
        <v>330000</v>
      </c>
      <c r="G60" s="68">
        <v>1503974.21</v>
      </c>
      <c r="H60" s="68">
        <v>1188974.21</v>
      </c>
      <c r="I60" s="68">
        <v>315000</v>
      </c>
      <c r="J60" s="68">
        <v>0</v>
      </c>
    </row>
    <row r="61" spans="1:10">
      <c r="A61" s="66" t="s">
        <v>1199</v>
      </c>
      <c r="B61" s="66" t="s">
        <v>1200</v>
      </c>
      <c r="C61" s="68">
        <v>0</v>
      </c>
      <c r="D61" s="68">
        <v>69206249.139999986</v>
      </c>
      <c r="E61" s="68">
        <v>79907.5</v>
      </c>
      <c r="F61" s="68">
        <v>711585.93000000715</v>
      </c>
      <c r="G61" s="68">
        <v>711563.5</v>
      </c>
      <c r="H61" s="68">
        <v>77716141.469999969</v>
      </c>
      <c r="I61" s="68">
        <v>0</v>
      </c>
      <c r="J61" s="68">
        <v>77004577.969999969</v>
      </c>
    </row>
    <row r="62" spans="1:10">
      <c r="A62" s="66" t="s">
        <v>493</v>
      </c>
      <c r="B62" s="66" t="s">
        <v>1128</v>
      </c>
      <c r="C62" s="68">
        <v>0</v>
      </c>
      <c r="D62" s="68">
        <v>65052.98</v>
      </c>
      <c r="E62" s="68">
        <v>0</v>
      </c>
      <c r="F62" s="68">
        <v>2098.4900000000052</v>
      </c>
      <c r="G62" s="68">
        <v>0</v>
      </c>
      <c r="H62" s="68">
        <v>90234.780000000013</v>
      </c>
      <c r="I62" s="68">
        <v>0</v>
      </c>
      <c r="J62" s="68">
        <v>90234.780000000013</v>
      </c>
    </row>
    <row r="63" spans="1:10">
      <c r="A63" s="66" t="s">
        <v>507</v>
      </c>
      <c r="B63" s="66" t="s">
        <v>1130</v>
      </c>
      <c r="C63" s="68">
        <v>0</v>
      </c>
      <c r="D63" s="68">
        <v>1664797.71</v>
      </c>
      <c r="E63" s="68">
        <v>0</v>
      </c>
      <c r="F63" s="68">
        <v>46058.569999999832</v>
      </c>
      <c r="G63" s="68">
        <v>0</v>
      </c>
      <c r="H63" s="68">
        <v>2184161.1399999997</v>
      </c>
      <c r="I63" s="68">
        <v>0</v>
      </c>
      <c r="J63" s="68">
        <v>2184161.1399999997</v>
      </c>
    </row>
    <row r="64" spans="1:10">
      <c r="A64" s="66" t="s">
        <v>549</v>
      </c>
      <c r="B64" s="66" t="s">
        <v>1132</v>
      </c>
      <c r="C64" s="68">
        <v>0</v>
      </c>
      <c r="D64" s="68">
        <v>137887.54</v>
      </c>
      <c r="E64" s="68">
        <v>0</v>
      </c>
      <c r="F64" s="68">
        <v>8490.5299999999988</v>
      </c>
      <c r="G64" s="68">
        <v>0</v>
      </c>
      <c r="H64" s="68">
        <v>239773.84000000005</v>
      </c>
      <c r="I64" s="68">
        <v>0</v>
      </c>
      <c r="J64" s="68">
        <v>239773.84000000005</v>
      </c>
    </row>
    <row r="65" spans="1:10">
      <c r="A65" s="66" t="s">
        <v>578</v>
      </c>
      <c r="B65" s="66" t="s">
        <v>1134</v>
      </c>
      <c r="C65" s="68">
        <v>0</v>
      </c>
      <c r="D65" s="68">
        <v>558534.15</v>
      </c>
      <c r="E65" s="68">
        <v>0</v>
      </c>
      <c r="F65" s="68">
        <v>16364.170000000042</v>
      </c>
      <c r="G65" s="68">
        <v>451200</v>
      </c>
      <c r="H65" s="68">
        <v>690614.14000000048</v>
      </c>
      <c r="I65" s="68">
        <v>0</v>
      </c>
      <c r="J65" s="68">
        <v>239414.14000000048</v>
      </c>
    </row>
    <row r="66" spans="1:10">
      <c r="A66" s="66" t="s">
        <v>583</v>
      </c>
      <c r="B66" s="66" t="s">
        <v>1136</v>
      </c>
      <c r="C66" s="68">
        <v>0</v>
      </c>
      <c r="D66" s="68">
        <v>1131198.79</v>
      </c>
      <c r="E66" s="68">
        <v>0</v>
      </c>
      <c r="F66" s="68">
        <v>37200.830000000075</v>
      </c>
      <c r="G66" s="68">
        <v>0</v>
      </c>
      <c r="H66" s="68">
        <v>1577346.280000001</v>
      </c>
      <c r="I66" s="68">
        <v>0</v>
      </c>
      <c r="J66" s="68">
        <v>1577346.280000001</v>
      </c>
    </row>
    <row r="67" spans="1:10">
      <c r="A67" s="66" t="s">
        <v>624</v>
      </c>
      <c r="B67" s="66" t="s">
        <v>1138</v>
      </c>
      <c r="C67" s="68">
        <v>0</v>
      </c>
      <c r="D67" s="68">
        <v>268144.77</v>
      </c>
      <c r="E67" s="68">
        <v>0</v>
      </c>
      <c r="F67" s="68">
        <v>7816.4699999999721</v>
      </c>
      <c r="G67" s="68">
        <v>0</v>
      </c>
      <c r="H67" s="68">
        <v>361942.36999999988</v>
      </c>
      <c r="I67" s="68">
        <v>0</v>
      </c>
      <c r="J67" s="68">
        <v>361942.36999999988</v>
      </c>
    </row>
    <row r="68" spans="1:10">
      <c r="A68" s="66" t="s">
        <v>631</v>
      </c>
      <c r="B68" s="66" t="s">
        <v>1140</v>
      </c>
      <c r="C68" s="68">
        <v>0</v>
      </c>
      <c r="D68" s="68">
        <v>598055.13</v>
      </c>
      <c r="E68" s="68">
        <v>18920</v>
      </c>
      <c r="F68" s="68">
        <v>7765.6500000000233</v>
      </c>
      <c r="G68" s="68">
        <v>37908</v>
      </c>
      <c r="H68" s="68">
        <v>688493.08000000031</v>
      </c>
      <c r="I68" s="68">
        <v>0</v>
      </c>
      <c r="J68" s="68">
        <v>650585.08000000031</v>
      </c>
    </row>
    <row r="69" spans="1:10">
      <c r="A69" s="66" t="s">
        <v>660</v>
      </c>
      <c r="B69" s="66" t="s">
        <v>1128</v>
      </c>
      <c r="C69" s="68">
        <v>0</v>
      </c>
      <c r="D69" s="68">
        <v>4035649.64</v>
      </c>
      <c r="E69" s="68">
        <v>0</v>
      </c>
      <c r="F69" s="68">
        <v>67264.650000000373</v>
      </c>
      <c r="G69" s="68">
        <v>0</v>
      </c>
      <c r="H69" s="68">
        <v>4842825.66</v>
      </c>
      <c r="I69" s="68">
        <v>0</v>
      </c>
      <c r="J69" s="68">
        <v>4842825.66</v>
      </c>
    </row>
    <row r="70" spans="1:10">
      <c r="A70" s="66" t="s">
        <v>679</v>
      </c>
      <c r="B70" s="66" t="s">
        <v>1130</v>
      </c>
      <c r="C70" s="68">
        <v>0</v>
      </c>
      <c r="D70" s="68">
        <v>2126285.2999999998</v>
      </c>
      <c r="E70" s="68">
        <v>0</v>
      </c>
      <c r="F70" s="68">
        <v>19933.220000000205</v>
      </c>
      <c r="G70" s="68">
        <v>0</v>
      </c>
      <c r="H70" s="68">
        <v>2365484.1400000011</v>
      </c>
      <c r="I70" s="68">
        <v>0</v>
      </c>
      <c r="J70" s="68">
        <v>2365484.1400000011</v>
      </c>
    </row>
    <row r="71" spans="1:10">
      <c r="A71" s="66" t="s">
        <v>703</v>
      </c>
      <c r="B71" s="66" t="s">
        <v>1146</v>
      </c>
      <c r="C71" s="68">
        <v>0</v>
      </c>
      <c r="D71" s="68">
        <v>1223111.58</v>
      </c>
      <c r="E71" s="68">
        <v>0</v>
      </c>
      <c r="F71" s="68">
        <v>20386.350000000093</v>
      </c>
      <c r="G71" s="68">
        <v>0</v>
      </c>
      <c r="H71" s="68">
        <v>1467747.7800000012</v>
      </c>
      <c r="I71" s="68">
        <v>0</v>
      </c>
      <c r="J71" s="68">
        <v>1467747.7800000012</v>
      </c>
    </row>
    <row r="72" spans="1:10">
      <c r="A72" s="66" t="s">
        <v>706</v>
      </c>
      <c r="B72" s="66" t="s">
        <v>1132</v>
      </c>
      <c r="C72" s="68">
        <v>0</v>
      </c>
      <c r="D72" s="68">
        <v>46567.88</v>
      </c>
      <c r="E72" s="68">
        <v>0</v>
      </c>
      <c r="F72" s="68">
        <v>65.069999999999709</v>
      </c>
      <c r="G72" s="68">
        <v>0</v>
      </c>
      <c r="H72" s="68">
        <v>47348.76</v>
      </c>
      <c r="I72" s="68">
        <v>0</v>
      </c>
      <c r="J72" s="68">
        <v>47348.76</v>
      </c>
    </row>
    <row r="73" spans="1:10">
      <c r="A73" s="66" t="s">
        <v>1201</v>
      </c>
      <c r="B73" s="66" t="s">
        <v>1134</v>
      </c>
      <c r="C73" s="68">
        <v>0</v>
      </c>
      <c r="D73" s="68">
        <v>3111860</v>
      </c>
      <c r="E73" s="68">
        <v>0</v>
      </c>
      <c r="F73" s="68">
        <v>0</v>
      </c>
      <c r="G73" s="68">
        <v>0</v>
      </c>
      <c r="H73" s="68">
        <v>3111860</v>
      </c>
      <c r="I73" s="68">
        <v>0</v>
      </c>
      <c r="J73" s="68">
        <v>3111860</v>
      </c>
    </row>
    <row r="74" spans="1:10">
      <c r="A74" s="66" t="s">
        <v>709</v>
      </c>
      <c r="B74" s="66" t="s">
        <v>1136</v>
      </c>
      <c r="C74" s="68">
        <v>0</v>
      </c>
      <c r="D74" s="68">
        <v>23416137.699999999</v>
      </c>
      <c r="E74" s="68">
        <v>0</v>
      </c>
      <c r="F74" s="68">
        <v>232373.69000000134</v>
      </c>
      <c r="G74" s="68">
        <v>0</v>
      </c>
      <c r="H74" s="68">
        <v>26204622.040000007</v>
      </c>
      <c r="I74" s="68">
        <v>0</v>
      </c>
      <c r="J74" s="68">
        <v>26204622.040000007</v>
      </c>
    </row>
    <row r="75" spans="1:10">
      <c r="A75" s="66" t="s">
        <v>722</v>
      </c>
      <c r="B75" s="66" t="s">
        <v>1138</v>
      </c>
      <c r="C75" s="68">
        <v>0</v>
      </c>
      <c r="D75" s="68">
        <v>1840271.6</v>
      </c>
      <c r="E75" s="68">
        <v>0</v>
      </c>
      <c r="F75" s="68">
        <v>4844.9499999999534</v>
      </c>
      <c r="G75" s="68">
        <v>0</v>
      </c>
      <c r="H75" s="68">
        <v>1954175.6599999997</v>
      </c>
      <c r="I75" s="68">
        <v>0</v>
      </c>
      <c r="J75" s="68">
        <v>1954175.6599999997</v>
      </c>
    </row>
    <row r="76" spans="1:10">
      <c r="A76" s="66" t="s">
        <v>736</v>
      </c>
      <c r="B76" s="66" t="s">
        <v>1140</v>
      </c>
      <c r="C76" s="68">
        <v>0</v>
      </c>
      <c r="D76" s="68">
        <v>5215403.82</v>
      </c>
      <c r="E76" s="68">
        <v>0</v>
      </c>
      <c r="F76" s="68">
        <v>63555.929999999702</v>
      </c>
      <c r="G76" s="68">
        <v>0</v>
      </c>
      <c r="H76" s="68">
        <v>6089581.910000002</v>
      </c>
      <c r="I76" s="68">
        <v>0</v>
      </c>
      <c r="J76" s="68">
        <v>6089581.910000002</v>
      </c>
    </row>
    <row r="77" spans="1:10">
      <c r="A77" s="66" t="s">
        <v>745</v>
      </c>
      <c r="B77" s="66" t="s">
        <v>1136</v>
      </c>
      <c r="C77" s="68">
        <v>0</v>
      </c>
      <c r="D77" s="68">
        <v>43008.82</v>
      </c>
      <c r="E77" s="68">
        <v>0</v>
      </c>
      <c r="F77" s="68">
        <v>6144.1199999999953</v>
      </c>
      <c r="G77" s="68">
        <v>0</v>
      </c>
      <c r="H77" s="68">
        <v>116738.21999999999</v>
      </c>
      <c r="I77" s="68">
        <v>0</v>
      </c>
      <c r="J77" s="68">
        <v>116738.21999999999</v>
      </c>
    </row>
    <row r="78" spans="1:10">
      <c r="A78" s="66" t="s">
        <v>748</v>
      </c>
      <c r="B78" s="66" t="s">
        <v>1130</v>
      </c>
      <c r="C78" s="68">
        <v>0</v>
      </c>
      <c r="D78" s="68">
        <v>8809.4699999999993</v>
      </c>
      <c r="E78" s="68">
        <v>0</v>
      </c>
      <c r="F78" s="68">
        <v>642.08999999999833</v>
      </c>
      <c r="G78" s="68">
        <v>0</v>
      </c>
      <c r="H78" s="68">
        <v>16514.55</v>
      </c>
      <c r="I78" s="68">
        <v>0</v>
      </c>
      <c r="J78" s="68">
        <v>16514.55</v>
      </c>
    </row>
    <row r="79" spans="1:10">
      <c r="A79" s="66" t="s">
        <v>757</v>
      </c>
      <c r="B79" s="66" t="s">
        <v>1132</v>
      </c>
      <c r="C79" s="68">
        <v>0</v>
      </c>
      <c r="D79" s="68">
        <v>138609.91</v>
      </c>
      <c r="E79" s="68">
        <v>0</v>
      </c>
      <c r="F79" s="68">
        <v>2261.7200000000012</v>
      </c>
      <c r="G79" s="68">
        <v>0</v>
      </c>
      <c r="H79" s="68">
        <v>164554.81000000006</v>
      </c>
      <c r="I79" s="68">
        <v>0</v>
      </c>
      <c r="J79" s="68">
        <v>164554.81000000006</v>
      </c>
    </row>
    <row r="80" spans="1:10">
      <c r="A80" s="66" t="s">
        <v>780</v>
      </c>
      <c r="B80" s="66" t="s">
        <v>1136</v>
      </c>
      <c r="C80" s="68">
        <v>0</v>
      </c>
      <c r="D80" s="68">
        <v>56117.3</v>
      </c>
      <c r="E80" s="68">
        <v>0</v>
      </c>
      <c r="F80" s="68">
        <v>1447.9700000000012</v>
      </c>
      <c r="G80" s="68">
        <v>0</v>
      </c>
      <c r="H80" s="68">
        <v>72638.399999999994</v>
      </c>
      <c r="I80" s="68">
        <v>0</v>
      </c>
      <c r="J80" s="68">
        <v>72638.399999999994</v>
      </c>
    </row>
    <row r="81" spans="1:10">
      <c r="A81" s="66" t="s">
        <v>799</v>
      </c>
      <c r="B81" s="66" t="s">
        <v>1138</v>
      </c>
      <c r="C81" s="68">
        <v>0</v>
      </c>
      <c r="D81" s="68">
        <v>7504473.8300000001</v>
      </c>
      <c r="E81" s="68">
        <v>0</v>
      </c>
      <c r="F81" s="68">
        <v>8528.8300000000745</v>
      </c>
      <c r="G81" s="68">
        <v>0</v>
      </c>
      <c r="H81" s="68">
        <v>7619537.7800000012</v>
      </c>
      <c r="I81" s="68">
        <v>0</v>
      </c>
      <c r="J81" s="68">
        <v>7619537.7800000012</v>
      </c>
    </row>
    <row r="82" spans="1:10">
      <c r="A82" s="66" t="s">
        <v>808</v>
      </c>
      <c r="B82" s="66" t="s">
        <v>1140</v>
      </c>
      <c r="C82" s="68">
        <v>0</v>
      </c>
      <c r="D82" s="68">
        <v>5121887.21</v>
      </c>
      <c r="E82" s="68">
        <v>56990</v>
      </c>
      <c r="F82" s="68">
        <v>48126.370000000112</v>
      </c>
      <c r="G82" s="68">
        <v>218128</v>
      </c>
      <c r="H82" s="68">
        <v>5605594.3200000003</v>
      </c>
      <c r="I82" s="68">
        <v>0</v>
      </c>
      <c r="J82" s="68">
        <v>5387466.3200000003</v>
      </c>
    </row>
    <row r="83" spans="1:10">
      <c r="A83" s="66" t="s">
        <v>871</v>
      </c>
      <c r="B83" s="66" t="s">
        <v>1138</v>
      </c>
      <c r="C83" s="68">
        <v>0</v>
      </c>
      <c r="D83" s="68">
        <v>173731.68</v>
      </c>
      <c r="E83" s="68">
        <v>0</v>
      </c>
      <c r="F83" s="68">
        <v>37787.510000000009</v>
      </c>
      <c r="G83" s="68">
        <v>0</v>
      </c>
      <c r="H83" s="68">
        <v>616173.3899999999</v>
      </c>
      <c r="I83" s="68">
        <v>0</v>
      </c>
      <c r="J83" s="68">
        <v>616173.3899999999</v>
      </c>
    </row>
    <row r="84" spans="1:10">
      <c r="A84" s="66" t="s">
        <v>878</v>
      </c>
      <c r="B84" s="66" t="s">
        <v>1128</v>
      </c>
      <c r="C84" s="68">
        <v>0</v>
      </c>
      <c r="D84" s="68">
        <v>361490.21</v>
      </c>
      <c r="E84" s="68">
        <v>0</v>
      </c>
      <c r="F84" s="68">
        <v>1809.109999999986</v>
      </c>
      <c r="G84" s="68">
        <v>0</v>
      </c>
      <c r="H84" s="68">
        <v>383199.49999999983</v>
      </c>
      <c r="I84" s="68">
        <v>0</v>
      </c>
      <c r="J84" s="68">
        <v>383199.49999999983</v>
      </c>
    </row>
    <row r="85" spans="1:10">
      <c r="A85" s="66" t="s">
        <v>885</v>
      </c>
      <c r="B85" s="66" t="s">
        <v>1130</v>
      </c>
      <c r="C85" s="68">
        <v>0</v>
      </c>
      <c r="D85" s="68">
        <v>5278981.8</v>
      </c>
      <c r="E85" s="68">
        <v>1477.5</v>
      </c>
      <c r="F85" s="68">
        <v>28354.900000000373</v>
      </c>
      <c r="G85" s="68">
        <v>1477.5</v>
      </c>
      <c r="H85" s="68">
        <v>5619348.0700000022</v>
      </c>
      <c r="I85" s="68">
        <v>0</v>
      </c>
      <c r="J85" s="68">
        <v>5617870.5700000022</v>
      </c>
    </row>
    <row r="86" spans="1:10">
      <c r="A86" s="66" t="s">
        <v>908</v>
      </c>
      <c r="B86" s="66" t="s">
        <v>1132</v>
      </c>
      <c r="C86" s="68">
        <v>0</v>
      </c>
      <c r="D86" s="68">
        <v>535737.21</v>
      </c>
      <c r="E86" s="68">
        <v>0</v>
      </c>
      <c r="F86" s="68">
        <v>420.70999999996275</v>
      </c>
      <c r="G86" s="68">
        <v>0</v>
      </c>
      <c r="H86" s="68">
        <v>540785.60999999987</v>
      </c>
      <c r="I86" s="68">
        <v>0</v>
      </c>
      <c r="J86" s="68">
        <v>540785.60999999987</v>
      </c>
    </row>
    <row r="87" spans="1:10">
      <c r="A87" s="66" t="s">
        <v>920</v>
      </c>
      <c r="B87" s="66" t="s">
        <v>1134</v>
      </c>
      <c r="C87" s="68">
        <v>0</v>
      </c>
      <c r="D87" s="68">
        <v>429278.44</v>
      </c>
      <c r="E87" s="68">
        <v>0</v>
      </c>
      <c r="F87" s="68">
        <v>4838.3300000000163</v>
      </c>
      <c r="G87" s="68">
        <v>0</v>
      </c>
      <c r="H87" s="68">
        <v>487338.44000000024</v>
      </c>
      <c r="I87" s="68">
        <v>0</v>
      </c>
      <c r="J87" s="68">
        <v>487338.44000000024</v>
      </c>
    </row>
    <row r="88" spans="1:10">
      <c r="A88" s="66" t="s">
        <v>925</v>
      </c>
      <c r="B88" s="66" t="s">
        <v>1136</v>
      </c>
      <c r="C88" s="68">
        <v>0</v>
      </c>
      <c r="D88" s="68">
        <v>887756.80000000005</v>
      </c>
      <c r="E88" s="68">
        <v>0</v>
      </c>
      <c r="F88" s="68">
        <v>907.73999999999069</v>
      </c>
      <c r="G88" s="68">
        <v>0</v>
      </c>
      <c r="H88" s="68">
        <v>898649.6399999999</v>
      </c>
      <c r="I88" s="68">
        <v>0</v>
      </c>
      <c r="J88" s="68">
        <v>898649.6399999999</v>
      </c>
    </row>
    <row r="89" spans="1:10">
      <c r="A89" s="66" t="s">
        <v>1202</v>
      </c>
      <c r="B89" s="66" t="s">
        <v>1140</v>
      </c>
      <c r="C89" s="68">
        <v>0</v>
      </c>
      <c r="D89" s="68">
        <v>166616.54999999999</v>
      </c>
      <c r="E89" s="68">
        <v>2520</v>
      </c>
      <c r="F89" s="68">
        <v>0</v>
      </c>
      <c r="G89" s="68">
        <v>2520</v>
      </c>
      <c r="H89" s="68">
        <v>166616.54999999999</v>
      </c>
      <c r="I89" s="68">
        <v>0</v>
      </c>
      <c r="J89" s="68">
        <v>164096.54999999999</v>
      </c>
    </row>
    <row r="90" spans="1:10">
      <c r="A90" s="66" t="s">
        <v>932</v>
      </c>
      <c r="B90" s="66" t="s">
        <v>1134</v>
      </c>
      <c r="C90" s="68">
        <v>0</v>
      </c>
      <c r="D90" s="68">
        <v>102716</v>
      </c>
      <c r="E90" s="68">
        <v>0</v>
      </c>
      <c r="F90" s="68">
        <v>17119.330000000016</v>
      </c>
      <c r="G90" s="68">
        <v>0</v>
      </c>
      <c r="H90" s="68">
        <v>308148.00000000006</v>
      </c>
      <c r="I90" s="68">
        <v>0</v>
      </c>
      <c r="J90" s="68">
        <v>308148.00000000006</v>
      </c>
    </row>
    <row r="91" spans="1:10">
      <c r="A91" s="66" t="s">
        <v>935</v>
      </c>
      <c r="B91" s="66" t="s">
        <v>1128</v>
      </c>
      <c r="C91" s="68">
        <v>0</v>
      </c>
      <c r="D91" s="68">
        <v>15390</v>
      </c>
      <c r="E91" s="68">
        <v>0</v>
      </c>
      <c r="F91" s="68">
        <v>114</v>
      </c>
      <c r="G91" s="68">
        <v>0</v>
      </c>
      <c r="H91" s="68">
        <v>16758</v>
      </c>
      <c r="I91" s="68">
        <v>0</v>
      </c>
      <c r="J91" s="68">
        <v>16758</v>
      </c>
    </row>
    <row r="92" spans="1:10">
      <c r="A92" s="66" t="s">
        <v>1203</v>
      </c>
      <c r="B92" s="66" t="s">
        <v>1132</v>
      </c>
      <c r="C92" s="68">
        <v>0</v>
      </c>
      <c r="D92" s="68">
        <v>2197.81</v>
      </c>
      <c r="E92" s="68">
        <v>0</v>
      </c>
      <c r="F92" s="68">
        <v>0</v>
      </c>
      <c r="G92" s="68">
        <v>0</v>
      </c>
      <c r="H92" s="68">
        <v>2197.81</v>
      </c>
      <c r="I92" s="68">
        <v>0</v>
      </c>
      <c r="J92" s="68">
        <v>2197.81</v>
      </c>
    </row>
    <row r="93" spans="1:10">
      <c r="A93" s="66" t="s">
        <v>1204</v>
      </c>
      <c r="B93" s="66" t="s">
        <v>1140</v>
      </c>
      <c r="C93" s="68">
        <v>0</v>
      </c>
      <c r="D93" s="68">
        <v>59533.49</v>
      </c>
      <c r="E93" s="68">
        <v>0</v>
      </c>
      <c r="F93" s="68">
        <v>0</v>
      </c>
      <c r="G93" s="68">
        <v>0</v>
      </c>
      <c r="H93" s="68">
        <v>59533.49</v>
      </c>
      <c r="I93" s="68">
        <v>0</v>
      </c>
      <c r="J93" s="68">
        <v>59533.49</v>
      </c>
    </row>
    <row r="94" spans="1:10">
      <c r="A94" s="66" t="s">
        <v>938</v>
      </c>
      <c r="B94" s="66" t="s">
        <v>1130</v>
      </c>
      <c r="C94" s="68">
        <v>0</v>
      </c>
      <c r="D94" s="68">
        <v>971588.99</v>
      </c>
      <c r="E94" s="68">
        <v>0</v>
      </c>
      <c r="F94" s="68">
        <v>7078.7300000000978</v>
      </c>
      <c r="G94" s="68">
        <v>0</v>
      </c>
      <c r="H94" s="68">
        <v>1055059.94</v>
      </c>
      <c r="I94" s="68">
        <v>0</v>
      </c>
      <c r="J94" s="68">
        <v>1055059.94</v>
      </c>
    </row>
    <row r="95" spans="1:10">
      <c r="A95" s="66" t="s">
        <v>947</v>
      </c>
      <c r="B95" s="66" t="s">
        <v>1146</v>
      </c>
      <c r="C95" s="68">
        <v>0</v>
      </c>
      <c r="D95" s="68">
        <v>1196252.67</v>
      </c>
      <c r="E95" s="68">
        <v>0</v>
      </c>
      <c r="F95" s="68">
        <v>7870.0800000000745</v>
      </c>
      <c r="G95" s="68">
        <v>0</v>
      </c>
      <c r="H95" s="68">
        <v>1290693.6700000009</v>
      </c>
      <c r="I95" s="68">
        <v>0</v>
      </c>
      <c r="J95" s="68">
        <v>1290693.6700000009</v>
      </c>
    </row>
    <row r="96" spans="1:10">
      <c r="A96" s="66" t="s">
        <v>950</v>
      </c>
      <c r="B96" s="66" t="s">
        <v>1132</v>
      </c>
      <c r="C96" s="68">
        <v>0</v>
      </c>
      <c r="D96" s="68">
        <v>239510.37</v>
      </c>
      <c r="E96" s="68">
        <v>0</v>
      </c>
      <c r="F96" s="68">
        <v>999.66000000000349</v>
      </c>
      <c r="G96" s="68">
        <v>0</v>
      </c>
      <c r="H96" s="68">
        <v>251253.83999999991</v>
      </c>
      <c r="I96" s="68">
        <v>0</v>
      </c>
      <c r="J96" s="68">
        <v>251253.83999999991</v>
      </c>
    </row>
    <row r="97" spans="1:10">
      <c r="A97" s="66" t="s">
        <v>1205</v>
      </c>
      <c r="B97" s="66" t="s">
        <v>1136</v>
      </c>
      <c r="C97" s="68">
        <v>0</v>
      </c>
      <c r="D97" s="68">
        <v>1610.96</v>
      </c>
      <c r="E97" s="68">
        <v>0</v>
      </c>
      <c r="F97" s="68">
        <v>0</v>
      </c>
      <c r="G97" s="68">
        <v>0</v>
      </c>
      <c r="H97" s="68">
        <v>1610.96</v>
      </c>
      <c r="I97" s="68">
        <v>0</v>
      </c>
      <c r="J97" s="68">
        <v>1610.96</v>
      </c>
    </row>
    <row r="98" spans="1:10">
      <c r="A98" s="66" t="s">
        <v>1206</v>
      </c>
      <c r="B98" s="66" t="s">
        <v>1138</v>
      </c>
      <c r="C98" s="68">
        <v>0</v>
      </c>
      <c r="D98" s="68">
        <v>1218.23</v>
      </c>
      <c r="E98" s="68">
        <v>0</v>
      </c>
      <c r="F98" s="68">
        <v>0</v>
      </c>
      <c r="G98" s="68">
        <v>0</v>
      </c>
      <c r="H98" s="68">
        <v>1218.23</v>
      </c>
      <c r="I98" s="68">
        <v>0</v>
      </c>
      <c r="J98" s="68">
        <v>1218.23</v>
      </c>
    </row>
    <row r="99" spans="1:10">
      <c r="A99" s="66" t="s">
        <v>981</v>
      </c>
      <c r="B99" s="66" t="s">
        <v>1140</v>
      </c>
      <c r="C99" s="68">
        <v>0</v>
      </c>
      <c r="D99" s="68">
        <v>402681.25</v>
      </c>
      <c r="E99" s="68">
        <v>0</v>
      </c>
      <c r="F99" s="68">
        <v>297.25</v>
      </c>
      <c r="G99" s="68">
        <v>330</v>
      </c>
      <c r="H99" s="68">
        <v>406248.25</v>
      </c>
      <c r="I99" s="68">
        <v>0</v>
      </c>
      <c r="J99" s="68">
        <v>405918.25</v>
      </c>
    </row>
    <row r="100" spans="1:10">
      <c r="A100" s="66" t="s">
        <v>988</v>
      </c>
      <c r="B100" s="66" t="s">
        <v>1138</v>
      </c>
      <c r="C100" s="68">
        <v>0</v>
      </c>
      <c r="D100" s="68">
        <v>68091.55</v>
      </c>
      <c r="E100" s="68">
        <v>0</v>
      </c>
      <c r="F100" s="68">
        <v>2618.9100000000035</v>
      </c>
      <c r="G100" s="68">
        <v>0</v>
      </c>
      <c r="H100" s="68">
        <v>99518.42</v>
      </c>
      <c r="I100" s="68">
        <v>0</v>
      </c>
      <c r="J100" s="68">
        <v>99518.42</v>
      </c>
    </row>
    <row r="101" spans="1:10">
      <c r="A101" s="66" t="s">
        <v>1207</v>
      </c>
      <c r="B101" s="66" t="s">
        <v>1208</v>
      </c>
      <c r="C101" s="68">
        <v>0</v>
      </c>
      <c r="D101" s="68">
        <v>0</v>
      </c>
      <c r="E101" s="68">
        <v>0</v>
      </c>
      <c r="F101" s="68">
        <v>49247.780000000006</v>
      </c>
      <c r="G101" s="68">
        <v>0</v>
      </c>
      <c r="H101" s="68">
        <v>49247.780000000006</v>
      </c>
      <c r="I101" s="68">
        <v>0</v>
      </c>
      <c r="J101" s="68">
        <v>49247.780000000006</v>
      </c>
    </row>
    <row r="102" spans="1:10">
      <c r="A102" s="66" t="s">
        <v>991</v>
      </c>
      <c r="B102" s="66" t="s">
        <v>1128</v>
      </c>
      <c r="C102" s="68">
        <v>0</v>
      </c>
      <c r="D102" s="68">
        <v>0</v>
      </c>
      <c r="E102" s="68">
        <v>0</v>
      </c>
      <c r="F102" s="68">
        <v>3333.5800000000004</v>
      </c>
      <c r="G102" s="68">
        <v>0</v>
      </c>
      <c r="H102" s="68">
        <v>3333.5800000000004</v>
      </c>
      <c r="I102" s="68">
        <v>0</v>
      </c>
      <c r="J102" s="68">
        <v>3333.5800000000004</v>
      </c>
    </row>
    <row r="103" spans="1:10">
      <c r="A103" s="66" t="s">
        <v>994</v>
      </c>
      <c r="B103" s="66" t="s">
        <v>1181</v>
      </c>
      <c r="C103" s="68">
        <v>0</v>
      </c>
      <c r="D103" s="68">
        <v>0</v>
      </c>
      <c r="E103" s="68">
        <v>0</v>
      </c>
      <c r="F103" s="68">
        <v>1310.55</v>
      </c>
      <c r="G103" s="68">
        <v>0</v>
      </c>
      <c r="H103" s="68">
        <v>1310.55</v>
      </c>
      <c r="I103" s="68">
        <v>0</v>
      </c>
      <c r="J103" s="68">
        <v>1310.55</v>
      </c>
    </row>
    <row r="104" spans="1:10">
      <c r="A104" s="66" t="s">
        <v>999</v>
      </c>
      <c r="B104" s="66" t="s">
        <v>1132</v>
      </c>
      <c r="C104" s="68">
        <v>0</v>
      </c>
      <c r="D104" s="68">
        <v>0</v>
      </c>
      <c r="E104" s="68">
        <v>0</v>
      </c>
      <c r="F104" s="68">
        <v>10052.720000000001</v>
      </c>
      <c r="G104" s="68">
        <v>0</v>
      </c>
      <c r="H104" s="68">
        <v>10052.720000000001</v>
      </c>
      <c r="I104" s="68">
        <v>0</v>
      </c>
      <c r="J104" s="68">
        <v>10052.720000000001</v>
      </c>
    </row>
    <row r="105" spans="1:10">
      <c r="A105" s="66" t="s">
        <v>1004</v>
      </c>
      <c r="B105" s="66" t="s">
        <v>1134</v>
      </c>
      <c r="C105" s="68">
        <v>0</v>
      </c>
      <c r="D105" s="68">
        <v>0</v>
      </c>
      <c r="E105" s="68">
        <v>0</v>
      </c>
      <c r="F105" s="68">
        <v>34550.93</v>
      </c>
      <c r="G105" s="68">
        <v>0</v>
      </c>
      <c r="H105" s="68">
        <v>34550.93</v>
      </c>
      <c r="I105" s="68">
        <v>0</v>
      </c>
      <c r="J105" s="68">
        <v>34550.93</v>
      </c>
    </row>
    <row r="106" spans="1:10">
      <c r="A106" s="66" t="s">
        <v>1209</v>
      </c>
      <c r="B106" s="66" t="s">
        <v>1210</v>
      </c>
      <c r="C106" s="68">
        <v>0</v>
      </c>
      <c r="D106" s="68">
        <v>264001.43</v>
      </c>
      <c r="E106" s="68">
        <v>1270.72</v>
      </c>
      <c r="F106" s="68">
        <v>1976.2999999999884</v>
      </c>
      <c r="G106" s="68">
        <v>1270.72</v>
      </c>
      <c r="H106" s="68">
        <v>287717.10999999993</v>
      </c>
      <c r="I106" s="68">
        <v>0</v>
      </c>
      <c r="J106" s="68">
        <v>286446.38999999996</v>
      </c>
    </row>
    <row r="107" spans="1:10">
      <c r="A107" s="66" t="s">
        <v>1009</v>
      </c>
      <c r="B107" s="66" t="s">
        <v>1188</v>
      </c>
      <c r="C107" s="68">
        <v>0</v>
      </c>
      <c r="D107" s="68">
        <v>18494.150000000001</v>
      </c>
      <c r="E107" s="68">
        <v>0</v>
      </c>
      <c r="F107" s="68">
        <v>280.47000000000116</v>
      </c>
      <c r="G107" s="68">
        <v>0</v>
      </c>
      <c r="H107" s="68">
        <v>21859.830000000009</v>
      </c>
      <c r="I107" s="68">
        <v>0</v>
      </c>
      <c r="J107" s="68">
        <v>21859.830000000009</v>
      </c>
    </row>
    <row r="108" spans="1:10">
      <c r="A108" s="66" t="s">
        <v>1211</v>
      </c>
      <c r="B108" s="66" t="s">
        <v>1188</v>
      </c>
      <c r="C108" s="68">
        <v>0</v>
      </c>
      <c r="D108" s="68">
        <v>11917.59</v>
      </c>
      <c r="E108" s="68">
        <v>0</v>
      </c>
      <c r="F108" s="68">
        <v>0</v>
      </c>
      <c r="G108" s="68">
        <v>0</v>
      </c>
      <c r="H108" s="68">
        <v>11917.59</v>
      </c>
      <c r="I108" s="68">
        <v>0</v>
      </c>
      <c r="J108" s="68">
        <v>11917.59</v>
      </c>
    </row>
    <row r="109" spans="1:10">
      <c r="A109" s="66" t="s">
        <v>1212</v>
      </c>
      <c r="B109" s="66" t="s">
        <v>1188</v>
      </c>
      <c r="C109" s="68">
        <v>0</v>
      </c>
      <c r="D109" s="68">
        <v>71752.429999999993</v>
      </c>
      <c r="E109" s="68">
        <v>0</v>
      </c>
      <c r="F109" s="68">
        <v>0</v>
      </c>
      <c r="G109" s="68">
        <v>0</v>
      </c>
      <c r="H109" s="68">
        <v>71752.429999999993</v>
      </c>
      <c r="I109" s="68">
        <v>0</v>
      </c>
      <c r="J109" s="68">
        <v>71752.429999999993</v>
      </c>
    </row>
    <row r="110" spans="1:10">
      <c r="A110" s="66" t="s">
        <v>1213</v>
      </c>
      <c r="B110" s="66" t="s">
        <v>1188</v>
      </c>
      <c r="C110" s="68">
        <v>0</v>
      </c>
      <c r="D110" s="68">
        <v>63113.5</v>
      </c>
      <c r="E110" s="68">
        <v>1270.72</v>
      </c>
      <c r="F110" s="68">
        <v>0</v>
      </c>
      <c r="G110" s="68">
        <v>1270.72</v>
      </c>
      <c r="H110" s="68">
        <v>63113.5</v>
      </c>
      <c r="I110" s="68">
        <v>0</v>
      </c>
      <c r="J110" s="68">
        <v>61842.78</v>
      </c>
    </row>
    <row r="111" spans="1:10">
      <c r="A111" s="66" t="s">
        <v>1214</v>
      </c>
      <c r="B111" s="66" t="s">
        <v>1188</v>
      </c>
      <c r="C111" s="68">
        <v>0</v>
      </c>
      <c r="D111" s="68">
        <v>580</v>
      </c>
      <c r="E111" s="68">
        <v>0</v>
      </c>
      <c r="F111" s="68">
        <v>0</v>
      </c>
      <c r="G111" s="68">
        <v>0</v>
      </c>
      <c r="H111" s="68">
        <v>580</v>
      </c>
      <c r="I111" s="68">
        <v>0</v>
      </c>
      <c r="J111" s="68">
        <v>580</v>
      </c>
    </row>
    <row r="112" spans="1:10">
      <c r="A112" s="66" t="s">
        <v>1012</v>
      </c>
      <c r="B112" s="66" t="s">
        <v>1188</v>
      </c>
      <c r="C112" s="68">
        <v>0</v>
      </c>
      <c r="D112" s="68">
        <v>98143.76</v>
      </c>
      <c r="E112" s="68">
        <v>0</v>
      </c>
      <c r="F112" s="68">
        <v>1695.8300000000017</v>
      </c>
      <c r="G112" s="68">
        <v>0</v>
      </c>
      <c r="H112" s="68">
        <v>118493.75999999999</v>
      </c>
      <c r="I112" s="68">
        <v>0</v>
      </c>
      <c r="J112" s="68">
        <v>118493.75999999999</v>
      </c>
    </row>
    <row r="113" spans="1:10">
      <c r="A113" s="66" t="s">
        <v>1215</v>
      </c>
      <c r="B113" s="66" t="s">
        <v>1216</v>
      </c>
      <c r="C113" s="68">
        <v>1760716.9100000001</v>
      </c>
      <c r="D113" s="68">
        <v>0</v>
      </c>
      <c r="E113" s="68">
        <v>246328.4700000002</v>
      </c>
      <c r="F113" s="68">
        <v>153273.87000000011</v>
      </c>
      <c r="G113" s="68">
        <v>3314024.04</v>
      </c>
      <c r="H113" s="68">
        <v>2412843.2400000002</v>
      </c>
      <c r="I113" s="68">
        <v>901180.79999999981</v>
      </c>
      <c r="J113" s="68">
        <v>0</v>
      </c>
    </row>
    <row r="114" spans="1:10">
      <c r="A114" s="66" t="s">
        <v>1217</v>
      </c>
      <c r="B114" s="66" t="s">
        <v>1218</v>
      </c>
      <c r="C114" s="68">
        <v>0</v>
      </c>
      <c r="D114" s="68">
        <v>0</v>
      </c>
      <c r="E114" s="68">
        <v>117959.03999999998</v>
      </c>
      <c r="F114" s="68">
        <v>153273.87</v>
      </c>
      <c r="G114" s="68">
        <v>276427.86</v>
      </c>
      <c r="H114" s="68">
        <v>153273.87</v>
      </c>
      <c r="I114" s="68">
        <v>123153.98999999999</v>
      </c>
      <c r="J114" s="68">
        <v>0</v>
      </c>
    </row>
    <row r="115" spans="1:10">
      <c r="A115" s="66" t="s">
        <v>1219</v>
      </c>
      <c r="B115" s="66" t="s">
        <v>1220</v>
      </c>
      <c r="C115" s="68">
        <v>0</v>
      </c>
      <c r="D115" s="68">
        <v>0</v>
      </c>
      <c r="E115" s="68">
        <v>-1632.119999999999</v>
      </c>
      <c r="F115" s="68">
        <v>0</v>
      </c>
      <c r="G115" s="68">
        <v>13246.359999999997</v>
      </c>
      <c r="H115" s="68">
        <v>13246.36</v>
      </c>
      <c r="I115" s="68">
        <v>0</v>
      </c>
      <c r="J115" s="68">
        <v>3.637978807091713E-12</v>
      </c>
    </row>
    <row r="116" spans="1:10">
      <c r="A116" s="66" t="s">
        <v>1221</v>
      </c>
      <c r="B116" s="66" t="s">
        <v>1222</v>
      </c>
      <c r="C116" s="68">
        <v>192868.32</v>
      </c>
      <c r="D116" s="68">
        <v>0</v>
      </c>
      <c r="E116" s="68">
        <v>101929.01000000001</v>
      </c>
      <c r="F116" s="68">
        <v>0</v>
      </c>
      <c r="G116" s="68">
        <v>325035.63</v>
      </c>
      <c r="H116" s="68">
        <v>0</v>
      </c>
      <c r="I116" s="68">
        <v>325035.63</v>
      </c>
      <c r="J116" s="68">
        <v>0</v>
      </c>
    </row>
    <row r="117" spans="1:10">
      <c r="A117" s="66" t="s">
        <v>1223</v>
      </c>
      <c r="B117" s="66" t="s">
        <v>1224</v>
      </c>
      <c r="C117" s="68">
        <v>129702.31</v>
      </c>
      <c r="D117" s="68">
        <v>0</v>
      </c>
      <c r="E117" s="68">
        <v>0</v>
      </c>
      <c r="F117" s="68">
        <v>0</v>
      </c>
      <c r="G117" s="68">
        <v>129702.31</v>
      </c>
      <c r="H117" s="68">
        <v>0</v>
      </c>
      <c r="I117" s="68">
        <v>129702.31</v>
      </c>
      <c r="J117" s="68">
        <v>0</v>
      </c>
    </row>
    <row r="118" spans="1:10">
      <c r="A118" s="66" t="s">
        <v>1225</v>
      </c>
      <c r="B118" s="66" t="s">
        <v>1226</v>
      </c>
      <c r="C118" s="68">
        <v>1305554.9099999999</v>
      </c>
      <c r="D118" s="68">
        <v>0</v>
      </c>
      <c r="E118" s="68">
        <v>0</v>
      </c>
      <c r="F118" s="68">
        <v>0</v>
      </c>
      <c r="G118" s="68">
        <v>2116213.0099999998</v>
      </c>
      <c r="H118" s="68">
        <v>2116213.0099999998</v>
      </c>
      <c r="I118" s="68">
        <v>0</v>
      </c>
      <c r="J118" s="68">
        <v>0</v>
      </c>
    </row>
    <row r="119" spans="1:10">
      <c r="A119" s="66" t="s">
        <v>1227</v>
      </c>
      <c r="B119" s="66" t="s">
        <v>1228</v>
      </c>
      <c r="C119" s="68">
        <v>9000</v>
      </c>
      <c r="D119" s="68">
        <v>0</v>
      </c>
      <c r="E119" s="68">
        <v>0</v>
      </c>
      <c r="F119" s="68">
        <v>0</v>
      </c>
      <c r="G119" s="68">
        <v>9000</v>
      </c>
      <c r="H119" s="68">
        <v>0</v>
      </c>
      <c r="I119" s="68">
        <v>9000</v>
      </c>
      <c r="J119" s="68">
        <v>0</v>
      </c>
    </row>
    <row r="120" spans="1:10">
      <c r="A120" s="66" t="s">
        <v>1229</v>
      </c>
      <c r="B120" s="66" t="s">
        <v>1230</v>
      </c>
      <c r="C120" s="68">
        <v>56058.26</v>
      </c>
      <c r="D120" s="68">
        <v>0</v>
      </c>
      <c r="E120" s="68">
        <v>0</v>
      </c>
      <c r="F120" s="68">
        <v>0</v>
      </c>
      <c r="G120" s="68">
        <v>63674.820000000007</v>
      </c>
      <c r="H120" s="68">
        <v>0</v>
      </c>
      <c r="I120" s="68">
        <v>63674.820000000007</v>
      </c>
      <c r="J120" s="68">
        <v>0</v>
      </c>
    </row>
    <row r="121" spans="1:10">
      <c r="A121" s="66" t="s">
        <v>1231</v>
      </c>
      <c r="B121" s="66" t="s">
        <v>1232</v>
      </c>
      <c r="C121" s="68">
        <v>0</v>
      </c>
      <c r="D121" s="68">
        <v>0</v>
      </c>
      <c r="E121" s="68">
        <v>23808.299999999996</v>
      </c>
      <c r="F121" s="68">
        <v>0</v>
      </c>
      <c r="G121" s="68">
        <v>33611.979999999996</v>
      </c>
      <c r="H121" s="68">
        <v>0</v>
      </c>
      <c r="I121" s="68">
        <v>33611.979999999996</v>
      </c>
      <c r="J121" s="68">
        <v>0</v>
      </c>
    </row>
    <row r="122" spans="1:10">
      <c r="A122" s="66" t="s">
        <v>1233</v>
      </c>
      <c r="B122" s="66" t="s">
        <v>904</v>
      </c>
      <c r="C122" s="68">
        <v>0</v>
      </c>
      <c r="D122" s="68">
        <v>0</v>
      </c>
      <c r="E122" s="68">
        <v>4264.2400000000052</v>
      </c>
      <c r="F122" s="68">
        <v>0</v>
      </c>
      <c r="G122" s="68">
        <v>67168.960000000006</v>
      </c>
      <c r="H122" s="68">
        <v>0</v>
      </c>
      <c r="I122" s="68">
        <v>67168.960000000006</v>
      </c>
      <c r="J122" s="68">
        <v>0</v>
      </c>
    </row>
    <row r="123" spans="1:10">
      <c r="A123" s="66" t="s">
        <v>1234</v>
      </c>
      <c r="B123" s="66" t="s">
        <v>1235</v>
      </c>
      <c r="C123" s="68">
        <v>57452.31</v>
      </c>
      <c r="D123" s="68">
        <v>0</v>
      </c>
      <c r="E123" s="68">
        <v>0</v>
      </c>
      <c r="F123" s="68">
        <v>0</v>
      </c>
      <c r="G123" s="68">
        <v>57452.31</v>
      </c>
      <c r="H123" s="68">
        <v>0</v>
      </c>
      <c r="I123" s="68">
        <v>57452.31</v>
      </c>
      <c r="J123" s="68">
        <v>0</v>
      </c>
    </row>
    <row r="124" spans="1:10">
      <c r="A124" s="66" t="s">
        <v>1236</v>
      </c>
      <c r="B124" s="66" t="s">
        <v>1237</v>
      </c>
      <c r="C124" s="68">
        <v>5200</v>
      </c>
      <c r="D124" s="68">
        <v>0</v>
      </c>
      <c r="E124" s="68">
        <v>0</v>
      </c>
      <c r="F124" s="68">
        <v>0</v>
      </c>
      <c r="G124" s="68">
        <v>87500</v>
      </c>
      <c r="H124" s="68">
        <v>0</v>
      </c>
      <c r="I124" s="68">
        <v>87500</v>
      </c>
      <c r="J124" s="68">
        <v>0</v>
      </c>
    </row>
    <row r="125" spans="1:10">
      <c r="A125" s="66" t="s">
        <v>1238</v>
      </c>
      <c r="B125" s="66" t="s">
        <v>1239</v>
      </c>
      <c r="C125" s="68">
        <v>0</v>
      </c>
      <c r="D125" s="68">
        <v>0</v>
      </c>
      <c r="E125" s="68">
        <v>0</v>
      </c>
      <c r="F125" s="68">
        <v>0</v>
      </c>
      <c r="G125" s="68">
        <v>130110</v>
      </c>
      <c r="H125" s="68">
        <v>130110</v>
      </c>
      <c r="I125" s="68">
        <v>0</v>
      </c>
      <c r="J125" s="68">
        <v>0</v>
      </c>
    </row>
    <row r="126" spans="1:10">
      <c r="A126" s="66" t="s">
        <v>1240</v>
      </c>
      <c r="B126" s="66" t="s">
        <v>1241</v>
      </c>
      <c r="C126" s="68">
        <v>4880.8</v>
      </c>
      <c r="D126" s="68">
        <v>0</v>
      </c>
      <c r="E126" s="68">
        <v>0</v>
      </c>
      <c r="F126" s="68">
        <v>0</v>
      </c>
      <c r="G126" s="68">
        <v>4880.8</v>
      </c>
      <c r="H126" s="68">
        <v>0</v>
      </c>
      <c r="I126" s="68">
        <v>4880.8</v>
      </c>
      <c r="J126" s="68">
        <v>0</v>
      </c>
    </row>
    <row r="127" spans="1:10">
      <c r="A127" s="66" t="s">
        <v>1242</v>
      </c>
      <c r="B127" s="66" t="s">
        <v>1243</v>
      </c>
      <c r="C127" s="68">
        <v>236313.22</v>
      </c>
      <c r="D127" s="68">
        <v>0</v>
      </c>
      <c r="E127" s="68">
        <v>0</v>
      </c>
      <c r="F127" s="68">
        <v>0</v>
      </c>
      <c r="G127" s="68">
        <v>5598207.5</v>
      </c>
      <c r="H127" s="68">
        <v>5598207.5</v>
      </c>
      <c r="I127" s="68">
        <v>0</v>
      </c>
      <c r="J127" s="68">
        <v>0</v>
      </c>
    </row>
    <row r="128" spans="1:10">
      <c r="A128" s="66" t="s">
        <v>1244</v>
      </c>
      <c r="B128" s="66" t="s">
        <v>1128</v>
      </c>
      <c r="C128" s="68">
        <v>0</v>
      </c>
      <c r="D128" s="68">
        <v>0</v>
      </c>
      <c r="E128" s="68">
        <v>0</v>
      </c>
      <c r="F128" s="68">
        <v>0</v>
      </c>
      <c r="G128" s="68">
        <v>87560.71</v>
      </c>
      <c r="H128" s="68">
        <v>87560.71</v>
      </c>
      <c r="I128" s="68">
        <v>0</v>
      </c>
      <c r="J128" s="68">
        <v>0</v>
      </c>
    </row>
    <row r="129" spans="1:10">
      <c r="A129" s="66" t="s">
        <v>1245</v>
      </c>
      <c r="B129" s="66" t="s">
        <v>1246</v>
      </c>
      <c r="C129" s="68">
        <v>0</v>
      </c>
      <c r="D129" s="68">
        <v>0</v>
      </c>
      <c r="E129" s="68">
        <v>0</v>
      </c>
      <c r="F129" s="68">
        <v>0</v>
      </c>
      <c r="G129" s="68">
        <v>1141380</v>
      </c>
      <c r="H129" s="68">
        <v>1141380</v>
      </c>
      <c r="I129" s="68">
        <v>0</v>
      </c>
      <c r="J129" s="68">
        <v>0</v>
      </c>
    </row>
    <row r="130" spans="1:10">
      <c r="A130" s="66" t="s">
        <v>1247</v>
      </c>
      <c r="B130" s="66" t="s">
        <v>1248</v>
      </c>
      <c r="C130" s="68">
        <v>3851.78</v>
      </c>
      <c r="D130" s="68">
        <v>0</v>
      </c>
      <c r="E130" s="68">
        <v>0</v>
      </c>
      <c r="F130" s="68">
        <v>0</v>
      </c>
      <c r="G130" s="68">
        <v>56360.810000000012</v>
      </c>
      <c r="H130" s="68">
        <v>56360.81</v>
      </c>
      <c r="I130" s="68">
        <v>1.4551915228366852E-11</v>
      </c>
      <c r="J130" s="68">
        <v>0</v>
      </c>
    </row>
    <row r="131" spans="1:10">
      <c r="A131" s="66" t="s">
        <v>1249</v>
      </c>
      <c r="B131" s="66" t="s">
        <v>1250</v>
      </c>
      <c r="C131" s="68">
        <v>25114.95</v>
      </c>
      <c r="D131" s="68">
        <v>0</v>
      </c>
      <c r="E131" s="68">
        <v>0</v>
      </c>
      <c r="F131" s="68">
        <v>0</v>
      </c>
      <c r="G131" s="68">
        <v>32803.200000000004</v>
      </c>
      <c r="H131" s="68">
        <v>32803.199999999997</v>
      </c>
      <c r="I131" s="68">
        <v>7.2759576141834259E-12</v>
      </c>
      <c r="J131" s="68">
        <v>0</v>
      </c>
    </row>
    <row r="132" spans="1:10">
      <c r="A132" s="66" t="s">
        <v>1251</v>
      </c>
      <c r="B132" s="66" t="s">
        <v>1252</v>
      </c>
      <c r="C132" s="68">
        <v>20310.75</v>
      </c>
      <c r="D132" s="68">
        <v>0</v>
      </c>
      <c r="E132" s="68">
        <v>0</v>
      </c>
      <c r="F132" s="68">
        <v>0</v>
      </c>
      <c r="G132" s="68">
        <v>54373.570000000014</v>
      </c>
      <c r="H132" s="68">
        <v>54373.57</v>
      </c>
      <c r="I132" s="68">
        <v>1.4551915228366852E-11</v>
      </c>
      <c r="J132" s="68">
        <v>0</v>
      </c>
    </row>
    <row r="133" spans="1:10">
      <c r="A133" s="66" t="s">
        <v>1253</v>
      </c>
      <c r="B133" s="66" t="s">
        <v>1128</v>
      </c>
      <c r="C133" s="68">
        <v>0</v>
      </c>
      <c r="D133" s="68">
        <v>0</v>
      </c>
      <c r="E133" s="68">
        <v>0</v>
      </c>
      <c r="F133" s="68">
        <v>0</v>
      </c>
      <c r="G133" s="68">
        <v>977626.05</v>
      </c>
      <c r="H133" s="68">
        <v>977626.05</v>
      </c>
      <c r="I133" s="68">
        <v>0</v>
      </c>
      <c r="J133" s="68">
        <v>0</v>
      </c>
    </row>
    <row r="134" spans="1:10">
      <c r="A134" s="66" t="s">
        <v>1254</v>
      </c>
      <c r="B134" s="66" t="s">
        <v>1246</v>
      </c>
      <c r="C134" s="68">
        <v>0</v>
      </c>
      <c r="D134" s="68">
        <v>0</v>
      </c>
      <c r="E134" s="68">
        <v>0</v>
      </c>
      <c r="F134" s="68">
        <v>0</v>
      </c>
      <c r="G134" s="68">
        <v>1712070</v>
      </c>
      <c r="H134" s="68">
        <v>1712070</v>
      </c>
      <c r="I134" s="68">
        <v>0</v>
      </c>
      <c r="J134" s="68">
        <v>0</v>
      </c>
    </row>
    <row r="135" spans="1:10">
      <c r="A135" s="66" t="s">
        <v>1255</v>
      </c>
      <c r="B135" s="66" t="s">
        <v>1248</v>
      </c>
      <c r="C135" s="68">
        <v>0</v>
      </c>
      <c r="D135" s="68">
        <v>0</v>
      </c>
      <c r="E135" s="68">
        <v>0</v>
      </c>
      <c r="F135" s="68">
        <v>0</v>
      </c>
      <c r="G135" s="68">
        <v>26412.149999999998</v>
      </c>
      <c r="H135" s="68">
        <v>26412.15</v>
      </c>
      <c r="I135" s="68">
        <v>0</v>
      </c>
      <c r="J135" s="68">
        <v>3.637978807091713E-12</v>
      </c>
    </row>
    <row r="136" spans="1:10">
      <c r="A136" s="66" t="s">
        <v>1256</v>
      </c>
      <c r="B136" s="66" t="s">
        <v>1250</v>
      </c>
      <c r="C136" s="68">
        <v>0</v>
      </c>
      <c r="D136" s="68">
        <v>0</v>
      </c>
      <c r="E136" s="68">
        <v>0</v>
      </c>
      <c r="F136" s="68">
        <v>0</v>
      </c>
      <c r="G136" s="68">
        <v>3075.3</v>
      </c>
      <c r="H136" s="68">
        <v>3075.3</v>
      </c>
      <c r="I136" s="68">
        <v>0</v>
      </c>
      <c r="J136" s="68">
        <v>0</v>
      </c>
    </row>
    <row r="137" spans="1:10">
      <c r="A137" s="66" t="s">
        <v>1257</v>
      </c>
      <c r="B137" s="66" t="s">
        <v>1252</v>
      </c>
      <c r="C137" s="68">
        <v>0</v>
      </c>
      <c r="D137" s="68">
        <v>0</v>
      </c>
      <c r="E137" s="68">
        <v>0</v>
      </c>
      <c r="F137" s="68">
        <v>0</v>
      </c>
      <c r="G137" s="68">
        <v>11255.54</v>
      </c>
      <c r="H137" s="68">
        <v>11255.54</v>
      </c>
      <c r="I137" s="68">
        <v>0</v>
      </c>
      <c r="J137" s="68">
        <v>0</v>
      </c>
    </row>
    <row r="138" spans="1:10">
      <c r="A138" s="66" t="s">
        <v>1258</v>
      </c>
      <c r="B138" s="66" t="s">
        <v>1128</v>
      </c>
      <c r="C138" s="68">
        <v>0</v>
      </c>
      <c r="D138" s="68">
        <v>0</v>
      </c>
      <c r="E138" s="68">
        <v>0</v>
      </c>
      <c r="F138" s="68">
        <v>0</v>
      </c>
      <c r="G138" s="68">
        <v>187974.14</v>
      </c>
      <c r="H138" s="68">
        <v>187974.14</v>
      </c>
      <c r="I138" s="68">
        <v>0</v>
      </c>
      <c r="J138" s="68">
        <v>0</v>
      </c>
    </row>
    <row r="139" spans="1:10">
      <c r="A139" s="66" t="s">
        <v>1259</v>
      </c>
      <c r="B139" s="66" t="s">
        <v>1246</v>
      </c>
      <c r="C139" s="68">
        <v>0</v>
      </c>
      <c r="D139" s="68">
        <v>0</v>
      </c>
      <c r="E139" s="68">
        <v>0</v>
      </c>
      <c r="F139" s="68">
        <v>0</v>
      </c>
      <c r="G139" s="68">
        <v>503550</v>
      </c>
      <c r="H139" s="68">
        <v>503550</v>
      </c>
      <c r="I139" s="68">
        <v>0</v>
      </c>
      <c r="J139" s="68">
        <v>0</v>
      </c>
    </row>
    <row r="140" spans="1:10">
      <c r="A140" s="66" t="s">
        <v>1260</v>
      </c>
      <c r="B140" s="66" t="s">
        <v>1248</v>
      </c>
      <c r="C140" s="68">
        <v>679.72</v>
      </c>
      <c r="D140" s="68">
        <v>0</v>
      </c>
      <c r="E140" s="68">
        <v>0</v>
      </c>
      <c r="F140" s="68">
        <v>0</v>
      </c>
      <c r="G140" s="68">
        <v>14607.01</v>
      </c>
      <c r="H140" s="68">
        <v>14607.01</v>
      </c>
      <c r="I140" s="68">
        <v>0</v>
      </c>
      <c r="J140" s="68">
        <v>0</v>
      </c>
    </row>
    <row r="141" spans="1:10">
      <c r="A141" s="66" t="s">
        <v>1261</v>
      </c>
      <c r="B141" s="66" t="s">
        <v>1250</v>
      </c>
      <c r="C141" s="68">
        <v>4432.05</v>
      </c>
      <c r="D141" s="68">
        <v>0</v>
      </c>
      <c r="E141" s="68">
        <v>0</v>
      </c>
      <c r="F141" s="68">
        <v>0</v>
      </c>
      <c r="G141" s="68">
        <v>6331.5000000000027</v>
      </c>
      <c r="H141" s="68">
        <v>6331.5</v>
      </c>
      <c r="I141" s="68">
        <v>2.7284841053187847E-12</v>
      </c>
      <c r="J141" s="68">
        <v>0</v>
      </c>
    </row>
    <row r="142" spans="1:10">
      <c r="A142" s="66" t="s">
        <v>1262</v>
      </c>
      <c r="B142" s="66" t="s">
        <v>1252</v>
      </c>
      <c r="C142" s="68">
        <v>3584.25</v>
      </c>
      <c r="D142" s="68">
        <v>0</v>
      </c>
      <c r="E142" s="68">
        <v>0</v>
      </c>
      <c r="F142" s="68">
        <v>0</v>
      </c>
      <c r="G142" s="68">
        <v>11581.569999999996</v>
      </c>
      <c r="H142" s="68">
        <v>11581.57</v>
      </c>
      <c r="I142" s="68">
        <v>0</v>
      </c>
      <c r="J142" s="68">
        <v>3.637978807091713E-12</v>
      </c>
    </row>
    <row r="143" spans="1:10">
      <c r="A143" s="66" t="s">
        <v>1263</v>
      </c>
      <c r="B143" s="66" t="s">
        <v>1128</v>
      </c>
      <c r="C143" s="68">
        <v>0</v>
      </c>
      <c r="D143" s="68">
        <v>0</v>
      </c>
      <c r="E143" s="68">
        <v>0</v>
      </c>
      <c r="F143" s="68">
        <v>0</v>
      </c>
      <c r="G143" s="68">
        <v>139240.10999999999</v>
      </c>
      <c r="H143" s="68">
        <v>139240.10999999999</v>
      </c>
      <c r="I143" s="68">
        <v>0</v>
      </c>
      <c r="J143" s="68">
        <v>0</v>
      </c>
    </row>
    <row r="144" spans="1:10">
      <c r="A144" s="66" t="s">
        <v>1264</v>
      </c>
      <c r="B144" s="66" t="s">
        <v>1246</v>
      </c>
      <c r="C144" s="68">
        <v>0</v>
      </c>
      <c r="D144" s="68">
        <v>0</v>
      </c>
      <c r="E144" s="68">
        <v>0</v>
      </c>
      <c r="F144" s="68">
        <v>0</v>
      </c>
      <c r="G144" s="68">
        <v>373000</v>
      </c>
      <c r="H144" s="68">
        <v>373000</v>
      </c>
      <c r="I144" s="68">
        <v>0</v>
      </c>
      <c r="J144" s="68">
        <v>0</v>
      </c>
    </row>
    <row r="145" spans="1:10">
      <c r="A145" s="66" t="s">
        <v>1265</v>
      </c>
      <c r="B145" s="66" t="s">
        <v>1248</v>
      </c>
      <c r="C145" s="68">
        <v>503.5</v>
      </c>
      <c r="D145" s="68">
        <v>0</v>
      </c>
      <c r="E145" s="68">
        <v>0</v>
      </c>
      <c r="F145" s="68">
        <v>0</v>
      </c>
      <c r="G145" s="68">
        <v>10820.019999999999</v>
      </c>
      <c r="H145" s="68">
        <v>10820.02</v>
      </c>
      <c r="I145" s="68">
        <v>0</v>
      </c>
      <c r="J145" s="68">
        <v>1.8189894035458565E-12</v>
      </c>
    </row>
    <row r="146" spans="1:10">
      <c r="A146" s="66" t="s">
        <v>1266</v>
      </c>
      <c r="B146" s="66" t="s">
        <v>1250</v>
      </c>
      <c r="C146" s="68">
        <v>3283</v>
      </c>
      <c r="D146" s="68">
        <v>0</v>
      </c>
      <c r="E146" s="68">
        <v>0</v>
      </c>
      <c r="F146" s="68">
        <v>0</v>
      </c>
      <c r="G146" s="68">
        <v>4690</v>
      </c>
      <c r="H146" s="68">
        <v>4690</v>
      </c>
      <c r="I146" s="68">
        <v>0</v>
      </c>
      <c r="J146" s="68">
        <v>0</v>
      </c>
    </row>
    <row r="147" spans="1:10">
      <c r="A147" s="66" t="s">
        <v>1267</v>
      </c>
      <c r="B147" s="66" t="s">
        <v>1252</v>
      </c>
      <c r="C147" s="68">
        <v>2655</v>
      </c>
      <c r="D147" s="68">
        <v>0</v>
      </c>
      <c r="E147" s="68">
        <v>0</v>
      </c>
      <c r="F147" s="68">
        <v>0</v>
      </c>
      <c r="G147" s="68">
        <v>11289.320000000002</v>
      </c>
      <c r="H147" s="68">
        <v>11289.32</v>
      </c>
      <c r="I147" s="68">
        <v>1.8189894035458565E-12</v>
      </c>
      <c r="J147" s="68">
        <v>0</v>
      </c>
    </row>
    <row r="148" spans="1:10">
      <c r="A148" s="66" t="s">
        <v>1268</v>
      </c>
      <c r="B148" s="66" t="s">
        <v>1269</v>
      </c>
      <c r="C148" s="68">
        <v>171898.22</v>
      </c>
      <c r="D148" s="68">
        <v>0</v>
      </c>
      <c r="E148" s="68">
        <v>0</v>
      </c>
      <c r="F148" s="68">
        <v>0</v>
      </c>
      <c r="G148" s="68">
        <v>232206.50000000003</v>
      </c>
      <c r="H148" s="68">
        <v>232206.5</v>
      </c>
      <c r="I148" s="68">
        <v>2.9103830456733704E-11</v>
      </c>
      <c r="J148" s="68">
        <v>0</v>
      </c>
    </row>
    <row r="149" spans="1:10">
      <c r="A149" s="66" t="s">
        <v>1270</v>
      </c>
      <c r="B149" s="66" t="s">
        <v>1271</v>
      </c>
      <c r="C149" s="68">
        <v>0</v>
      </c>
      <c r="D149" s="68">
        <v>0</v>
      </c>
      <c r="E149" s="68">
        <v>0</v>
      </c>
      <c r="F149" s="68">
        <v>0</v>
      </c>
      <c r="G149" s="68">
        <v>5611453.8600000003</v>
      </c>
      <c r="H149" s="68">
        <v>5611453.8600000003</v>
      </c>
      <c r="I149" s="68">
        <v>0</v>
      </c>
      <c r="J149" s="68">
        <v>0</v>
      </c>
    </row>
    <row r="150" spans="1:10">
      <c r="A150" s="66" t="s">
        <v>1272</v>
      </c>
      <c r="B150" s="66" t="s">
        <v>1273</v>
      </c>
      <c r="C150" s="68">
        <v>3022.24</v>
      </c>
      <c r="D150" s="68">
        <v>0</v>
      </c>
      <c r="E150" s="68">
        <v>98525.989999999991</v>
      </c>
      <c r="F150" s="68">
        <v>123740.92000000004</v>
      </c>
      <c r="G150" s="68">
        <v>972654.15</v>
      </c>
      <c r="H150" s="68">
        <v>970434.86</v>
      </c>
      <c r="I150" s="68">
        <v>2219.2900000000373</v>
      </c>
      <c r="J150" s="68">
        <v>0</v>
      </c>
    </row>
    <row r="151" spans="1:10">
      <c r="A151" s="66" t="s">
        <v>1274</v>
      </c>
      <c r="B151" s="66" t="s">
        <v>1275</v>
      </c>
      <c r="C151" s="68">
        <v>3022.24</v>
      </c>
      <c r="D151" s="68">
        <v>0</v>
      </c>
      <c r="E151" s="68">
        <v>48225.989999999991</v>
      </c>
      <c r="F151" s="68">
        <v>54375.299999999988</v>
      </c>
      <c r="G151" s="68">
        <v>520554.14999999997</v>
      </c>
      <c r="H151" s="68">
        <v>518388.70999999996</v>
      </c>
      <c r="I151" s="68">
        <v>2165.4400000000023</v>
      </c>
      <c r="J151" s="68">
        <v>0</v>
      </c>
    </row>
    <row r="152" spans="1:10">
      <c r="A152" s="66" t="s">
        <v>1276</v>
      </c>
      <c r="B152" s="66" t="s">
        <v>1277</v>
      </c>
      <c r="C152" s="68">
        <v>0</v>
      </c>
      <c r="D152" s="68">
        <v>0</v>
      </c>
      <c r="E152" s="68">
        <v>50300</v>
      </c>
      <c r="F152" s="68">
        <v>69365.62</v>
      </c>
      <c r="G152" s="68">
        <v>452100</v>
      </c>
      <c r="H152" s="68">
        <v>452046.14999999997</v>
      </c>
      <c r="I152" s="68">
        <v>53.850000000034925</v>
      </c>
      <c r="J152" s="68">
        <v>0</v>
      </c>
    </row>
    <row r="153" spans="1:10">
      <c r="A153" s="66" t="s">
        <v>1278</v>
      </c>
      <c r="B153" s="66" t="s">
        <v>1279</v>
      </c>
      <c r="C153" s="68">
        <v>444929.94</v>
      </c>
      <c r="D153" s="68">
        <v>0</v>
      </c>
      <c r="E153" s="68">
        <v>72693028.589999914</v>
      </c>
      <c r="F153" s="68">
        <v>72692639.599999905</v>
      </c>
      <c r="G153" s="68">
        <v>656131534.82999945</v>
      </c>
      <c r="H153" s="68">
        <v>656114573.0199995</v>
      </c>
      <c r="I153" s="68">
        <v>16961.80999994278</v>
      </c>
      <c r="J153" s="68">
        <v>0</v>
      </c>
    </row>
    <row r="154" spans="1:10">
      <c r="A154" s="66" t="s">
        <v>1280</v>
      </c>
      <c r="B154" s="66" t="s">
        <v>1281</v>
      </c>
      <c r="C154" s="68">
        <v>359.28</v>
      </c>
      <c r="D154" s="68">
        <v>0</v>
      </c>
      <c r="E154" s="68">
        <v>72145346.73999989</v>
      </c>
      <c r="F154" s="68">
        <v>72145014.159999967</v>
      </c>
      <c r="G154" s="68">
        <v>649337148.12999976</v>
      </c>
      <c r="H154" s="68">
        <v>649336196.83999944</v>
      </c>
      <c r="I154" s="68">
        <v>951.2900003194809</v>
      </c>
      <c r="J154" s="68">
        <v>0</v>
      </c>
    </row>
    <row r="155" spans="1:10">
      <c r="A155" s="66" t="s">
        <v>1282</v>
      </c>
      <c r="B155" s="66" t="s">
        <v>1283</v>
      </c>
      <c r="C155" s="68">
        <v>444570.66</v>
      </c>
      <c r="D155" s="68">
        <v>0</v>
      </c>
      <c r="E155" s="68">
        <v>547681.84999999963</v>
      </c>
      <c r="F155" s="68">
        <v>547625.44000000041</v>
      </c>
      <c r="G155" s="68">
        <v>6794386.7000000011</v>
      </c>
      <c r="H155" s="68">
        <v>6778376.1800000016</v>
      </c>
      <c r="I155" s="68">
        <v>16010.519999999553</v>
      </c>
      <c r="J155" s="68">
        <v>0</v>
      </c>
    </row>
    <row r="156" spans="1:10">
      <c r="A156" s="66" t="s">
        <v>1284</v>
      </c>
      <c r="B156" s="66" t="s">
        <v>1285</v>
      </c>
      <c r="C156" s="68">
        <v>234730.75</v>
      </c>
      <c r="D156" s="68">
        <v>0</v>
      </c>
      <c r="E156" s="68">
        <v>6658857.9699999988</v>
      </c>
      <c r="F156" s="68">
        <v>8026195.2400000021</v>
      </c>
      <c r="G156" s="68">
        <v>81147498.379999995</v>
      </c>
      <c r="H156" s="68">
        <v>73817638.650000006</v>
      </c>
      <c r="I156" s="68">
        <v>7329859.7299999893</v>
      </c>
      <c r="J156" s="68">
        <v>0</v>
      </c>
    </row>
    <row r="157" spans="1:10">
      <c r="A157" s="66" t="s">
        <v>1286</v>
      </c>
      <c r="B157" s="66" t="s">
        <v>1287</v>
      </c>
      <c r="C157" s="68">
        <v>11.59</v>
      </c>
      <c r="D157" s="68">
        <v>0</v>
      </c>
      <c r="E157" s="68">
        <v>725034.22000000067</v>
      </c>
      <c r="F157" s="68">
        <v>0</v>
      </c>
      <c r="G157" s="68">
        <v>15752866.310000001</v>
      </c>
      <c r="H157" s="68">
        <v>11559610.820000002</v>
      </c>
      <c r="I157" s="68">
        <v>4193255.4899999984</v>
      </c>
      <c r="J157" s="68">
        <v>0</v>
      </c>
    </row>
    <row r="158" spans="1:10">
      <c r="A158" s="66" t="s">
        <v>1288</v>
      </c>
      <c r="B158" s="66" t="s">
        <v>1289</v>
      </c>
      <c r="C158" s="68">
        <v>0</v>
      </c>
      <c r="D158" s="68">
        <v>0</v>
      </c>
      <c r="E158" s="68">
        <v>0.78000000002793968</v>
      </c>
      <c r="F158" s="68">
        <v>0</v>
      </c>
      <c r="G158" s="68">
        <v>303373.08</v>
      </c>
      <c r="H158" s="68">
        <v>211068.74</v>
      </c>
      <c r="I158" s="68">
        <v>92304.340000000026</v>
      </c>
      <c r="J158" s="68">
        <v>0</v>
      </c>
    </row>
    <row r="159" spans="1:10">
      <c r="A159" s="66" t="s">
        <v>1290</v>
      </c>
      <c r="B159" s="66" t="s">
        <v>1291</v>
      </c>
      <c r="C159" s="68">
        <v>0</v>
      </c>
      <c r="D159" s="68">
        <v>0</v>
      </c>
      <c r="E159" s="68">
        <v>0</v>
      </c>
      <c r="F159" s="68">
        <v>0</v>
      </c>
      <c r="G159" s="68">
        <v>15207465.939999999</v>
      </c>
      <c r="H159" s="68">
        <v>13102570</v>
      </c>
      <c r="I159" s="68">
        <v>2104895.9399999995</v>
      </c>
      <c r="J159" s="68">
        <v>0</v>
      </c>
    </row>
    <row r="160" spans="1:10">
      <c r="A160" s="66" t="s">
        <v>1292</v>
      </c>
      <c r="B160" s="66" t="s">
        <v>1293</v>
      </c>
      <c r="C160" s="68">
        <v>0</v>
      </c>
      <c r="D160" s="68">
        <v>0</v>
      </c>
      <c r="E160" s="68">
        <v>0</v>
      </c>
      <c r="F160" s="68">
        <v>0</v>
      </c>
      <c r="G160" s="68">
        <v>7516075.1000000006</v>
      </c>
      <c r="H160" s="68">
        <v>7515605.8899999997</v>
      </c>
      <c r="I160" s="68">
        <v>469.21000000089407</v>
      </c>
      <c r="J160" s="68">
        <v>0</v>
      </c>
    </row>
    <row r="161" spans="1:12">
      <c r="A161" s="66" t="s">
        <v>1294</v>
      </c>
      <c r="B161" s="66" t="s">
        <v>1295</v>
      </c>
      <c r="C161" s="68">
        <v>0</v>
      </c>
      <c r="D161" s="68">
        <v>0</v>
      </c>
      <c r="E161" s="68">
        <v>1015000</v>
      </c>
      <c r="F161" s="68">
        <v>1125838.4100000001</v>
      </c>
      <c r="G161" s="68">
        <v>7435482.7999999998</v>
      </c>
      <c r="H161" s="68">
        <v>7432296.2000000011</v>
      </c>
      <c r="I161" s="68">
        <v>3186.5999999986961</v>
      </c>
      <c r="J161" s="68">
        <v>0</v>
      </c>
    </row>
    <row r="162" spans="1:12">
      <c r="A162" s="66" t="s">
        <v>1296</v>
      </c>
      <c r="B162" s="66" t="s">
        <v>1297</v>
      </c>
      <c r="C162" s="68">
        <v>1560.06</v>
      </c>
      <c r="D162" s="68">
        <v>0</v>
      </c>
      <c r="E162" s="68">
        <v>0</v>
      </c>
      <c r="F162" s="68">
        <v>0</v>
      </c>
      <c r="G162" s="68">
        <v>1560.06</v>
      </c>
      <c r="H162" s="68">
        <v>0</v>
      </c>
      <c r="I162" s="68">
        <v>1560.06</v>
      </c>
      <c r="J162" s="68">
        <v>0</v>
      </c>
    </row>
    <row r="163" spans="1:12">
      <c r="A163" s="66" t="s">
        <v>1298</v>
      </c>
      <c r="B163" s="66" t="s">
        <v>1299</v>
      </c>
      <c r="C163" s="68">
        <v>233159.1</v>
      </c>
      <c r="D163" s="68">
        <v>0</v>
      </c>
      <c r="E163" s="68">
        <v>4634893.3999999985</v>
      </c>
      <c r="F163" s="68">
        <v>6343645.2799999975</v>
      </c>
      <c r="G163" s="68">
        <v>32699215.329999991</v>
      </c>
      <c r="H163" s="68">
        <v>31901408.499999993</v>
      </c>
      <c r="I163" s="68">
        <v>797806.82999999821</v>
      </c>
      <c r="J163" s="68">
        <v>0</v>
      </c>
    </row>
    <row r="164" spans="1:12">
      <c r="A164" s="66" t="s">
        <v>1300</v>
      </c>
      <c r="B164" s="66" t="s">
        <v>1283</v>
      </c>
      <c r="C164" s="68">
        <v>0</v>
      </c>
      <c r="D164" s="68">
        <v>0</v>
      </c>
      <c r="E164" s="68">
        <v>283929.57000000007</v>
      </c>
      <c r="F164" s="68">
        <v>556711.55000000005</v>
      </c>
      <c r="G164" s="68">
        <v>2231459.7600000002</v>
      </c>
      <c r="H164" s="68">
        <v>2095078.5000000002</v>
      </c>
      <c r="I164" s="68">
        <v>136381.26</v>
      </c>
      <c r="J164" s="68">
        <v>0</v>
      </c>
    </row>
    <row r="165" spans="1:12">
      <c r="A165" s="66" t="s">
        <v>1301</v>
      </c>
      <c r="B165" s="66" t="s">
        <v>1302</v>
      </c>
      <c r="C165" s="68">
        <v>73823.97</v>
      </c>
      <c r="D165" s="68">
        <v>0</v>
      </c>
      <c r="E165" s="68">
        <v>311.11999999999534</v>
      </c>
      <c r="F165" s="68">
        <v>2196</v>
      </c>
      <c r="G165" s="68">
        <v>496103.80999999994</v>
      </c>
      <c r="H165" s="68">
        <v>446152.66000000003</v>
      </c>
      <c r="I165" s="68">
        <v>49951.149999999907</v>
      </c>
      <c r="J165" s="68">
        <v>0</v>
      </c>
    </row>
    <row r="166" spans="1:12">
      <c r="A166" s="66" t="s">
        <v>1303</v>
      </c>
      <c r="B166" s="66" t="s">
        <v>1304</v>
      </c>
      <c r="C166" s="68">
        <v>73823.97</v>
      </c>
      <c r="D166" s="68">
        <v>0</v>
      </c>
      <c r="E166" s="68">
        <v>311.11999999999534</v>
      </c>
      <c r="F166" s="68">
        <v>2196</v>
      </c>
      <c r="G166" s="68">
        <v>496103.80999999994</v>
      </c>
      <c r="H166" s="68">
        <v>446152.66000000003</v>
      </c>
      <c r="I166" s="68">
        <v>49951.149999999907</v>
      </c>
      <c r="J166" s="68">
        <v>0</v>
      </c>
    </row>
    <row r="167" spans="1:12">
      <c r="A167" s="69" t="s">
        <v>1305</v>
      </c>
      <c r="B167" s="69" t="s">
        <v>1306</v>
      </c>
      <c r="C167" s="70">
        <v>0</v>
      </c>
      <c r="D167" s="70">
        <v>1085139.25</v>
      </c>
      <c r="E167" s="70">
        <v>351936.65</v>
      </c>
      <c r="F167" s="70">
        <v>324864.60000000009</v>
      </c>
      <c r="G167" s="70">
        <v>649729.19999999995</v>
      </c>
      <c r="H167" s="70">
        <v>1410003.85</v>
      </c>
      <c r="I167" s="70">
        <v>0</v>
      </c>
      <c r="J167" s="70">
        <v>760274.65000000014</v>
      </c>
    </row>
    <row r="168" spans="1:12">
      <c r="A168" s="66" t="s">
        <v>1307</v>
      </c>
      <c r="B168" s="66" t="s">
        <v>1308</v>
      </c>
      <c r="C168" s="68">
        <v>0</v>
      </c>
      <c r="D168" s="68">
        <v>641163.61</v>
      </c>
      <c r="E168" s="68">
        <v>265309.08</v>
      </c>
      <c r="F168" s="68">
        <v>0</v>
      </c>
      <c r="G168" s="68">
        <v>265309.08</v>
      </c>
      <c r="H168" s="68">
        <v>641163.61</v>
      </c>
      <c r="I168" s="68">
        <v>0</v>
      </c>
      <c r="J168" s="68">
        <v>375854.52999999997</v>
      </c>
      <c r="L168" s="65"/>
    </row>
    <row r="169" spans="1:12">
      <c r="A169" s="66" t="s">
        <v>422</v>
      </c>
      <c r="B169" s="66" t="s">
        <v>1309</v>
      </c>
      <c r="C169" s="68">
        <v>0</v>
      </c>
      <c r="D169" s="68">
        <v>265309.08</v>
      </c>
      <c r="E169" s="68">
        <v>22109.090000000026</v>
      </c>
      <c r="F169" s="68">
        <v>265309.08</v>
      </c>
      <c r="G169" s="68">
        <v>265309.08</v>
      </c>
      <c r="H169" s="68">
        <v>530618.16</v>
      </c>
      <c r="I169" s="68">
        <v>0</v>
      </c>
      <c r="J169" s="68">
        <v>265309.08</v>
      </c>
      <c r="L169" s="65"/>
    </row>
    <row r="170" spans="1:12">
      <c r="A170" s="66" t="s">
        <v>1310</v>
      </c>
      <c r="B170" s="66" t="s">
        <v>1308</v>
      </c>
      <c r="C170" s="68">
        <v>0</v>
      </c>
      <c r="D170" s="68">
        <v>119111.03999999999</v>
      </c>
      <c r="E170" s="68">
        <v>59555.519999999997</v>
      </c>
      <c r="F170" s="68">
        <v>0</v>
      </c>
      <c r="G170" s="68">
        <v>59555.519999999997</v>
      </c>
      <c r="H170" s="68">
        <v>119111.03999999999</v>
      </c>
      <c r="I170" s="68">
        <v>0</v>
      </c>
      <c r="J170" s="68">
        <v>59555.519999999997</v>
      </c>
    </row>
    <row r="171" spans="1:12">
      <c r="A171" s="66" t="s">
        <v>420</v>
      </c>
      <c r="B171" s="66" t="s">
        <v>1309</v>
      </c>
      <c r="C171" s="68">
        <v>0</v>
      </c>
      <c r="D171" s="68">
        <v>59555.519999999997</v>
      </c>
      <c r="E171" s="68">
        <v>4962.9599999999991</v>
      </c>
      <c r="F171" s="68">
        <v>59555.519999999997</v>
      </c>
      <c r="G171" s="68">
        <v>59555.519999999997</v>
      </c>
      <c r="H171" s="68">
        <v>119111.03999999999</v>
      </c>
      <c r="I171" s="68">
        <v>0</v>
      </c>
      <c r="J171" s="68">
        <v>59555.519999999997</v>
      </c>
    </row>
    <row r="172" spans="1:12">
      <c r="A172" s="66" t="s">
        <v>1311</v>
      </c>
      <c r="B172" s="66" t="s">
        <v>1312</v>
      </c>
      <c r="C172" s="68">
        <v>11218770.32</v>
      </c>
      <c r="D172" s="68">
        <v>0</v>
      </c>
      <c r="E172" s="68">
        <v>60991681.640000045</v>
      </c>
      <c r="F172" s="68">
        <v>59793000.00000006</v>
      </c>
      <c r="G172" s="68">
        <v>584371967.79000008</v>
      </c>
      <c r="H172" s="68">
        <v>579599286.1500001</v>
      </c>
      <c r="I172" s="68">
        <v>4772681.6399999857</v>
      </c>
      <c r="J172" s="68">
        <v>0</v>
      </c>
    </row>
    <row r="173" spans="1:12">
      <c r="A173" s="66" t="s">
        <v>1313</v>
      </c>
      <c r="B173" s="66" t="s">
        <v>1314</v>
      </c>
      <c r="C173" s="68">
        <v>11218770.32</v>
      </c>
      <c r="D173" s="68">
        <v>0</v>
      </c>
      <c r="E173" s="68">
        <v>60991681.640000045</v>
      </c>
      <c r="F173" s="68">
        <v>59793000.00000006</v>
      </c>
      <c r="G173" s="68">
        <v>584371967.79000008</v>
      </c>
      <c r="H173" s="68">
        <v>579599286.1500001</v>
      </c>
      <c r="I173" s="68">
        <v>4772681.6399999857</v>
      </c>
      <c r="J173" s="68">
        <v>0</v>
      </c>
    </row>
    <row r="174" spans="1:12">
      <c r="A174" s="66" t="s">
        <v>1315</v>
      </c>
      <c r="B174" s="66" t="s">
        <v>1316</v>
      </c>
      <c r="C174" s="68">
        <v>0</v>
      </c>
      <c r="D174" s="68">
        <v>0</v>
      </c>
      <c r="E174" s="68">
        <v>7320232.4699999988</v>
      </c>
      <c r="F174" s="68">
        <v>7320232.4699999988</v>
      </c>
      <c r="G174" s="68">
        <v>45023525.149999999</v>
      </c>
      <c r="H174" s="68">
        <v>45023525.149999999</v>
      </c>
      <c r="I174" s="68">
        <v>0</v>
      </c>
      <c r="J174" s="68">
        <v>0</v>
      </c>
    </row>
    <row r="175" spans="1:12">
      <c r="A175" s="66" t="s">
        <v>1317</v>
      </c>
      <c r="B175" s="66" t="s">
        <v>1318</v>
      </c>
      <c r="C175" s="68">
        <v>0</v>
      </c>
      <c r="D175" s="68">
        <v>0</v>
      </c>
      <c r="E175" s="68">
        <v>117800</v>
      </c>
      <c r="F175" s="68">
        <v>117800</v>
      </c>
      <c r="G175" s="68">
        <v>896500</v>
      </c>
      <c r="H175" s="68">
        <v>896500</v>
      </c>
      <c r="I175" s="68">
        <v>0</v>
      </c>
      <c r="J175" s="68">
        <v>0</v>
      </c>
    </row>
    <row r="176" spans="1:12">
      <c r="A176" s="66" t="s">
        <v>1319</v>
      </c>
      <c r="B176" s="66" t="s">
        <v>1320</v>
      </c>
      <c r="C176" s="68">
        <v>0</v>
      </c>
      <c r="D176" s="68">
        <v>0</v>
      </c>
      <c r="E176" s="68">
        <v>7202432.4699999988</v>
      </c>
      <c r="F176" s="68">
        <v>7202432.4699999988</v>
      </c>
      <c r="G176" s="68">
        <v>44127025.149999999</v>
      </c>
      <c r="H176" s="68">
        <v>44127025.149999999</v>
      </c>
      <c r="I176" s="68">
        <v>0</v>
      </c>
      <c r="J176" s="68">
        <v>0</v>
      </c>
    </row>
    <row r="177" spans="1:10">
      <c r="A177" s="66" t="s">
        <v>1321</v>
      </c>
      <c r="B177" s="66" t="s">
        <v>1322</v>
      </c>
      <c r="C177" s="68">
        <v>3001.2400000000002</v>
      </c>
      <c r="D177" s="68">
        <v>3494809.6599999997</v>
      </c>
      <c r="E177" s="68">
        <v>7790587.5</v>
      </c>
      <c r="F177" s="68">
        <v>4828470.0599999949</v>
      </c>
      <c r="G177" s="68">
        <v>55720098.280000009</v>
      </c>
      <c r="H177" s="68">
        <v>59036796.75</v>
      </c>
      <c r="I177" s="68">
        <v>0</v>
      </c>
      <c r="J177" s="68">
        <v>3316698.4699999914</v>
      </c>
    </row>
    <row r="178" spans="1:10">
      <c r="A178" s="66" t="s">
        <v>1323</v>
      </c>
      <c r="B178" s="66" t="s">
        <v>1324</v>
      </c>
      <c r="C178" s="68">
        <v>0</v>
      </c>
      <c r="D178" s="68">
        <v>0</v>
      </c>
      <c r="E178" s="68">
        <v>0</v>
      </c>
      <c r="F178" s="68">
        <v>0</v>
      </c>
      <c r="G178" s="68">
        <v>2810.9399999999996</v>
      </c>
      <c r="H178" s="68">
        <v>2810.9399999999996</v>
      </c>
      <c r="I178" s="68">
        <v>0</v>
      </c>
      <c r="J178" s="68">
        <v>0</v>
      </c>
    </row>
    <row r="179" spans="1:10">
      <c r="A179" s="66" t="s">
        <v>1325</v>
      </c>
      <c r="B179" s="66" t="s">
        <v>1326</v>
      </c>
      <c r="C179" s="68">
        <v>0</v>
      </c>
      <c r="D179" s="68">
        <v>82533</v>
      </c>
      <c r="E179" s="68">
        <v>0</v>
      </c>
      <c r="F179" s="68">
        <v>0</v>
      </c>
      <c r="G179" s="68">
        <v>1117163.6000000001</v>
      </c>
      <c r="H179" s="68">
        <v>1117163.6000000001</v>
      </c>
      <c r="I179" s="68">
        <v>0</v>
      </c>
      <c r="J179" s="68">
        <v>0</v>
      </c>
    </row>
    <row r="180" spans="1:10">
      <c r="A180" s="66" t="s">
        <v>1327</v>
      </c>
      <c r="B180" s="66" t="s">
        <v>1328</v>
      </c>
      <c r="C180" s="68">
        <v>0</v>
      </c>
      <c r="D180" s="68">
        <v>140916.67000000001</v>
      </c>
      <c r="E180" s="68">
        <v>55296</v>
      </c>
      <c r="F180" s="68">
        <v>55296</v>
      </c>
      <c r="G180" s="68">
        <v>693876.66999999993</v>
      </c>
      <c r="H180" s="68">
        <v>804468.67</v>
      </c>
      <c r="I180" s="68">
        <v>0</v>
      </c>
      <c r="J180" s="68">
        <v>110592.00000000012</v>
      </c>
    </row>
    <row r="181" spans="1:10">
      <c r="A181" s="66" t="s">
        <v>1329</v>
      </c>
      <c r="B181" s="66" t="s">
        <v>1330</v>
      </c>
      <c r="C181" s="68">
        <v>0</v>
      </c>
      <c r="D181" s="68">
        <v>0</v>
      </c>
      <c r="E181" s="68">
        <v>5657.8800000000047</v>
      </c>
      <c r="F181" s="68">
        <v>115.07000000000698</v>
      </c>
      <c r="G181" s="68">
        <v>89503.130000000019</v>
      </c>
      <c r="H181" s="68">
        <v>89585.69</v>
      </c>
      <c r="I181" s="68">
        <v>0</v>
      </c>
      <c r="J181" s="68">
        <v>82.55999999998312</v>
      </c>
    </row>
    <row r="182" spans="1:10">
      <c r="A182" s="66" t="s">
        <v>1331</v>
      </c>
      <c r="B182" s="66" t="s">
        <v>1332</v>
      </c>
      <c r="C182" s="68">
        <v>0</v>
      </c>
      <c r="D182" s="68">
        <v>0</v>
      </c>
      <c r="E182" s="68">
        <v>0</v>
      </c>
      <c r="F182" s="68">
        <v>0</v>
      </c>
      <c r="G182" s="68">
        <v>37407.760000000002</v>
      </c>
      <c r="H182" s="68">
        <v>37407.760000000002</v>
      </c>
      <c r="I182" s="68">
        <v>0</v>
      </c>
      <c r="J182" s="68">
        <v>0</v>
      </c>
    </row>
    <row r="183" spans="1:10">
      <c r="A183" s="66" t="s">
        <v>1333</v>
      </c>
      <c r="B183" s="66" t="s">
        <v>1334</v>
      </c>
      <c r="C183" s="68">
        <v>0</v>
      </c>
      <c r="D183" s="68">
        <v>1.55</v>
      </c>
      <c r="E183" s="68">
        <v>32140.179999999993</v>
      </c>
      <c r="F183" s="68">
        <v>0</v>
      </c>
      <c r="G183" s="68">
        <v>210372.5</v>
      </c>
      <c r="H183" s="68">
        <v>210372.5</v>
      </c>
      <c r="I183" s="68">
        <v>0</v>
      </c>
      <c r="J183" s="68">
        <v>0</v>
      </c>
    </row>
    <row r="184" spans="1:10">
      <c r="A184" s="66" t="s">
        <v>1335</v>
      </c>
      <c r="B184" s="66" t="s">
        <v>1336</v>
      </c>
      <c r="C184" s="68">
        <v>0</v>
      </c>
      <c r="D184" s="68">
        <v>1119.07</v>
      </c>
      <c r="E184" s="68">
        <v>2265.0799999999981</v>
      </c>
      <c r="F184" s="68">
        <v>2128.2799999999988</v>
      </c>
      <c r="G184" s="68">
        <v>20320.309999999998</v>
      </c>
      <c r="H184" s="68">
        <v>21938.14</v>
      </c>
      <c r="I184" s="68">
        <v>0</v>
      </c>
      <c r="J184" s="68">
        <v>1617.8300000000017</v>
      </c>
    </row>
    <row r="185" spans="1:10">
      <c r="A185" s="66" t="s">
        <v>1337</v>
      </c>
      <c r="B185" s="66" t="s">
        <v>1338</v>
      </c>
      <c r="C185" s="68">
        <v>0</v>
      </c>
      <c r="D185" s="68">
        <v>0</v>
      </c>
      <c r="E185" s="68">
        <v>0</v>
      </c>
      <c r="F185" s="68">
        <v>0</v>
      </c>
      <c r="G185" s="68">
        <v>40.11</v>
      </c>
      <c r="H185" s="68">
        <v>40.11</v>
      </c>
      <c r="I185" s="68">
        <v>0</v>
      </c>
      <c r="J185" s="68">
        <v>0</v>
      </c>
    </row>
    <row r="186" spans="1:10">
      <c r="A186" s="66" t="s">
        <v>1339</v>
      </c>
      <c r="B186" s="66" t="s">
        <v>1340</v>
      </c>
      <c r="C186" s="68">
        <v>0</v>
      </c>
      <c r="D186" s="68">
        <v>1845</v>
      </c>
      <c r="E186" s="68">
        <v>1845</v>
      </c>
      <c r="F186" s="68">
        <v>1845</v>
      </c>
      <c r="G186" s="68">
        <v>22140</v>
      </c>
      <c r="H186" s="68">
        <v>23985</v>
      </c>
      <c r="I186" s="68">
        <v>0</v>
      </c>
      <c r="J186" s="68">
        <v>1845</v>
      </c>
    </row>
    <row r="187" spans="1:10">
      <c r="A187" s="66" t="s">
        <v>1341</v>
      </c>
      <c r="B187" s="66" t="s">
        <v>1342</v>
      </c>
      <c r="C187" s="68">
        <v>0</v>
      </c>
      <c r="D187" s="68">
        <v>0</v>
      </c>
      <c r="E187" s="68">
        <v>79.950000000000045</v>
      </c>
      <c r="F187" s="68">
        <v>79.950000000000045</v>
      </c>
      <c r="G187" s="68">
        <v>959.4000000000002</v>
      </c>
      <c r="H187" s="68">
        <v>959.4000000000002</v>
      </c>
      <c r="I187" s="68">
        <v>0</v>
      </c>
      <c r="J187" s="68">
        <v>0</v>
      </c>
    </row>
    <row r="188" spans="1:10">
      <c r="A188" s="66" t="s">
        <v>1343</v>
      </c>
      <c r="B188" s="66" t="s">
        <v>1344</v>
      </c>
      <c r="C188" s="68">
        <v>0</v>
      </c>
      <c r="D188" s="68">
        <v>0</v>
      </c>
      <c r="E188" s="68">
        <v>0</v>
      </c>
      <c r="F188" s="68">
        <v>233.82</v>
      </c>
      <c r="G188" s="68">
        <v>0</v>
      </c>
      <c r="H188" s="68">
        <v>233.82</v>
      </c>
      <c r="I188" s="68">
        <v>0</v>
      </c>
      <c r="J188" s="68">
        <v>233.82</v>
      </c>
    </row>
    <row r="189" spans="1:10">
      <c r="A189" s="66" t="s">
        <v>1345</v>
      </c>
      <c r="B189" s="66" t="s">
        <v>1346</v>
      </c>
      <c r="C189" s="68">
        <v>0</v>
      </c>
      <c r="D189" s="68">
        <v>0</v>
      </c>
      <c r="E189" s="68">
        <v>0</v>
      </c>
      <c r="F189" s="68">
        <v>0</v>
      </c>
      <c r="G189" s="68">
        <v>740</v>
      </c>
      <c r="H189" s="68">
        <v>740</v>
      </c>
      <c r="I189" s="68">
        <v>0</v>
      </c>
      <c r="J189" s="68">
        <v>0</v>
      </c>
    </row>
    <row r="190" spans="1:10">
      <c r="A190" s="66" t="s">
        <v>1347</v>
      </c>
      <c r="B190" s="66" t="s">
        <v>1348</v>
      </c>
      <c r="C190" s="68">
        <v>0</v>
      </c>
      <c r="D190" s="68">
        <v>0</v>
      </c>
      <c r="E190" s="68">
        <v>0</v>
      </c>
      <c r="F190" s="68">
        <v>0</v>
      </c>
      <c r="G190" s="68">
        <v>2500</v>
      </c>
      <c r="H190" s="68">
        <v>2500</v>
      </c>
      <c r="I190" s="68">
        <v>0</v>
      </c>
      <c r="J190" s="68">
        <v>0</v>
      </c>
    </row>
    <row r="191" spans="1:10">
      <c r="A191" s="66" t="s">
        <v>1349</v>
      </c>
      <c r="B191" s="66" t="s">
        <v>1350</v>
      </c>
      <c r="C191" s="68">
        <v>0</v>
      </c>
      <c r="D191" s="68">
        <v>0</v>
      </c>
      <c r="E191" s="68">
        <v>0</v>
      </c>
      <c r="F191" s="68">
        <v>0</v>
      </c>
      <c r="G191" s="68">
        <v>2700</v>
      </c>
      <c r="H191" s="68">
        <v>2700</v>
      </c>
      <c r="I191" s="68">
        <v>0</v>
      </c>
      <c r="J191" s="68">
        <v>0</v>
      </c>
    </row>
    <row r="192" spans="1:10">
      <c r="A192" s="66" t="s">
        <v>1351</v>
      </c>
      <c r="B192" s="66" t="s">
        <v>1352</v>
      </c>
      <c r="C192" s="68">
        <v>0</v>
      </c>
      <c r="D192" s="68">
        <v>514.86</v>
      </c>
      <c r="E192" s="68">
        <v>830.05999999999949</v>
      </c>
      <c r="F192" s="68">
        <v>283.56999999999971</v>
      </c>
      <c r="G192" s="68">
        <v>10238.529999999999</v>
      </c>
      <c r="H192" s="68">
        <v>10353.969999999999</v>
      </c>
      <c r="I192" s="68">
        <v>0</v>
      </c>
      <c r="J192" s="68">
        <v>115.44000000000051</v>
      </c>
    </row>
    <row r="193" spans="1:10">
      <c r="A193" s="66" t="s">
        <v>1353</v>
      </c>
      <c r="B193" s="66" t="s">
        <v>1354</v>
      </c>
      <c r="C193" s="68">
        <v>0</v>
      </c>
      <c r="D193" s="68">
        <v>0</v>
      </c>
      <c r="E193" s="68">
        <v>3923.6999999999971</v>
      </c>
      <c r="F193" s="68">
        <v>2853.5999999999985</v>
      </c>
      <c r="G193" s="68">
        <v>48238.039999999994</v>
      </c>
      <c r="H193" s="68">
        <v>48951.44000000001</v>
      </c>
      <c r="I193" s="68">
        <v>0</v>
      </c>
      <c r="J193" s="68">
        <v>713.40000000001601</v>
      </c>
    </row>
    <row r="194" spans="1:10">
      <c r="A194" s="66" t="s">
        <v>1355</v>
      </c>
      <c r="B194" s="66" t="s">
        <v>1356</v>
      </c>
      <c r="C194" s="68">
        <v>0</v>
      </c>
      <c r="D194" s="68">
        <v>218262.77</v>
      </c>
      <c r="E194" s="68">
        <v>406915.93999999994</v>
      </c>
      <c r="F194" s="68">
        <v>181664.68999999994</v>
      </c>
      <c r="G194" s="68">
        <v>2902709.2499999995</v>
      </c>
      <c r="H194" s="68">
        <v>3084373.94</v>
      </c>
      <c r="I194" s="68">
        <v>0</v>
      </c>
      <c r="J194" s="68">
        <v>181664.69000000041</v>
      </c>
    </row>
    <row r="195" spans="1:10">
      <c r="A195" s="66" t="s">
        <v>1357</v>
      </c>
      <c r="B195" s="66" t="s">
        <v>1358</v>
      </c>
      <c r="C195" s="68">
        <v>0</v>
      </c>
      <c r="D195" s="68">
        <v>384.5</v>
      </c>
      <c r="E195" s="68">
        <v>0</v>
      </c>
      <c r="F195" s="68">
        <v>0</v>
      </c>
      <c r="G195" s="68">
        <v>4474.9900000000007</v>
      </c>
      <c r="H195" s="68">
        <v>4474.9900000000007</v>
      </c>
      <c r="I195" s="68">
        <v>0</v>
      </c>
      <c r="J195" s="68">
        <v>0</v>
      </c>
    </row>
    <row r="196" spans="1:10">
      <c r="A196" s="66" t="s">
        <v>1359</v>
      </c>
      <c r="B196" s="66" t="s">
        <v>1360</v>
      </c>
      <c r="C196" s="68">
        <v>0</v>
      </c>
      <c r="D196" s="68">
        <v>0</v>
      </c>
      <c r="E196" s="68">
        <v>0</v>
      </c>
      <c r="F196" s="68">
        <v>0</v>
      </c>
      <c r="G196" s="68">
        <v>351</v>
      </c>
      <c r="H196" s="68">
        <v>351</v>
      </c>
      <c r="I196" s="68">
        <v>0</v>
      </c>
      <c r="J196" s="68">
        <v>0</v>
      </c>
    </row>
    <row r="197" spans="1:10">
      <c r="A197" s="66" t="s">
        <v>1361</v>
      </c>
      <c r="B197" s="66" t="s">
        <v>1362</v>
      </c>
      <c r="C197" s="68">
        <v>0</v>
      </c>
      <c r="D197" s="68">
        <v>0</v>
      </c>
      <c r="E197" s="68">
        <v>2695.9400000000023</v>
      </c>
      <c r="F197" s="68">
        <v>2261.8700000000026</v>
      </c>
      <c r="G197" s="68">
        <v>38872.700000000004</v>
      </c>
      <c r="H197" s="68">
        <v>38872.700000000004</v>
      </c>
      <c r="I197" s="68">
        <v>0</v>
      </c>
      <c r="J197" s="68">
        <v>0</v>
      </c>
    </row>
    <row r="198" spans="1:10">
      <c r="A198" s="66" t="s">
        <v>1363</v>
      </c>
      <c r="B198" s="66" t="s">
        <v>1364</v>
      </c>
      <c r="C198" s="68">
        <v>0</v>
      </c>
      <c r="D198" s="68">
        <v>0</v>
      </c>
      <c r="E198" s="68">
        <v>3813</v>
      </c>
      <c r="F198" s="68">
        <v>3813</v>
      </c>
      <c r="G198" s="68">
        <v>16617.3</v>
      </c>
      <c r="H198" s="68">
        <v>16617.3</v>
      </c>
      <c r="I198" s="68">
        <v>0</v>
      </c>
      <c r="J198" s="68">
        <v>0</v>
      </c>
    </row>
    <row r="199" spans="1:10">
      <c r="A199" s="66" t="s">
        <v>1365</v>
      </c>
      <c r="B199" s="66" t="s">
        <v>1366</v>
      </c>
      <c r="C199" s="68">
        <v>0</v>
      </c>
      <c r="D199" s="68">
        <v>1123.01</v>
      </c>
      <c r="E199" s="68">
        <v>2381.25</v>
      </c>
      <c r="F199" s="68">
        <v>726.23999999999796</v>
      </c>
      <c r="G199" s="68">
        <v>36292</v>
      </c>
      <c r="H199" s="68">
        <v>36292</v>
      </c>
      <c r="I199" s="68">
        <v>0</v>
      </c>
      <c r="J199" s="68">
        <v>0</v>
      </c>
    </row>
    <row r="200" spans="1:10">
      <c r="A200" s="66" t="s">
        <v>1367</v>
      </c>
      <c r="B200" s="66" t="s">
        <v>1368</v>
      </c>
      <c r="C200" s="68">
        <v>0</v>
      </c>
      <c r="D200" s="68">
        <v>0</v>
      </c>
      <c r="E200" s="68">
        <v>0</v>
      </c>
      <c r="F200" s="68">
        <v>0</v>
      </c>
      <c r="G200" s="68">
        <v>18450</v>
      </c>
      <c r="H200" s="68">
        <v>18450</v>
      </c>
      <c r="I200" s="68">
        <v>0</v>
      </c>
      <c r="J200" s="68">
        <v>0</v>
      </c>
    </row>
    <row r="201" spans="1:10">
      <c r="A201" s="66" t="s">
        <v>1369</v>
      </c>
      <c r="B201" s="66" t="s">
        <v>1370</v>
      </c>
      <c r="C201" s="68">
        <v>0</v>
      </c>
      <c r="D201" s="68">
        <v>0</v>
      </c>
      <c r="E201" s="68">
        <v>0</v>
      </c>
      <c r="F201" s="68">
        <v>0</v>
      </c>
      <c r="G201" s="68">
        <v>54120</v>
      </c>
      <c r="H201" s="68">
        <v>54120</v>
      </c>
      <c r="I201" s="68">
        <v>0</v>
      </c>
      <c r="J201" s="68">
        <v>0</v>
      </c>
    </row>
    <row r="202" spans="1:10">
      <c r="A202" s="66" t="s">
        <v>1371</v>
      </c>
      <c r="B202" s="66" t="s">
        <v>1372</v>
      </c>
      <c r="C202" s="68">
        <v>0</v>
      </c>
      <c r="D202" s="68">
        <v>4.6100000000000003</v>
      </c>
      <c r="E202" s="68">
        <v>0</v>
      </c>
      <c r="F202" s="68">
        <v>0</v>
      </c>
      <c r="G202" s="68">
        <v>1475.69</v>
      </c>
      <c r="H202" s="68">
        <v>1475.69</v>
      </c>
      <c r="I202" s="68">
        <v>0</v>
      </c>
      <c r="J202" s="68">
        <v>0</v>
      </c>
    </row>
    <row r="203" spans="1:10">
      <c r="A203" s="66" t="s">
        <v>1373</v>
      </c>
      <c r="B203" s="66" t="s">
        <v>1374</v>
      </c>
      <c r="C203" s="68">
        <v>0</v>
      </c>
      <c r="D203" s="68">
        <v>0</v>
      </c>
      <c r="E203" s="68">
        <v>0</v>
      </c>
      <c r="F203" s="68">
        <v>0</v>
      </c>
      <c r="G203" s="68">
        <v>6649.4</v>
      </c>
      <c r="H203" s="68">
        <v>6649.4</v>
      </c>
      <c r="I203" s="68">
        <v>0</v>
      </c>
      <c r="J203" s="68">
        <v>0</v>
      </c>
    </row>
    <row r="204" spans="1:10">
      <c r="A204" s="66" t="s">
        <v>1375</v>
      </c>
      <c r="B204" s="66" t="s">
        <v>1376</v>
      </c>
      <c r="C204" s="68">
        <v>0</v>
      </c>
      <c r="D204" s="68">
        <v>0</v>
      </c>
      <c r="E204" s="68">
        <v>1400</v>
      </c>
      <c r="F204" s="68">
        <v>1400</v>
      </c>
      <c r="G204" s="68">
        <v>1400</v>
      </c>
      <c r="H204" s="68">
        <v>1400</v>
      </c>
      <c r="I204" s="68">
        <v>0</v>
      </c>
      <c r="J204" s="68">
        <v>0</v>
      </c>
    </row>
    <row r="205" spans="1:10">
      <c r="A205" s="66" t="s">
        <v>1377</v>
      </c>
      <c r="B205" s="66" t="s">
        <v>1378</v>
      </c>
      <c r="C205" s="68">
        <v>0</v>
      </c>
      <c r="D205" s="68">
        <v>0</v>
      </c>
      <c r="E205" s="68">
        <v>0</v>
      </c>
      <c r="F205" s="68">
        <v>0</v>
      </c>
      <c r="G205" s="68">
        <v>8909.52</v>
      </c>
      <c r="H205" s="68">
        <v>8909.52</v>
      </c>
      <c r="I205" s="68">
        <v>0</v>
      </c>
      <c r="J205" s="68">
        <v>0</v>
      </c>
    </row>
    <row r="206" spans="1:10">
      <c r="A206" s="66" t="s">
        <v>1379</v>
      </c>
      <c r="B206" s="66" t="s">
        <v>1380</v>
      </c>
      <c r="C206" s="68">
        <v>0</v>
      </c>
      <c r="D206" s="68">
        <v>0</v>
      </c>
      <c r="E206" s="68">
        <v>0</v>
      </c>
      <c r="F206" s="68">
        <v>0</v>
      </c>
      <c r="G206" s="68">
        <v>9102</v>
      </c>
      <c r="H206" s="68">
        <v>9102</v>
      </c>
      <c r="I206" s="68">
        <v>0</v>
      </c>
      <c r="J206" s="68">
        <v>0</v>
      </c>
    </row>
    <row r="207" spans="1:10">
      <c r="A207" s="66" t="s">
        <v>1381</v>
      </c>
      <c r="B207" s="66" t="s">
        <v>1382</v>
      </c>
      <c r="C207" s="68">
        <v>0</v>
      </c>
      <c r="D207" s="68">
        <v>371095.56</v>
      </c>
      <c r="E207" s="68">
        <v>438683.37999999989</v>
      </c>
      <c r="F207" s="68">
        <v>26735.60999999987</v>
      </c>
      <c r="G207" s="68">
        <v>2691530.75</v>
      </c>
      <c r="H207" s="68">
        <v>2718266.36</v>
      </c>
      <c r="I207" s="68">
        <v>0</v>
      </c>
      <c r="J207" s="68">
        <v>26735.60999999987</v>
      </c>
    </row>
    <row r="208" spans="1:10">
      <c r="A208" s="66" t="s">
        <v>1383</v>
      </c>
      <c r="B208" s="66" t="s">
        <v>1384</v>
      </c>
      <c r="C208" s="68">
        <v>0</v>
      </c>
      <c r="D208" s="68">
        <v>2263.1999999999998</v>
      </c>
      <c r="E208" s="68">
        <v>0</v>
      </c>
      <c r="F208" s="68">
        <v>0</v>
      </c>
      <c r="G208" s="68">
        <v>10104.450000000001</v>
      </c>
      <c r="H208" s="68">
        <v>10104.450000000001</v>
      </c>
      <c r="I208" s="68">
        <v>0</v>
      </c>
      <c r="J208" s="68">
        <v>0</v>
      </c>
    </row>
    <row r="209" spans="1:10">
      <c r="A209" s="66" t="s">
        <v>1385</v>
      </c>
      <c r="B209" s="66" t="s">
        <v>1386</v>
      </c>
      <c r="C209" s="68">
        <v>0</v>
      </c>
      <c r="D209" s="68">
        <v>21.12</v>
      </c>
      <c r="E209" s="68">
        <v>3464.9100000000035</v>
      </c>
      <c r="F209" s="68">
        <v>3466.0899999999965</v>
      </c>
      <c r="G209" s="68">
        <v>44267.25</v>
      </c>
      <c r="H209" s="68">
        <v>44268.429999999993</v>
      </c>
      <c r="I209" s="68">
        <v>0</v>
      </c>
      <c r="J209" s="68">
        <v>1.1799999999930151</v>
      </c>
    </row>
    <row r="210" spans="1:10">
      <c r="A210" s="66" t="s">
        <v>1387</v>
      </c>
      <c r="B210" s="66" t="s">
        <v>1388</v>
      </c>
      <c r="C210" s="68">
        <v>0</v>
      </c>
      <c r="D210" s="68">
        <v>0</v>
      </c>
      <c r="E210" s="68">
        <v>1040.4400000000005</v>
      </c>
      <c r="F210" s="68">
        <v>1040.4400000000005</v>
      </c>
      <c r="G210" s="68">
        <v>12433.619999999999</v>
      </c>
      <c r="H210" s="68">
        <v>12433.619999999999</v>
      </c>
      <c r="I210" s="68">
        <v>0</v>
      </c>
      <c r="J210" s="68">
        <v>0</v>
      </c>
    </row>
    <row r="211" spans="1:10">
      <c r="A211" s="66" t="s">
        <v>1389</v>
      </c>
      <c r="B211" s="66" t="s">
        <v>1390</v>
      </c>
      <c r="C211" s="68">
        <v>0</v>
      </c>
      <c r="D211" s="68">
        <v>0.56999999999999995</v>
      </c>
      <c r="E211" s="68">
        <v>738.97</v>
      </c>
      <c r="F211" s="68">
        <v>369</v>
      </c>
      <c r="G211" s="68">
        <v>1549.3</v>
      </c>
      <c r="H211" s="68">
        <v>1549.3</v>
      </c>
      <c r="I211" s="68">
        <v>0</v>
      </c>
      <c r="J211" s="68">
        <v>0</v>
      </c>
    </row>
    <row r="212" spans="1:10">
      <c r="A212" s="66" t="s">
        <v>1391</v>
      </c>
      <c r="B212" s="66" t="s">
        <v>1392</v>
      </c>
      <c r="C212" s="68">
        <v>0</v>
      </c>
      <c r="D212" s="68">
        <v>7157.06</v>
      </c>
      <c r="E212" s="68">
        <v>1145.9500000000007</v>
      </c>
      <c r="F212" s="68">
        <v>1145.9500000000007</v>
      </c>
      <c r="G212" s="68">
        <v>31356.530000000002</v>
      </c>
      <c r="H212" s="68">
        <v>31356.53</v>
      </c>
      <c r="I212" s="68">
        <v>3.637978807091713E-12</v>
      </c>
      <c r="J212" s="68">
        <v>0</v>
      </c>
    </row>
    <row r="213" spans="1:10">
      <c r="A213" s="66" t="s">
        <v>1393</v>
      </c>
      <c r="B213" s="66" t="s">
        <v>1394</v>
      </c>
      <c r="C213" s="68">
        <v>0</v>
      </c>
      <c r="D213" s="68">
        <v>521.20000000000005</v>
      </c>
      <c r="E213" s="68">
        <v>1084.71</v>
      </c>
      <c r="F213" s="68">
        <v>975.02000000000044</v>
      </c>
      <c r="G213" s="68">
        <v>6528.24</v>
      </c>
      <c r="H213" s="68">
        <v>6528.24</v>
      </c>
      <c r="I213" s="68">
        <v>0</v>
      </c>
      <c r="J213" s="68">
        <v>0</v>
      </c>
    </row>
    <row r="214" spans="1:10">
      <c r="A214" s="66" t="s">
        <v>1395</v>
      </c>
      <c r="B214" s="66" t="s">
        <v>1396</v>
      </c>
      <c r="C214" s="68">
        <v>0</v>
      </c>
      <c r="D214" s="68">
        <v>4.49</v>
      </c>
      <c r="E214" s="68">
        <v>0</v>
      </c>
      <c r="F214" s="68">
        <v>0</v>
      </c>
      <c r="G214" s="68">
        <v>6.65</v>
      </c>
      <c r="H214" s="68">
        <v>6.65</v>
      </c>
      <c r="I214" s="68">
        <v>0</v>
      </c>
      <c r="J214" s="68">
        <v>0</v>
      </c>
    </row>
    <row r="215" spans="1:10">
      <c r="A215" s="66" t="s">
        <v>1397</v>
      </c>
      <c r="B215" s="66" t="s">
        <v>1398</v>
      </c>
      <c r="C215" s="68">
        <v>0</v>
      </c>
      <c r="D215" s="68">
        <v>0</v>
      </c>
      <c r="E215" s="68">
        <v>89853.640000000014</v>
      </c>
      <c r="F215" s="68">
        <v>0</v>
      </c>
      <c r="G215" s="68">
        <v>953802.29999999993</v>
      </c>
      <c r="H215" s="68">
        <v>953802.29999999993</v>
      </c>
      <c r="I215" s="68">
        <v>0</v>
      </c>
      <c r="J215" s="68">
        <v>0</v>
      </c>
    </row>
    <row r="216" spans="1:10">
      <c r="A216" s="66" t="s">
        <v>1399</v>
      </c>
      <c r="B216" s="66" t="s">
        <v>1400</v>
      </c>
      <c r="C216" s="68">
        <v>0</v>
      </c>
      <c r="D216" s="68">
        <v>0</v>
      </c>
      <c r="E216" s="68">
        <v>0</v>
      </c>
      <c r="F216" s="68">
        <v>0</v>
      </c>
      <c r="G216" s="68">
        <v>6826.5</v>
      </c>
      <c r="H216" s="68">
        <v>6826.5</v>
      </c>
      <c r="I216" s="68">
        <v>0</v>
      </c>
      <c r="J216" s="68">
        <v>0</v>
      </c>
    </row>
    <row r="217" spans="1:10">
      <c r="A217" s="66" t="s">
        <v>1401</v>
      </c>
      <c r="B217" s="66" t="s">
        <v>1402</v>
      </c>
      <c r="C217" s="68">
        <v>0</v>
      </c>
      <c r="D217" s="68">
        <v>0</v>
      </c>
      <c r="E217" s="68">
        <v>0</v>
      </c>
      <c r="F217" s="68">
        <v>68.680000000000007</v>
      </c>
      <c r="G217" s="68">
        <v>0</v>
      </c>
      <c r="H217" s="68">
        <v>68.680000000000007</v>
      </c>
      <c r="I217" s="68">
        <v>0</v>
      </c>
      <c r="J217" s="68">
        <v>68.680000000000007</v>
      </c>
    </row>
    <row r="218" spans="1:10">
      <c r="A218" s="66" t="s">
        <v>1403</v>
      </c>
      <c r="B218" s="66" t="s">
        <v>1404</v>
      </c>
      <c r="C218" s="68">
        <v>0</v>
      </c>
      <c r="D218" s="68">
        <v>0</v>
      </c>
      <c r="E218" s="68">
        <v>908570.25</v>
      </c>
      <c r="F218" s="68">
        <v>369769.36</v>
      </c>
      <c r="G218" s="68">
        <v>908570.25</v>
      </c>
      <c r="H218" s="68">
        <v>908570.25</v>
      </c>
      <c r="I218" s="68">
        <v>0</v>
      </c>
      <c r="J218" s="68">
        <v>0</v>
      </c>
    </row>
    <row r="219" spans="1:10">
      <c r="A219" s="66" t="s">
        <v>1405</v>
      </c>
      <c r="B219" s="66" t="s">
        <v>1406</v>
      </c>
      <c r="C219" s="68">
        <v>0</v>
      </c>
      <c r="D219" s="68">
        <v>3075</v>
      </c>
      <c r="E219" s="68">
        <v>2460</v>
      </c>
      <c r="F219" s="68">
        <v>2460</v>
      </c>
      <c r="G219" s="68">
        <v>33456</v>
      </c>
      <c r="H219" s="68">
        <v>35916</v>
      </c>
      <c r="I219" s="68">
        <v>0</v>
      </c>
      <c r="J219" s="68">
        <v>2460</v>
      </c>
    </row>
    <row r="220" spans="1:10">
      <c r="A220" s="66" t="s">
        <v>1407</v>
      </c>
      <c r="B220" s="66" t="s">
        <v>1408</v>
      </c>
      <c r="C220" s="68">
        <v>0</v>
      </c>
      <c r="D220" s="68">
        <v>31881.599999999999</v>
      </c>
      <c r="E220" s="68">
        <v>23638.139999999985</v>
      </c>
      <c r="F220" s="68">
        <v>36749.94</v>
      </c>
      <c r="G220" s="68">
        <v>187314.24</v>
      </c>
      <c r="H220" s="68">
        <v>206010.24000000002</v>
      </c>
      <c r="I220" s="68">
        <v>0</v>
      </c>
      <c r="J220" s="68">
        <v>18696.000000000029</v>
      </c>
    </row>
    <row r="221" spans="1:10">
      <c r="A221" s="66" t="s">
        <v>1409</v>
      </c>
      <c r="B221" s="66" t="s">
        <v>1410</v>
      </c>
      <c r="C221" s="68">
        <v>0</v>
      </c>
      <c r="D221" s="68">
        <v>0</v>
      </c>
      <c r="E221" s="68">
        <v>1171.1099999999997</v>
      </c>
      <c r="F221" s="68">
        <v>21.909999999999854</v>
      </c>
      <c r="G221" s="68">
        <v>7400.7599999999993</v>
      </c>
      <c r="H221" s="68">
        <v>7400.7599999999993</v>
      </c>
      <c r="I221" s="68">
        <v>0</v>
      </c>
      <c r="J221" s="68">
        <v>0</v>
      </c>
    </row>
    <row r="222" spans="1:10">
      <c r="A222" s="66" t="s">
        <v>1411</v>
      </c>
      <c r="B222" s="66" t="s">
        <v>1412</v>
      </c>
      <c r="C222" s="68">
        <v>0</v>
      </c>
      <c r="D222" s="68">
        <v>0</v>
      </c>
      <c r="E222" s="68">
        <v>0</v>
      </c>
      <c r="F222" s="68">
        <v>0</v>
      </c>
      <c r="G222" s="68">
        <v>20693.66</v>
      </c>
      <c r="H222" s="68">
        <v>20693.66</v>
      </c>
      <c r="I222" s="68">
        <v>0</v>
      </c>
      <c r="J222" s="68">
        <v>0</v>
      </c>
    </row>
    <row r="223" spans="1:10">
      <c r="A223" s="66" t="s">
        <v>1413</v>
      </c>
      <c r="B223" s="66" t="s">
        <v>1414</v>
      </c>
      <c r="C223" s="68">
        <v>0</v>
      </c>
      <c r="D223" s="68">
        <v>2159.23</v>
      </c>
      <c r="E223" s="68">
        <v>31.410000000003492</v>
      </c>
      <c r="F223" s="68">
        <v>11606.230000000003</v>
      </c>
      <c r="G223" s="68">
        <v>38544.520000000004</v>
      </c>
      <c r="H223" s="68">
        <v>37621.01</v>
      </c>
      <c r="I223" s="68">
        <v>923.51000000000204</v>
      </c>
      <c r="J223" s="68">
        <v>0</v>
      </c>
    </row>
    <row r="224" spans="1:10">
      <c r="A224" s="66" t="s">
        <v>1415</v>
      </c>
      <c r="B224" s="66" t="s">
        <v>1416</v>
      </c>
      <c r="C224" s="68">
        <v>0</v>
      </c>
      <c r="D224" s="68">
        <v>227734.42</v>
      </c>
      <c r="E224" s="68">
        <v>508502.02</v>
      </c>
      <c r="F224" s="68">
        <v>231645.74000000022</v>
      </c>
      <c r="G224" s="68">
        <v>2986342.65</v>
      </c>
      <c r="H224" s="68">
        <v>3217988.3899999997</v>
      </c>
      <c r="I224" s="68">
        <v>0</v>
      </c>
      <c r="J224" s="68">
        <v>231645.73999999976</v>
      </c>
    </row>
    <row r="225" spans="1:10">
      <c r="A225" s="66" t="s">
        <v>1417</v>
      </c>
      <c r="B225" s="66" t="s">
        <v>1418</v>
      </c>
      <c r="C225" s="68">
        <v>0</v>
      </c>
      <c r="D225" s="68">
        <v>0</v>
      </c>
      <c r="E225" s="68">
        <v>0</v>
      </c>
      <c r="F225" s="68">
        <v>680</v>
      </c>
      <c r="G225" s="68">
        <v>16571.11</v>
      </c>
      <c r="H225" s="68">
        <v>17251.11</v>
      </c>
      <c r="I225" s="68">
        <v>0</v>
      </c>
      <c r="J225" s="68">
        <v>680</v>
      </c>
    </row>
    <row r="226" spans="1:10">
      <c r="A226" s="66" t="s">
        <v>1419</v>
      </c>
      <c r="B226" s="66" t="s">
        <v>1420</v>
      </c>
      <c r="C226" s="68">
        <v>0</v>
      </c>
      <c r="D226" s="68">
        <v>0</v>
      </c>
      <c r="E226" s="68">
        <v>0</v>
      </c>
      <c r="F226" s="68">
        <v>0</v>
      </c>
      <c r="G226" s="68">
        <v>196.8</v>
      </c>
      <c r="H226" s="68">
        <v>196.8</v>
      </c>
      <c r="I226" s="68">
        <v>0</v>
      </c>
      <c r="J226" s="68">
        <v>0</v>
      </c>
    </row>
    <row r="227" spans="1:10">
      <c r="A227" s="66" t="s">
        <v>1421</v>
      </c>
      <c r="B227" s="66" t="s">
        <v>1422</v>
      </c>
      <c r="C227" s="68">
        <v>0</v>
      </c>
      <c r="D227" s="68">
        <v>0</v>
      </c>
      <c r="E227" s="68">
        <v>2940</v>
      </c>
      <c r="F227" s="68">
        <v>0</v>
      </c>
      <c r="G227" s="68">
        <v>2940</v>
      </c>
      <c r="H227" s="68">
        <v>2940</v>
      </c>
      <c r="I227" s="68">
        <v>0</v>
      </c>
      <c r="J227" s="68">
        <v>0</v>
      </c>
    </row>
    <row r="228" spans="1:10">
      <c r="A228" s="66" t="s">
        <v>1423</v>
      </c>
      <c r="B228" s="66" t="s">
        <v>1424</v>
      </c>
      <c r="C228" s="68">
        <v>0</v>
      </c>
      <c r="D228" s="68">
        <v>0</v>
      </c>
      <c r="E228" s="68">
        <v>0</v>
      </c>
      <c r="F228" s="68">
        <v>0</v>
      </c>
      <c r="G228" s="68">
        <v>1217.7</v>
      </c>
      <c r="H228" s="68">
        <v>1217.7</v>
      </c>
      <c r="I228" s="68">
        <v>0</v>
      </c>
      <c r="J228" s="68">
        <v>0</v>
      </c>
    </row>
    <row r="229" spans="1:10">
      <c r="A229" s="66" t="s">
        <v>1425</v>
      </c>
      <c r="B229" s="66" t="s">
        <v>1426</v>
      </c>
      <c r="C229" s="68">
        <v>0</v>
      </c>
      <c r="D229" s="68">
        <v>0</v>
      </c>
      <c r="E229" s="68">
        <v>0</v>
      </c>
      <c r="F229" s="68">
        <v>0</v>
      </c>
      <c r="G229" s="68">
        <v>1635.9</v>
      </c>
      <c r="H229" s="68">
        <v>1635.9</v>
      </c>
      <c r="I229" s="68">
        <v>0</v>
      </c>
      <c r="J229" s="68">
        <v>0</v>
      </c>
    </row>
    <row r="230" spans="1:10">
      <c r="A230" s="66" t="s">
        <v>1427</v>
      </c>
      <c r="B230" s="66" t="s">
        <v>1428</v>
      </c>
      <c r="C230" s="68">
        <v>0</v>
      </c>
      <c r="D230" s="68">
        <v>2349.3000000000002</v>
      </c>
      <c r="E230" s="68">
        <v>84755.839999999967</v>
      </c>
      <c r="F230" s="68">
        <v>73478.329999999958</v>
      </c>
      <c r="G230" s="68">
        <v>885311.34999999986</v>
      </c>
      <c r="H230" s="68">
        <v>957916.38</v>
      </c>
      <c r="I230" s="68">
        <v>0</v>
      </c>
      <c r="J230" s="68">
        <v>72605.030000000144</v>
      </c>
    </row>
    <row r="231" spans="1:10">
      <c r="A231" s="66" t="s">
        <v>1429</v>
      </c>
      <c r="B231" s="66" t="s">
        <v>1430</v>
      </c>
      <c r="C231" s="68">
        <v>0</v>
      </c>
      <c r="D231" s="68">
        <v>615</v>
      </c>
      <c r="E231" s="68">
        <v>0</v>
      </c>
      <c r="F231" s="68">
        <v>0</v>
      </c>
      <c r="G231" s="68">
        <v>615</v>
      </c>
      <c r="H231" s="68">
        <v>615</v>
      </c>
      <c r="I231" s="68">
        <v>0</v>
      </c>
      <c r="J231" s="68">
        <v>0</v>
      </c>
    </row>
    <row r="232" spans="1:10">
      <c r="A232" s="66" t="s">
        <v>1431</v>
      </c>
      <c r="B232" s="66" t="s">
        <v>1432</v>
      </c>
      <c r="C232" s="68">
        <v>0</v>
      </c>
      <c r="D232" s="68">
        <v>0</v>
      </c>
      <c r="E232" s="68">
        <v>0</v>
      </c>
      <c r="F232" s="68">
        <v>0</v>
      </c>
      <c r="G232" s="68">
        <v>47066.76</v>
      </c>
      <c r="H232" s="68">
        <v>47066.76</v>
      </c>
      <c r="I232" s="68">
        <v>0</v>
      </c>
      <c r="J232" s="68">
        <v>0</v>
      </c>
    </row>
    <row r="233" spans="1:10">
      <c r="A233" s="66" t="s">
        <v>1433</v>
      </c>
      <c r="B233" s="66" t="s">
        <v>1434</v>
      </c>
      <c r="C233" s="68">
        <v>0</v>
      </c>
      <c r="D233" s="68">
        <v>0</v>
      </c>
      <c r="E233" s="68">
        <v>7163.52</v>
      </c>
      <c r="F233" s="68">
        <v>0</v>
      </c>
      <c r="G233" s="68">
        <v>26184.240000000002</v>
      </c>
      <c r="H233" s="68">
        <v>26184.240000000002</v>
      </c>
      <c r="I233" s="68">
        <v>0</v>
      </c>
      <c r="J233" s="68">
        <v>0</v>
      </c>
    </row>
    <row r="234" spans="1:10">
      <c r="A234" s="66" t="s">
        <v>1435</v>
      </c>
      <c r="B234" s="66" t="s">
        <v>1436</v>
      </c>
      <c r="C234" s="68">
        <v>0</v>
      </c>
      <c r="D234" s="68">
        <v>959.4</v>
      </c>
      <c r="E234" s="68">
        <v>3136.5</v>
      </c>
      <c r="F234" s="68">
        <v>0</v>
      </c>
      <c r="G234" s="68">
        <v>31654.05</v>
      </c>
      <c r="H234" s="68">
        <v>31654.05</v>
      </c>
      <c r="I234" s="68">
        <v>0</v>
      </c>
      <c r="J234" s="68">
        <v>0</v>
      </c>
    </row>
    <row r="235" spans="1:10">
      <c r="A235" s="66" t="s">
        <v>1437</v>
      </c>
      <c r="B235" s="66" t="s">
        <v>1438</v>
      </c>
      <c r="C235" s="68">
        <v>0</v>
      </c>
      <c r="D235" s="68">
        <v>0</v>
      </c>
      <c r="E235" s="68">
        <v>0</v>
      </c>
      <c r="F235" s="68">
        <v>0</v>
      </c>
      <c r="G235" s="68">
        <v>6070.36</v>
      </c>
      <c r="H235" s="68">
        <v>6070.36</v>
      </c>
      <c r="I235" s="68">
        <v>0</v>
      </c>
      <c r="J235" s="68">
        <v>0</v>
      </c>
    </row>
    <row r="236" spans="1:10">
      <c r="A236" s="66" t="s">
        <v>1439</v>
      </c>
      <c r="B236" s="66" t="s">
        <v>1440</v>
      </c>
      <c r="C236" s="68">
        <v>0</v>
      </c>
      <c r="D236" s="68">
        <v>0</v>
      </c>
      <c r="E236" s="68">
        <v>4326.8000000000029</v>
      </c>
      <c r="F236" s="68">
        <v>0</v>
      </c>
      <c r="G236" s="68">
        <v>53004.79</v>
      </c>
      <c r="H236" s="68">
        <v>53004.79</v>
      </c>
      <c r="I236" s="68">
        <v>0</v>
      </c>
      <c r="J236" s="68">
        <v>0</v>
      </c>
    </row>
    <row r="237" spans="1:10">
      <c r="A237" s="66" t="s">
        <v>1441</v>
      </c>
      <c r="B237" s="66" t="s">
        <v>1442</v>
      </c>
      <c r="C237" s="68">
        <v>0</v>
      </c>
      <c r="D237" s="68">
        <v>0</v>
      </c>
      <c r="E237" s="68">
        <v>110</v>
      </c>
      <c r="F237" s="68">
        <v>0</v>
      </c>
      <c r="G237" s="68">
        <v>1436.01</v>
      </c>
      <c r="H237" s="68">
        <v>1436.01</v>
      </c>
      <c r="I237" s="68">
        <v>0</v>
      </c>
      <c r="J237" s="68">
        <v>0</v>
      </c>
    </row>
    <row r="238" spans="1:10">
      <c r="A238" s="66" t="s">
        <v>1443</v>
      </c>
      <c r="B238" s="66" t="s">
        <v>1444</v>
      </c>
      <c r="C238" s="68">
        <v>0</v>
      </c>
      <c r="D238" s="68">
        <v>0</v>
      </c>
      <c r="E238" s="68">
        <v>1578.880000000001</v>
      </c>
      <c r="F238" s="68">
        <v>789.44000000000051</v>
      </c>
      <c r="G238" s="68">
        <v>9420.0300000000025</v>
      </c>
      <c r="H238" s="68">
        <v>9420.0300000000025</v>
      </c>
      <c r="I238" s="68">
        <v>0</v>
      </c>
      <c r="J238" s="68">
        <v>0</v>
      </c>
    </row>
    <row r="239" spans="1:10">
      <c r="A239" s="66" t="s">
        <v>1445</v>
      </c>
      <c r="B239" s="66" t="s">
        <v>1446</v>
      </c>
      <c r="C239" s="68">
        <v>0</v>
      </c>
      <c r="D239" s="68">
        <v>113.97</v>
      </c>
      <c r="E239" s="68">
        <v>244.72000000000003</v>
      </c>
      <c r="F239" s="68">
        <v>122.3599999999999</v>
      </c>
      <c r="G239" s="68">
        <v>1952.9099999999996</v>
      </c>
      <c r="H239" s="68">
        <v>1952.9099999999999</v>
      </c>
      <c r="I239" s="68">
        <v>0</v>
      </c>
      <c r="J239" s="68">
        <v>2.2737367544323206E-13</v>
      </c>
    </row>
    <row r="240" spans="1:10">
      <c r="A240" s="66" t="s">
        <v>1447</v>
      </c>
      <c r="B240" s="66" t="s">
        <v>1448</v>
      </c>
      <c r="C240" s="68">
        <v>0</v>
      </c>
      <c r="D240" s="68">
        <v>0</v>
      </c>
      <c r="E240" s="68">
        <v>2640.7899999999991</v>
      </c>
      <c r="F240" s="68">
        <v>0</v>
      </c>
      <c r="G240" s="68">
        <v>17328.759999999998</v>
      </c>
      <c r="H240" s="68">
        <v>17328.759999999998</v>
      </c>
      <c r="I240" s="68">
        <v>0</v>
      </c>
      <c r="J240" s="68">
        <v>0</v>
      </c>
    </row>
    <row r="241" spans="1:10">
      <c r="A241" s="66" t="s">
        <v>1449</v>
      </c>
      <c r="B241" s="66" t="s">
        <v>1450</v>
      </c>
      <c r="C241" s="68">
        <v>0</v>
      </c>
      <c r="D241" s="68">
        <v>0</v>
      </c>
      <c r="E241" s="68">
        <v>0</v>
      </c>
      <c r="F241" s="68">
        <v>0</v>
      </c>
      <c r="G241" s="68">
        <v>13923.6</v>
      </c>
      <c r="H241" s="68">
        <v>13923.6</v>
      </c>
      <c r="I241" s="68">
        <v>0</v>
      </c>
      <c r="J241" s="68">
        <v>0</v>
      </c>
    </row>
    <row r="242" spans="1:10">
      <c r="A242" s="66" t="s">
        <v>1451</v>
      </c>
      <c r="B242" s="66" t="s">
        <v>1452</v>
      </c>
      <c r="C242" s="68">
        <v>9.31</v>
      </c>
      <c r="D242" s="68">
        <v>0</v>
      </c>
      <c r="E242" s="68">
        <v>0</v>
      </c>
      <c r="F242" s="68">
        <v>9.3099999999976717</v>
      </c>
      <c r="G242" s="68">
        <v>456597.14</v>
      </c>
      <c r="H242" s="68">
        <v>456597.13999999996</v>
      </c>
      <c r="I242" s="68">
        <v>5.8207660913467407E-11</v>
      </c>
      <c r="J242" s="68">
        <v>0</v>
      </c>
    </row>
    <row r="243" spans="1:10">
      <c r="A243" s="66" t="s">
        <v>1453</v>
      </c>
      <c r="B243" s="66" t="s">
        <v>1454</v>
      </c>
      <c r="C243" s="68">
        <v>0</v>
      </c>
      <c r="D243" s="68">
        <v>602.70000000000005</v>
      </c>
      <c r="E243" s="68">
        <v>13530</v>
      </c>
      <c r="F243" s="68">
        <v>0</v>
      </c>
      <c r="G243" s="68">
        <v>170304.22</v>
      </c>
      <c r="H243" s="68">
        <v>170304.22</v>
      </c>
      <c r="I243" s="68">
        <v>0</v>
      </c>
      <c r="J243" s="68">
        <v>0</v>
      </c>
    </row>
    <row r="244" spans="1:10">
      <c r="A244" s="66" t="s">
        <v>1455</v>
      </c>
      <c r="B244" s="66" t="s">
        <v>1456</v>
      </c>
      <c r="C244" s="68">
        <v>0</v>
      </c>
      <c r="D244" s="68">
        <v>0</v>
      </c>
      <c r="E244" s="68">
        <v>1563.87</v>
      </c>
      <c r="F244" s="68">
        <v>0</v>
      </c>
      <c r="G244" s="68">
        <v>3940.18</v>
      </c>
      <c r="H244" s="68">
        <v>3940.1800000000003</v>
      </c>
      <c r="I244" s="68">
        <v>0</v>
      </c>
      <c r="J244" s="68">
        <v>4.5474735088646412E-13</v>
      </c>
    </row>
    <row r="245" spans="1:10">
      <c r="A245" s="66" t="s">
        <v>1457</v>
      </c>
      <c r="B245" s="66" t="s">
        <v>1458</v>
      </c>
      <c r="C245" s="68">
        <v>0</v>
      </c>
      <c r="D245" s="68">
        <v>96188.46</v>
      </c>
      <c r="E245" s="68">
        <v>0</v>
      </c>
      <c r="F245" s="68">
        <v>5412</v>
      </c>
      <c r="G245" s="68">
        <v>96188.46</v>
      </c>
      <c r="H245" s="68">
        <v>101600.46</v>
      </c>
      <c r="I245" s="68">
        <v>0</v>
      </c>
      <c r="J245" s="68">
        <v>5412</v>
      </c>
    </row>
    <row r="246" spans="1:10">
      <c r="A246" s="66" t="s">
        <v>1459</v>
      </c>
      <c r="B246" s="66" t="s">
        <v>1460</v>
      </c>
      <c r="C246" s="68">
        <v>0</v>
      </c>
      <c r="D246" s="68">
        <v>0</v>
      </c>
      <c r="E246" s="68">
        <v>0</v>
      </c>
      <c r="F246" s="68">
        <v>0</v>
      </c>
      <c r="G246" s="68">
        <v>1531.35</v>
      </c>
      <c r="H246" s="68">
        <v>1531.35</v>
      </c>
      <c r="I246" s="68">
        <v>0</v>
      </c>
      <c r="J246" s="68">
        <v>0</v>
      </c>
    </row>
    <row r="247" spans="1:10">
      <c r="A247" s="66" t="s">
        <v>1461</v>
      </c>
      <c r="B247" s="66" t="s">
        <v>1462</v>
      </c>
      <c r="C247" s="68">
        <v>0</v>
      </c>
      <c r="D247" s="68">
        <v>0</v>
      </c>
      <c r="E247" s="68">
        <v>0</v>
      </c>
      <c r="F247" s="68">
        <v>0</v>
      </c>
      <c r="G247" s="68">
        <v>1202.83</v>
      </c>
      <c r="H247" s="68">
        <v>1202.83</v>
      </c>
      <c r="I247" s="68">
        <v>0</v>
      </c>
      <c r="J247" s="68">
        <v>0</v>
      </c>
    </row>
    <row r="248" spans="1:10">
      <c r="A248" s="66" t="s">
        <v>1463</v>
      </c>
      <c r="B248" s="66" t="s">
        <v>1464</v>
      </c>
      <c r="C248" s="68">
        <v>0</v>
      </c>
      <c r="D248" s="68">
        <v>0</v>
      </c>
      <c r="E248" s="68">
        <v>0</v>
      </c>
      <c r="F248" s="68">
        <v>0</v>
      </c>
      <c r="G248" s="68">
        <v>94.98</v>
      </c>
      <c r="H248" s="68">
        <v>94.98</v>
      </c>
      <c r="I248" s="68">
        <v>0</v>
      </c>
      <c r="J248" s="68">
        <v>0</v>
      </c>
    </row>
    <row r="249" spans="1:10">
      <c r="A249" s="66" t="s">
        <v>1465</v>
      </c>
      <c r="B249" s="66" t="s">
        <v>1466</v>
      </c>
      <c r="C249" s="68">
        <v>0</v>
      </c>
      <c r="D249" s="68">
        <v>0</v>
      </c>
      <c r="E249" s="68">
        <v>0</v>
      </c>
      <c r="F249" s="68">
        <v>0</v>
      </c>
      <c r="G249" s="68">
        <v>390.8</v>
      </c>
      <c r="H249" s="68">
        <v>390.8</v>
      </c>
      <c r="I249" s="68">
        <v>0</v>
      </c>
      <c r="J249" s="68">
        <v>0</v>
      </c>
    </row>
    <row r="250" spans="1:10">
      <c r="A250" s="66" t="s">
        <v>1467</v>
      </c>
      <c r="B250" s="66" t="s">
        <v>1468</v>
      </c>
      <c r="C250" s="68">
        <v>0</v>
      </c>
      <c r="D250" s="68">
        <v>0</v>
      </c>
      <c r="E250" s="68">
        <v>0</v>
      </c>
      <c r="F250" s="68">
        <v>0</v>
      </c>
      <c r="G250" s="68">
        <v>307.5</v>
      </c>
      <c r="H250" s="68">
        <v>307.5</v>
      </c>
      <c r="I250" s="68">
        <v>0</v>
      </c>
      <c r="J250" s="68">
        <v>0</v>
      </c>
    </row>
    <row r="251" spans="1:10">
      <c r="A251" s="66" t="s">
        <v>1469</v>
      </c>
      <c r="B251" s="66" t="s">
        <v>1470</v>
      </c>
      <c r="C251" s="68">
        <v>0</v>
      </c>
      <c r="D251" s="68">
        <v>0</v>
      </c>
      <c r="E251" s="68">
        <v>0</v>
      </c>
      <c r="F251" s="68">
        <v>417.86000000000013</v>
      </c>
      <c r="G251" s="68">
        <v>3290.3899999999994</v>
      </c>
      <c r="H251" s="68">
        <v>3708.2499999999995</v>
      </c>
      <c r="I251" s="68">
        <v>0</v>
      </c>
      <c r="J251" s="68">
        <v>417.86000000000013</v>
      </c>
    </row>
    <row r="252" spans="1:10">
      <c r="A252" s="66" t="s">
        <v>1471</v>
      </c>
      <c r="B252" s="66" t="s">
        <v>1472</v>
      </c>
      <c r="C252" s="68">
        <v>0</v>
      </c>
      <c r="D252" s="68">
        <v>0</v>
      </c>
      <c r="E252" s="68">
        <v>0</v>
      </c>
      <c r="F252" s="68">
        <v>0</v>
      </c>
      <c r="G252" s="68">
        <v>7073.57</v>
      </c>
      <c r="H252" s="68">
        <v>7073.57</v>
      </c>
      <c r="I252" s="68">
        <v>0</v>
      </c>
      <c r="J252" s="68">
        <v>0</v>
      </c>
    </row>
    <row r="253" spans="1:10">
      <c r="A253" s="66" t="s">
        <v>1473</v>
      </c>
      <c r="B253" s="66" t="s">
        <v>1474</v>
      </c>
      <c r="C253" s="68">
        <v>0</v>
      </c>
      <c r="D253" s="68">
        <v>0</v>
      </c>
      <c r="E253" s="68">
        <v>855.36000000000013</v>
      </c>
      <c r="F253" s="68">
        <v>0</v>
      </c>
      <c r="G253" s="68">
        <v>3750.61</v>
      </c>
      <c r="H253" s="68">
        <v>3750.6099999999997</v>
      </c>
      <c r="I253" s="68">
        <v>4.5474735088646412E-13</v>
      </c>
      <c r="J253" s="68">
        <v>0</v>
      </c>
    </row>
    <row r="254" spans="1:10">
      <c r="A254" s="66" t="s">
        <v>1475</v>
      </c>
      <c r="B254" s="66" t="s">
        <v>1476</v>
      </c>
      <c r="C254" s="68">
        <v>0</v>
      </c>
      <c r="D254" s="68">
        <v>0</v>
      </c>
      <c r="E254" s="68">
        <v>1722</v>
      </c>
      <c r="F254" s="68">
        <v>9950.7000000000116</v>
      </c>
      <c r="G254" s="68">
        <v>413203.74</v>
      </c>
      <c r="H254" s="68">
        <v>422539.44000000012</v>
      </c>
      <c r="I254" s="68">
        <v>0</v>
      </c>
      <c r="J254" s="68">
        <v>9335.7000000001281</v>
      </c>
    </row>
    <row r="255" spans="1:10">
      <c r="A255" s="66" t="s">
        <v>1477</v>
      </c>
      <c r="B255" s="66" t="s">
        <v>1478</v>
      </c>
      <c r="C255" s="68">
        <v>0</v>
      </c>
      <c r="D255" s="68">
        <v>3911</v>
      </c>
      <c r="E255" s="68">
        <v>4725</v>
      </c>
      <c r="F255" s="68">
        <v>3705</v>
      </c>
      <c r="G255" s="68">
        <v>60866</v>
      </c>
      <c r="H255" s="68">
        <v>64571</v>
      </c>
      <c r="I255" s="68">
        <v>0</v>
      </c>
      <c r="J255" s="68">
        <v>3705</v>
      </c>
    </row>
    <row r="256" spans="1:10">
      <c r="A256" s="66" t="s">
        <v>1479</v>
      </c>
      <c r="B256" s="66" t="s">
        <v>1480</v>
      </c>
      <c r="C256" s="68">
        <v>0</v>
      </c>
      <c r="D256" s="68">
        <v>0</v>
      </c>
      <c r="E256" s="68">
        <v>1036.8000000000002</v>
      </c>
      <c r="F256" s="68">
        <v>1036.8000000000002</v>
      </c>
      <c r="G256" s="68">
        <v>6871.8</v>
      </c>
      <c r="H256" s="68">
        <v>6871.8</v>
      </c>
      <c r="I256" s="68">
        <v>0</v>
      </c>
      <c r="J256" s="68">
        <v>0</v>
      </c>
    </row>
    <row r="257" spans="1:10">
      <c r="A257" s="66" t="s">
        <v>1481</v>
      </c>
      <c r="B257" s="66" t="s">
        <v>1482</v>
      </c>
      <c r="C257" s="68">
        <v>0</v>
      </c>
      <c r="D257" s="68">
        <v>0</v>
      </c>
      <c r="E257" s="68">
        <v>0</v>
      </c>
      <c r="F257" s="68">
        <v>0</v>
      </c>
      <c r="G257" s="68">
        <v>8622.3000000000011</v>
      </c>
      <c r="H257" s="68">
        <v>8622.3000000000011</v>
      </c>
      <c r="I257" s="68">
        <v>0</v>
      </c>
      <c r="J257" s="68">
        <v>0</v>
      </c>
    </row>
    <row r="258" spans="1:10">
      <c r="A258" s="66" t="s">
        <v>1483</v>
      </c>
      <c r="B258" s="66" t="s">
        <v>1484</v>
      </c>
      <c r="C258" s="68">
        <v>0</v>
      </c>
      <c r="D258" s="68">
        <v>2324.3200000000002</v>
      </c>
      <c r="E258" s="68">
        <v>0</v>
      </c>
      <c r="F258" s="68">
        <v>0</v>
      </c>
      <c r="G258" s="68">
        <v>44553.460000000006</v>
      </c>
      <c r="H258" s="68">
        <v>44553.46</v>
      </c>
      <c r="I258" s="68">
        <v>7.2759576141834259E-12</v>
      </c>
      <c r="J258" s="68">
        <v>0</v>
      </c>
    </row>
    <row r="259" spans="1:10">
      <c r="A259" s="66" t="s">
        <v>1485</v>
      </c>
      <c r="B259" s="66" t="s">
        <v>1486</v>
      </c>
      <c r="C259" s="68">
        <v>0</v>
      </c>
      <c r="D259" s="68">
        <v>0</v>
      </c>
      <c r="E259" s="68">
        <v>0</v>
      </c>
      <c r="F259" s="68">
        <v>0</v>
      </c>
      <c r="G259" s="68">
        <v>4921.8500000000004</v>
      </c>
      <c r="H259" s="68">
        <v>4921.8500000000004</v>
      </c>
      <c r="I259" s="68">
        <v>0</v>
      </c>
      <c r="J259" s="68">
        <v>0</v>
      </c>
    </row>
    <row r="260" spans="1:10">
      <c r="A260" s="66" t="s">
        <v>1487</v>
      </c>
      <c r="B260" s="66" t="s">
        <v>1488</v>
      </c>
      <c r="C260" s="68">
        <v>0</v>
      </c>
      <c r="D260" s="68">
        <v>0</v>
      </c>
      <c r="E260" s="68">
        <v>0</v>
      </c>
      <c r="F260" s="68">
        <v>0</v>
      </c>
      <c r="G260" s="68">
        <v>12275.4</v>
      </c>
      <c r="H260" s="68">
        <v>12275.399999999998</v>
      </c>
      <c r="I260" s="68">
        <v>1.8189894035458565E-12</v>
      </c>
      <c r="J260" s="68">
        <v>0</v>
      </c>
    </row>
    <row r="261" spans="1:10">
      <c r="A261" s="66" t="s">
        <v>1489</v>
      </c>
      <c r="B261" s="66" t="s">
        <v>1490</v>
      </c>
      <c r="C261" s="68">
        <v>0</v>
      </c>
      <c r="D261" s="68">
        <v>1559.1</v>
      </c>
      <c r="E261" s="68">
        <v>3809.2800000000025</v>
      </c>
      <c r="F261" s="68">
        <v>3771.8799999999974</v>
      </c>
      <c r="G261" s="68">
        <v>36359.43</v>
      </c>
      <c r="H261" s="68">
        <v>40131.31</v>
      </c>
      <c r="I261" s="68">
        <v>0</v>
      </c>
      <c r="J261" s="68">
        <v>3771.8799999999974</v>
      </c>
    </row>
    <row r="262" spans="1:10">
      <c r="A262" s="66" t="s">
        <v>1491</v>
      </c>
      <c r="B262" s="66" t="s">
        <v>1492</v>
      </c>
      <c r="C262" s="68">
        <v>0</v>
      </c>
      <c r="D262" s="68">
        <v>0</v>
      </c>
      <c r="E262" s="68">
        <v>608.85000000000036</v>
      </c>
      <c r="F262" s="68">
        <v>0</v>
      </c>
      <c r="G262" s="68">
        <v>7306.2000000000016</v>
      </c>
      <c r="H262" s="68">
        <v>7306.2000000000016</v>
      </c>
      <c r="I262" s="68">
        <v>0</v>
      </c>
      <c r="J262" s="68">
        <v>0</v>
      </c>
    </row>
    <row r="263" spans="1:10">
      <c r="A263" s="66" t="s">
        <v>1493</v>
      </c>
      <c r="B263" s="66" t="s">
        <v>1494</v>
      </c>
      <c r="C263" s="68">
        <v>0</v>
      </c>
      <c r="D263" s="68">
        <v>0</v>
      </c>
      <c r="E263" s="68">
        <v>0</v>
      </c>
      <c r="F263" s="68">
        <v>0</v>
      </c>
      <c r="G263" s="68">
        <v>89593.2</v>
      </c>
      <c r="H263" s="68">
        <v>89593.2</v>
      </c>
      <c r="I263" s="68">
        <v>0</v>
      </c>
      <c r="J263" s="68">
        <v>0</v>
      </c>
    </row>
    <row r="264" spans="1:10">
      <c r="A264" s="66" t="s">
        <v>1495</v>
      </c>
      <c r="B264" s="66" t="s">
        <v>1496</v>
      </c>
      <c r="C264" s="68">
        <v>0</v>
      </c>
      <c r="D264" s="68">
        <v>0</v>
      </c>
      <c r="E264" s="68">
        <v>0</v>
      </c>
      <c r="F264" s="68">
        <v>0</v>
      </c>
      <c r="G264" s="68">
        <v>177120</v>
      </c>
      <c r="H264" s="68">
        <v>177120</v>
      </c>
      <c r="I264" s="68">
        <v>0</v>
      </c>
      <c r="J264" s="68">
        <v>0</v>
      </c>
    </row>
    <row r="265" spans="1:10">
      <c r="A265" s="66" t="s">
        <v>1497</v>
      </c>
      <c r="B265" s="66" t="s">
        <v>1498</v>
      </c>
      <c r="C265" s="68">
        <v>0</v>
      </c>
      <c r="D265" s="68">
        <v>2460</v>
      </c>
      <c r="E265" s="68">
        <v>2460</v>
      </c>
      <c r="F265" s="68">
        <v>1230</v>
      </c>
      <c r="G265" s="68">
        <v>15990</v>
      </c>
      <c r="H265" s="68">
        <v>17220</v>
      </c>
      <c r="I265" s="68">
        <v>0</v>
      </c>
      <c r="J265" s="68">
        <v>1230</v>
      </c>
    </row>
    <row r="266" spans="1:10">
      <c r="A266" s="66" t="s">
        <v>1499</v>
      </c>
      <c r="B266" s="66" t="s">
        <v>1500</v>
      </c>
      <c r="C266" s="68">
        <v>0</v>
      </c>
      <c r="D266" s="68">
        <v>0</v>
      </c>
      <c r="E266" s="68">
        <v>0</v>
      </c>
      <c r="F266" s="68">
        <v>442.80000000000018</v>
      </c>
      <c r="G266" s="68">
        <v>1968</v>
      </c>
      <c r="H266" s="68">
        <v>2410.8000000000002</v>
      </c>
      <c r="I266" s="68">
        <v>0</v>
      </c>
      <c r="J266" s="68">
        <v>442.80000000000018</v>
      </c>
    </row>
    <row r="267" spans="1:10">
      <c r="A267" s="66" t="s">
        <v>1501</v>
      </c>
      <c r="B267" s="66" t="s">
        <v>1502</v>
      </c>
      <c r="C267" s="68">
        <v>0</v>
      </c>
      <c r="D267" s="68">
        <v>5151</v>
      </c>
      <c r="E267" s="68">
        <v>10000</v>
      </c>
      <c r="F267" s="68">
        <v>5000</v>
      </c>
      <c r="G267" s="68">
        <v>60777</v>
      </c>
      <c r="H267" s="68">
        <v>65777</v>
      </c>
      <c r="I267" s="68">
        <v>0</v>
      </c>
      <c r="J267" s="68">
        <v>5000</v>
      </c>
    </row>
    <row r="268" spans="1:10">
      <c r="A268" s="66" t="s">
        <v>1503</v>
      </c>
      <c r="B268" s="66" t="s">
        <v>1504</v>
      </c>
      <c r="C268" s="68">
        <v>0</v>
      </c>
      <c r="D268" s="68">
        <v>0</v>
      </c>
      <c r="E268" s="68">
        <v>647.62999999999965</v>
      </c>
      <c r="F268" s="68">
        <v>483.20000000000027</v>
      </c>
      <c r="G268" s="68">
        <v>4238.2199999999993</v>
      </c>
      <c r="H268" s="68">
        <v>4238.22</v>
      </c>
      <c r="I268" s="68">
        <v>0</v>
      </c>
      <c r="J268" s="68">
        <v>9.0949470177292824E-13</v>
      </c>
    </row>
    <row r="269" spans="1:10">
      <c r="A269" s="66" t="s">
        <v>1505</v>
      </c>
      <c r="B269" s="66" t="s">
        <v>1506</v>
      </c>
      <c r="C269" s="68">
        <v>0</v>
      </c>
      <c r="D269" s="68">
        <v>0</v>
      </c>
      <c r="E269" s="68">
        <v>53348.180000000051</v>
      </c>
      <c r="F269" s="68">
        <v>0</v>
      </c>
      <c r="G269" s="68">
        <v>568982.94999999995</v>
      </c>
      <c r="H269" s="68">
        <v>568982.94999999995</v>
      </c>
      <c r="I269" s="68">
        <v>0</v>
      </c>
      <c r="J269" s="68">
        <v>0</v>
      </c>
    </row>
    <row r="270" spans="1:10">
      <c r="A270" s="66" t="s">
        <v>1507</v>
      </c>
      <c r="B270" s="66" t="s">
        <v>1508</v>
      </c>
      <c r="C270" s="68">
        <v>0</v>
      </c>
      <c r="D270" s="68">
        <v>18834.099999999999</v>
      </c>
      <c r="E270" s="68">
        <v>9240</v>
      </c>
      <c r="F270" s="68">
        <v>9240</v>
      </c>
      <c r="G270" s="68">
        <v>31008.1</v>
      </c>
      <c r="H270" s="68">
        <v>31008.1</v>
      </c>
      <c r="I270" s="68">
        <v>0</v>
      </c>
      <c r="J270" s="68">
        <v>0</v>
      </c>
    </row>
    <row r="271" spans="1:10">
      <c r="A271" s="66" t="s">
        <v>1509</v>
      </c>
      <c r="B271" s="66" t="s">
        <v>1510</v>
      </c>
      <c r="C271" s="68">
        <v>0</v>
      </c>
      <c r="D271" s="68">
        <v>495341.21</v>
      </c>
      <c r="E271" s="68">
        <v>637600.83000000007</v>
      </c>
      <c r="F271" s="68">
        <v>89757.930000000168</v>
      </c>
      <c r="G271" s="68">
        <v>3950007.7800000003</v>
      </c>
      <c r="H271" s="68">
        <v>4039765.7100000004</v>
      </c>
      <c r="I271" s="68">
        <v>0</v>
      </c>
      <c r="J271" s="68">
        <v>89757.930000000168</v>
      </c>
    </row>
    <row r="272" spans="1:10">
      <c r="A272" s="66" t="s">
        <v>1511</v>
      </c>
      <c r="B272" s="66" t="s">
        <v>1512</v>
      </c>
      <c r="C272" s="68">
        <v>0</v>
      </c>
      <c r="D272" s="68">
        <v>0</v>
      </c>
      <c r="E272" s="68">
        <v>54</v>
      </c>
      <c r="F272" s="68">
        <v>54</v>
      </c>
      <c r="G272" s="68">
        <v>358</v>
      </c>
      <c r="H272" s="68">
        <v>358</v>
      </c>
      <c r="I272" s="68">
        <v>0</v>
      </c>
      <c r="J272" s="68">
        <v>0</v>
      </c>
    </row>
    <row r="273" spans="1:10">
      <c r="A273" s="66" t="s">
        <v>1513</v>
      </c>
      <c r="B273" s="66" t="s">
        <v>1514</v>
      </c>
      <c r="C273" s="68">
        <v>0</v>
      </c>
      <c r="D273" s="68">
        <v>0</v>
      </c>
      <c r="E273" s="68">
        <v>0</v>
      </c>
      <c r="F273" s="68">
        <v>0</v>
      </c>
      <c r="G273" s="68">
        <v>5703.17</v>
      </c>
      <c r="H273" s="68">
        <v>5703.17</v>
      </c>
      <c r="I273" s="68">
        <v>0</v>
      </c>
      <c r="J273" s="68">
        <v>0</v>
      </c>
    </row>
    <row r="274" spans="1:10">
      <c r="A274" s="66" t="s">
        <v>1515</v>
      </c>
      <c r="B274" s="66" t="s">
        <v>1516</v>
      </c>
      <c r="C274" s="68">
        <v>0</v>
      </c>
      <c r="D274" s="68">
        <v>0</v>
      </c>
      <c r="E274" s="68">
        <v>0</v>
      </c>
      <c r="F274" s="68">
        <v>0</v>
      </c>
      <c r="G274" s="68">
        <v>3997.5</v>
      </c>
      <c r="H274" s="68">
        <v>3997.5</v>
      </c>
      <c r="I274" s="68">
        <v>0</v>
      </c>
      <c r="J274" s="68">
        <v>0</v>
      </c>
    </row>
    <row r="275" spans="1:10">
      <c r="A275" s="66" t="s">
        <v>1517</v>
      </c>
      <c r="B275" s="66" t="s">
        <v>1518</v>
      </c>
      <c r="C275" s="68">
        <v>0</v>
      </c>
      <c r="D275" s="68">
        <v>861</v>
      </c>
      <c r="E275" s="68">
        <v>0</v>
      </c>
      <c r="F275" s="68">
        <v>0</v>
      </c>
      <c r="G275" s="68">
        <v>12120.89</v>
      </c>
      <c r="H275" s="68">
        <v>12120.890000000001</v>
      </c>
      <c r="I275" s="68">
        <v>0</v>
      </c>
      <c r="J275" s="68">
        <v>1.8189894035458565E-12</v>
      </c>
    </row>
    <row r="276" spans="1:10">
      <c r="A276" s="66" t="s">
        <v>1519</v>
      </c>
      <c r="B276" s="66" t="s">
        <v>1520</v>
      </c>
      <c r="C276" s="68">
        <v>0</v>
      </c>
      <c r="D276" s="68">
        <v>0</v>
      </c>
      <c r="E276" s="68">
        <v>1295.5899999999999</v>
      </c>
      <c r="F276" s="68">
        <v>521.40000000000009</v>
      </c>
      <c r="G276" s="68">
        <v>2965</v>
      </c>
      <c r="H276" s="68">
        <v>2965.0000000000005</v>
      </c>
      <c r="I276" s="68">
        <v>0</v>
      </c>
      <c r="J276" s="68">
        <v>4.5474735088646412E-13</v>
      </c>
    </row>
    <row r="277" spans="1:10">
      <c r="A277" s="66" t="s">
        <v>1521</v>
      </c>
      <c r="B277" s="66" t="s">
        <v>1522</v>
      </c>
      <c r="C277" s="68">
        <v>0</v>
      </c>
      <c r="D277" s="68">
        <v>0</v>
      </c>
      <c r="E277" s="68">
        <v>0</v>
      </c>
      <c r="F277" s="68">
        <v>0</v>
      </c>
      <c r="G277" s="68">
        <v>1057.2</v>
      </c>
      <c r="H277" s="68">
        <v>1057.2</v>
      </c>
      <c r="I277" s="68">
        <v>0</v>
      </c>
      <c r="J277" s="68">
        <v>0</v>
      </c>
    </row>
    <row r="278" spans="1:10">
      <c r="A278" s="66" t="s">
        <v>1523</v>
      </c>
      <c r="B278" s="66" t="s">
        <v>1524</v>
      </c>
      <c r="C278" s="68">
        <v>0</v>
      </c>
      <c r="D278" s="68">
        <v>0</v>
      </c>
      <c r="E278" s="68">
        <v>4320</v>
      </c>
      <c r="F278" s="68">
        <v>2160</v>
      </c>
      <c r="G278" s="68">
        <v>4708.8</v>
      </c>
      <c r="H278" s="68">
        <v>4708.8</v>
      </c>
      <c r="I278" s="68">
        <v>0</v>
      </c>
      <c r="J278" s="68">
        <v>0</v>
      </c>
    </row>
    <row r="279" spans="1:10">
      <c r="A279" s="66" t="s">
        <v>1525</v>
      </c>
      <c r="B279" s="66" t="s">
        <v>1526</v>
      </c>
      <c r="C279" s="68">
        <v>0</v>
      </c>
      <c r="D279" s="68">
        <v>553.5</v>
      </c>
      <c r="E279" s="68">
        <v>0</v>
      </c>
      <c r="F279" s="68">
        <v>0</v>
      </c>
      <c r="G279" s="68">
        <v>554.96</v>
      </c>
      <c r="H279" s="68">
        <v>554.96</v>
      </c>
      <c r="I279" s="68">
        <v>0</v>
      </c>
      <c r="J279" s="68">
        <v>0</v>
      </c>
    </row>
    <row r="280" spans="1:10">
      <c r="A280" s="66" t="s">
        <v>1527</v>
      </c>
      <c r="B280" s="66" t="s">
        <v>1528</v>
      </c>
      <c r="C280" s="68">
        <v>0</v>
      </c>
      <c r="D280" s="68">
        <v>234.32</v>
      </c>
      <c r="E280" s="68">
        <v>0</v>
      </c>
      <c r="F280" s="68">
        <v>0</v>
      </c>
      <c r="G280" s="68">
        <v>378.85</v>
      </c>
      <c r="H280" s="68">
        <v>378.85</v>
      </c>
      <c r="I280" s="68">
        <v>0</v>
      </c>
      <c r="J280" s="68">
        <v>0</v>
      </c>
    </row>
    <row r="281" spans="1:10">
      <c r="A281" s="66" t="s">
        <v>1529</v>
      </c>
      <c r="B281" s="66" t="s">
        <v>1530</v>
      </c>
      <c r="C281" s="68">
        <v>0</v>
      </c>
      <c r="D281" s="68">
        <v>918</v>
      </c>
      <c r="E281" s="68">
        <v>0</v>
      </c>
      <c r="F281" s="68">
        <v>0</v>
      </c>
      <c r="G281" s="68">
        <v>4672.9400000000005</v>
      </c>
      <c r="H281" s="68">
        <v>4672.9399999999996</v>
      </c>
      <c r="I281" s="68">
        <v>9.0949470177292824E-13</v>
      </c>
      <c r="J281" s="68">
        <v>0</v>
      </c>
    </row>
    <row r="282" spans="1:10">
      <c r="A282" s="66" t="s">
        <v>1531</v>
      </c>
      <c r="B282" s="66" t="s">
        <v>1532</v>
      </c>
      <c r="C282" s="68">
        <v>0</v>
      </c>
      <c r="D282" s="68">
        <v>0</v>
      </c>
      <c r="E282" s="68">
        <v>0</v>
      </c>
      <c r="F282" s="68">
        <v>0</v>
      </c>
      <c r="G282" s="68">
        <v>1283.02</v>
      </c>
      <c r="H282" s="68">
        <v>1283.02</v>
      </c>
      <c r="I282" s="68">
        <v>0</v>
      </c>
      <c r="J282" s="68">
        <v>0</v>
      </c>
    </row>
    <row r="283" spans="1:10">
      <c r="A283" s="66" t="s">
        <v>1533</v>
      </c>
      <c r="B283" s="66" t="s">
        <v>1534</v>
      </c>
      <c r="C283" s="68">
        <v>0</v>
      </c>
      <c r="D283" s="68">
        <v>1230</v>
      </c>
      <c r="E283" s="68">
        <v>2558.4000000000015</v>
      </c>
      <c r="F283" s="68">
        <v>2558.4000000000015</v>
      </c>
      <c r="G283" s="68">
        <v>30110.400000000009</v>
      </c>
      <c r="H283" s="68">
        <v>32668.80000000001</v>
      </c>
      <c r="I283" s="68">
        <v>0</v>
      </c>
      <c r="J283" s="68">
        <v>2558.4000000000015</v>
      </c>
    </row>
    <row r="284" spans="1:10">
      <c r="A284" s="66" t="s">
        <v>1535</v>
      </c>
      <c r="B284" s="66" t="s">
        <v>1536</v>
      </c>
      <c r="C284" s="68">
        <v>0</v>
      </c>
      <c r="D284" s="68">
        <v>3653.62</v>
      </c>
      <c r="E284" s="68">
        <v>0</v>
      </c>
      <c r="F284" s="68">
        <v>0</v>
      </c>
      <c r="G284" s="68">
        <v>15531.470000000001</v>
      </c>
      <c r="H284" s="68">
        <v>15531.469999999998</v>
      </c>
      <c r="I284" s="68">
        <v>3.637978807091713E-12</v>
      </c>
      <c r="J284" s="68">
        <v>0</v>
      </c>
    </row>
    <row r="285" spans="1:10">
      <c r="A285" s="66" t="s">
        <v>1537</v>
      </c>
      <c r="B285" s="66" t="s">
        <v>1538</v>
      </c>
      <c r="C285" s="68">
        <v>0</v>
      </c>
      <c r="D285" s="68">
        <v>55350</v>
      </c>
      <c r="E285" s="68">
        <v>24600</v>
      </c>
      <c r="F285" s="68">
        <v>86100</v>
      </c>
      <c r="G285" s="68">
        <v>282900</v>
      </c>
      <c r="H285" s="68">
        <v>369000</v>
      </c>
      <c r="I285" s="68">
        <v>0</v>
      </c>
      <c r="J285" s="68">
        <v>86100</v>
      </c>
    </row>
    <row r="286" spans="1:10">
      <c r="A286" s="66" t="s">
        <v>1539</v>
      </c>
      <c r="B286" s="66" t="s">
        <v>1540</v>
      </c>
      <c r="C286" s="68">
        <v>0</v>
      </c>
      <c r="D286" s="68">
        <v>0</v>
      </c>
      <c r="E286" s="68">
        <v>0</v>
      </c>
      <c r="F286" s="68">
        <v>0</v>
      </c>
      <c r="G286" s="68">
        <v>676.5</v>
      </c>
      <c r="H286" s="68">
        <v>676.5</v>
      </c>
      <c r="I286" s="68">
        <v>0</v>
      </c>
      <c r="J286" s="68">
        <v>0</v>
      </c>
    </row>
    <row r="287" spans="1:10">
      <c r="A287" s="66" t="s">
        <v>1541</v>
      </c>
      <c r="B287" s="66" t="s">
        <v>1542</v>
      </c>
      <c r="C287" s="68">
        <v>0</v>
      </c>
      <c r="D287" s="68">
        <v>44300.45</v>
      </c>
      <c r="E287" s="68">
        <v>41072.22000000003</v>
      </c>
      <c r="F287" s="68">
        <v>71292.73000000004</v>
      </c>
      <c r="G287" s="68">
        <v>549919.42000000004</v>
      </c>
      <c r="H287" s="68">
        <v>591943.05000000005</v>
      </c>
      <c r="I287" s="68">
        <v>0</v>
      </c>
      <c r="J287" s="68">
        <v>42023.630000000005</v>
      </c>
    </row>
    <row r="288" spans="1:10">
      <c r="A288" s="66" t="s">
        <v>1543</v>
      </c>
      <c r="B288" s="66" t="s">
        <v>1544</v>
      </c>
      <c r="C288" s="68">
        <v>0</v>
      </c>
      <c r="D288" s="68">
        <v>2939.7</v>
      </c>
      <c r="E288" s="68">
        <v>2939.6999999999971</v>
      </c>
      <c r="F288" s="68">
        <v>2939.6999999999971</v>
      </c>
      <c r="G288" s="68">
        <v>35276.400000000001</v>
      </c>
      <c r="H288" s="68">
        <v>35276.400000000001</v>
      </c>
      <c r="I288" s="68">
        <v>0</v>
      </c>
      <c r="J288" s="68">
        <v>0</v>
      </c>
    </row>
    <row r="289" spans="1:10">
      <c r="A289" s="66" t="s">
        <v>1545</v>
      </c>
      <c r="B289" s="66" t="s">
        <v>1546</v>
      </c>
      <c r="C289" s="68">
        <v>0</v>
      </c>
      <c r="D289" s="68">
        <v>28728.5</v>
      </c>
      <c r="E289" s="68">
        <v>0</v>
      </c>
      <c r="F289" s="68">
        <v>0</v>
      </c>
      <c r="G289" s="68">
        <v>213674.38</v>
      </c>
      <c r="H289" s="68">
        <v>213674.38</v>
      </c>
      <c r="I289" s="68">
        <v>0</v>
      </c>
      <c r="J289" s="68">
        <v>0</v>
      </c>
    </row>
    <row r="290" spans="1:10">
      <c r="A290" s="66" t="s">
        <v>1547</v>
      </c>
      <c r="B290" s="66" t="s">
        <v>1548</v>
      </c>
      <c r="C290" s="68">
        <v>0</v>
      </c>
      <c r="D290" s="68">
        <v>0</v>
      </c>
      <c r="E290" s="68">
        <v>0</v>
      </c>
      <c r="F290" s="68">
        <v>0</v>
      </c>
      <c r="G290" s="68">
        <v>3819.77</v>
      </c>
      <c r="H290" s="68">
        <v>3819.77</v>
      </c>
      <c r="I290" s="68">
        <v>0</v>
      </c>
      <c r="J290" s="68">
        <v>0</v>
      </c>
    </row>
    <row r="291" spans="1:10">
      <c r="A291" s="66" t="s">
        <v>1549</v>
      </c>
      <c r="B291" s="66" t="s">
        <v>1550</v>
      </c>
      <c r="C291" s="68">
        <v>0</v>
      </c>
      <c r="D291" s="68">
        <v>0</v>
      </c>
      <c r="E291" s="68">
        <v>1328.4</v>
      </c>
      <c r="F291" s="68">
        <v>1328.4</v>
      </c>
      <c r="G291" s="68">
        <v>1328.4</v>
      </c>
      <c r="H291" s="68">
        <v>1328.4</v>
      </c>
      <c r="I291" s="68">
        <v>0</v>
      </c>
      <c r="J291" s="68">
        <v>0</v>
      </c>
    </row>
    <row r="292" spans="1:10">
      <c r="A292" s="66" t="s">
        <v>1551</v>
      </c>
      <c r="B292" s="66" t="s">
        <v>1552</v>
      </c>
      <c r="C292" s="68">
        <v>0</v>
      </c>
      <c r="D292" s="68">
        <v>0</v>
      </c>
      <c r="E292" s="68">
        <v>0</v>
      </c>
      <c r="F292" s="68">
        <v>0</v>
      </c>
      <c r="G292" s="68">
        <v>2287.8000000000002</v>
      </c>
      <c r="H292" s="68">
        <v>2287.8000000000002</v>
      </c>
      <c r="I292" s="68">
        <v>0</v>
      </c>
      <c r="J292" s="68">
        <v>0</v>
      </c>
    </row>
    <row r="293" spans="1:10">
      <c r="A293" s="66" t="s">
        <v>1553</v>
      </c>
      <c r="B293" s="66" t="s">
        <v>1554</v>
      </c>
      <c r="C293" s="68">
        <v>0</v>
      </c>
      <c r="D293" s="68">
        <v>45.51</v>
      </c>
      <c r="E293" s="68">
        <v>0</v>
      </c>
      <c r="F293" s="68">
        <v>0</v>
      </c>
      <c r="G293" s="68">
        <v>1943.7600000000002</v>
      </c>
      <c r="H293" s="68">
        <v>1943.7600000000002</v>
      </c>
      <c r="I293" s="68">
        <v>0</v>
      </c>
      <c r="J293" s="68">
        <v>0</v>
      </c>
    </row>
    <row r="294" spans="1:10">
      <c r="A294" s="66" t="s">
        <v>1555</v>
      </c>
      <c r="B294" s="66" t="s">
        <v>1556</v>
      </c>
      <c r="C294" s="68">
        <v>0</v>
      </c>
      <c r="D294" s="68">
        <v>0</v>
      </c>
      <c r="E294" s="68">
        <v>0</v>
      </c>
      <c r="F294" s="68">
        <v>0</v>
      </c>
      <c r="G294" s="68">
        <v>2373.9</v>
      </c>
      <c r="H294" s="68">
        <v>2373.9</v>
      </c>
      <c r="I294" s="68">
        <v>0</v>
      </c>
      <c r="J294" s="68">
        <v>0</v>
      </c>
    </row>
    <row r="295" spans="1:10">
      <c r="A295" s="66" t="s">
        <v>1557</v>
      </c>
      <c r="B295" s="66" t="s">
        <v>1558</v>
      </c>
      <c r="C295" s="68">
        <v>0</v>
      </c>
      <c r="D295" s="68">
        <v>0</v>
      </c>
      <c r="E295" s="68">
        <v>0</v>
      </c>
      <c r="F295" s="68">
        <v>0</v>
      </c>
      <c r="G295" s="68">
        <v>17999.98</v>
      </c>
      <c r="H295" s="68">
        <v>17999.98</v>
      </c>
      <c r="I295" s="68">
        <v>0</v>
      </c>
      <c r="J295" s="68">
        <v>0</v>
      </c>
    </row>
    <row r="296" spans="1:10">
      <c r="A296" s="66" t="s">
        <v>1559</v>
      </c>
      <c r="B296" s="66" t="s">
        <v>1560</v>
      </c>
      <c r="C296" s="68">
        <v>0</v>
      </c>
      <c r="D296" s="68">
        <v>0</v>
      </c>
      <c r="E296" s="68">
        <v>0</v>
      </c>
      <c r="F296" s="68">
        <v>0</v>
      </c>
      <c r="G296" s="68">
        <v>445210.8</v>
      </c>
      <c r="H296" s="68">
        <v>445210.8</v>
      </c>
      <c r="I296" s="68">
        <v>0</v>
      </c>
      <c r="J296" s="68">
        <v>0</v>
      </c>
    </row>
    <row r="297" spans="1:10">
      <c r="A297" s="66" t="s">
        <v>1561</v>
      </c>
      <c r="B297" s="66" t="s">
        <v>1562</v>
      </c>
      <c r="C297" s="68">
        <v>0</v>
      </c>
      <c r="D297" s="68">
        <v>0</v>
      </c>
      <c r="E297" s="68">
        <v>0</v>
      </c>
      <c r="F297" s="68">
        <v>24752.849999999991</v>
      </c>
      <c r="G297" s="68">
        <v>47971.479999999996</v>
      </c>
      <c r="H297" s="68">
        <v>72724.329999999987</v>
      </c>
      <c r="I297" s="68">
        <v>0</v>
      </c>
      <c r="J297" s="68">
        <v>24752.849999999991</v>
      </c>
    </row>
    <row r="298" spans="1:10">
      <c r="A298" s="66" t="s">
        <v>1563</v>
      </c>
      <c r="B298" s="66" t="s">
        <v>1564</v>
      </c>
      <c r="C298" s="68">
        <v>0</v>
      </c>
      <c r="D298" s="68">
        <v>49800</v>
      </c>
      <c r="E298" s="68">
        <v>52382.989999999991</v>
      </c>
      <c r="F298" s="68">
        <v>52382.989999999991</v>
      </c>
      <c r="G298" s="68">
        <v>1531723.39</v>
      </c>
      <c r="H298" s="68">
        <v>1584106.38</v>
      </c>
      <c r="I298" s="68">
        <v>0</v>
      </c>
      <c r="J298" s="68">
        <v>52382.989999999991</v>
      </c>
    </row>
    <row r="299" spans="1:10">
      <c r="A299" s="66" t="s">
        <v>1565</v>
      </c>
      <c r="B299" s="66" t="s">
        <v>1566</v>
      </c>
      <c r="C299" s="68">
        <v>0</v>
      </c>
      <c r="D299" s="68">
        <v>207239.69</v>
      </c>
      <c r="E299" s="68">
        <v>0</v>
      </c>
      <c r="F299" s="68">
        <v>0</v>
      </c>
      <c r="G299" s="68">
        <v>207239.69</v>
      </c>
      <c r="H299" s="68">
        <v>207239.69</v>
      </c>
      <c r="I299" s="68">
        <v>0</v>
      </c>
      <c r="J299" s="68">
        <v>0</v>
      </c>
    </row>
    <row r="300" spans="1:10">
      <c r="A300" s="66" t="s">
        <v>1567</v>
      </c>
      <c r="B300" s="66" t="s">
        <v>1568</v>
      </c>
      <c r="C300" s="68">
        <v>0</v>
      </c>
      <c r="D300" s="68">
        <v>14095.8</v>
      </c>
      <c r="E300" s="68">
        <v>0</v>
      </c>
      <c r="F300" s="68">
        <v>23550.81</v>
      </c>
      <c r="G300" s="68">
        <v>14095.8</v>
      </c>
      <c r="H300" s="68">
        <v>37646.61</v>
      </c>
      <c r="I300" s="68">
        <v>0</v>
      </c>
      <c r="J300" s="68">
        <v>23550.81</v>
      </c>
    </row>
    <row r="301" spans="1:10">
      <c r="A301" s="66" t="s">
        <v>1569</v>
      </c>
      <c r="B301" s="66" t="s">
        <v>1570</v>
      </c>
      <c r="C301" s="68">
        <v>0</v>
      </c>
      <c r="D301" s="68">
        <v>0</v>
      </c>
      <c r="E301" s="68">
        <v>0</v>
      </c>
      <c r="F301" s="68">
        <v>11070</v>
      </c>
      <c r="G301" s="68">
        <v>10405.799999999999</v>
      </c>
      <c r="H301" s="68">
        <v>21475.8</v>
      </c>
      <c r="I301" s="68">
        <v>0</v>
      </c>
      <c r="J301" s="68">
        <v>11070</v>
      </c>
    </row>
    <row r="302" spans="1:10">
      <c r="A302" s="66" t="s">
        <v>1571</v>
      </c>
      <c r="B302" s="66" t="s">
        <v>1572</v>
      </c>
      <c r="C302" s="68">
        <v>0</v>
      </c>
      <c r="D302" s="68">
        <v>0</v>
      </c>
      <c r="E302" s="68">
        <v>0</v>
      </c>
      <c r="F302" s="68">
        <v>0</v>
      </c>
      <c r="G302" s="68">
        <v>135</v>
      </c>
      <c r="H302" s="68">
        <v>135</v>
      </c>
      <c r="I302" s="68">
        <v>0</v>
      </c>
      <c r="J302" s="68">
        <v>0</v>
      </c>
    </row>
    <row r="303" spans="1:10">
      <c r="A303" s="66" t="s">
        <v>1573</v>
      </c>
      <c r="B303" s="66" t="s">
        <v>1574</v>
      </c>
      <c r="C303" s="68">
        <v>0</v>
      </c>
      <c r="D303" s="68">
        <v>389.2</v>
      </c>
      <c r="E303" s="68">
        <v>37304.800000000003</v>
      </c>
      <c r="F303" s="68">
        <v>35735.800000000003</v>
      </c>
      <c r="G303" s="68">
        <v>73116</v>
      </c>
      <c r="H303" s="68">
        <v>73116</v>
      </c>
      <c r="I303" s="68">
        <v>0</v>
      </c>
      <c r="J303" s="68">
        <v>0</v>
      </c>
    </row>
    <row r="304" spans="1:10">
      <c r="A304" s="66" t="s">
        <v>1575</v>
      </c>
      <c r="B304" s="66" t="s">
        <v>1576</v>
      </c>
      <c r="C304" s="68">
        <v>0</v>
      </c>
      <c r="D304" s="68">
        <v>123</v>
      </c>
      <c r="E304" s="68">
        <v>264.44999999999982</v>
      </c>
      <c r="F304" s="68">
        <v>1039.3499999999999</v>
      </c>
      <c r="G304" s="68">
        <v>3640.8</v>
      </c>
      <c r="H304" s="68">
        <v>4415.7</v>
      </c>
      <c r="I304" s="68">
        <v>0</v>
      </c>
      <c r="J304" s="68">
        <v>774.89999999999964</v>
      </c>
    </row>
    <row r="305" spans="1:10">
      <c r="A305" s="66" t="s">
        <v>1577</v>
      </c>
      <c r="B305" s="66" t="s">
        <v>1578</v>
      </c>
      <c r="C305" s="68">
        <v>0</v>
      </c>
      <c r="D305" s="68">
        <v>664.2</v>
      </c>
      <c r="E305" s="68">
        <v>0</v>
      </c>
      <c r="F305" s="68">
        <v>0</v>
      </c>
      <c r="G305" s="68">
        <v>5678.8899999999994</v>
      </c>
      <c r="H305" s="68">
        <v>5678.8899999999994</v>
      </c>
      <c r="I305" s="68">
        <v>0</v>
      </c>
      <c r="J305" s="68">
        <v>0</v>
      </c>
    </row>
    <row r="306" spans="1:10">
      <c r="A306" s="66" t="s">
        <v>1579</v>
      </c>
      <c r="B306" s="66" t="s">
        <v>1580</v>
      </c>
      <c r="C306" s="68">
        <v>0</v>
      </c>
      <c r="D306" s="68">
        <v>12022.56</v>
      </c>
      <c r="E306" s="68">
        <v>0</v>
      </c>
      <c r="F306" s="68">
        <v>17133.119999999995</v>
      </c>
      <c r="G306" s="68">
        <v>168248.88</v>
      </c>
      <c r="H306" s="68">
        <v>185381.99999999997</v>
      </c>
      <c r="I306" s="68">
        <v>0</v>
      </c>
      <c r="J306" s="68">
        <v>17133.119999999966</v>
      </c>
    </row>
    <row r="307" spans="1:10">
      <c r="A307" s="66" t="s">
        <v>1581</v>
      </c>
      <c r="B307" s="66" t="s">
        <v>1582</v>
      </c>
      <c r="C307" s="68">
        <v>0</v>
      </c>
      <c r="D307" s="68">
        <v>0</v>
      </c>
      <c r="E307" s="68">
        <v>2767.5</v>
      </c>
      <c r="F307" s="68">
        <v>2767.5</v>
      </c>
      <c r="G307" s="68">
        <v>33210</v>
      </c>
      <c r="H307" s="68">
        <v>33210</v>
      </c>
      <c r="I307" s="68">
        <v>0</v>
      </c>
      <c r="J307" s="68">
        <v>0</v>
      </c>
    </row>
    <row r="308" spans="1:10">
      <c r="A308" s="66" t="s">
        <v>1583</v>
      </c>
      <c r="B308" s="66" t="s">
        <v>1584</v>
      </c>
      <c r="C308" s="68">
        <v>0</v>
      </c>
      <c r="D308" s="68">
        <v>0</v>
      </c>
      <c r="E308" s="68">
        <v>2767.5</v>
      </c>
      <c r="F308" s="68">
        <v>2767.5</v>
      </c>
      <c r="G308" s="68">
        <v>33210</v>
      </c>
      <c r="H308" s="68">
        <v>33210</v>
      </c>
      <c r="I308" s="68">
        <v>0</v>
      </c>
      <c r="J308" s="68">
        <v>0</v>
      </c>
    </row>
    <row r="309" spans="1:10">
      <c r="A309" s="66" t="s">
        <v>1585</v>
      </c>
      <c r="B309" s="66" t="s">
        <v>1586</v>
      </c>
      <c r="C309" s="68">
        <v>0</v>
      </c>
      <c r="D309" s="68">
        <v>912.55</v>
      </c>
      <c r="E309" s="68">
        <v>1370.6499999999996</v>
      </c>
      <c r="F309" s="68">
        <v>1620.5099999999984</v>
      </c>
      <c r="G309" s="68">
        <v>14877.5</v>
      </c>
      <c r="H309" s="68">
        <v>16498.009999999998</v>
      </c>
      <c r="I309" s="68">
        <v>0</v>
      </c>
      <c r="J309" s="68">
        <v>1620.5099999999984</v>
      </c>
    </row>
    <row r="310" spans="1:10">
      <c r="A310" s="66" t="s">
        <v>1587</v>
      </c>
      <c r="B310" s="66" t="s">
        <v>1588</v>
      </c>
      <c r="C310" s="68">
        <v>0</v>
      </c>
      <c r="D310" s="68">
        <v>3940.92</v>
      </c>
      <c r="E310" s="68">
        <v>3940.9199999999983</v>
      </c>
      <c r="F310" s="68">
        <v>1970.4599999999991</v>
      </c>
      <c r="G310" s="68">
        <v>27586.439999999995</v>
      </c>
      <c r="H310" s="68">
        <v>27586.439999999995</v>
      </c>
      <c r="I310" s="68">
        <v>0</v>
      </c>
      <c r="J310" s="68">
        <v>0</v>
      </c>
    </row>
    <row r="311" spans="1:10">
      <c r="A311" s="66" t="s">
        <v>1589</v>
      </c>
      <c r="B311" s="66" t="s">
        <v>1590</v>
      </c>
      <c r="C311" s="68">
        <v>0</v>
      </c>
      <c r="D311" s="68">
        <v>0</v>
      </c>
      <c r="E311" s="68">
        <v>0</v>
      </c>
      <c r="F311" s="68">
        <v>0</v>
      </c>
      <c r="G311" s="68">
        <v>8760.5499999999993</v>
      </c>
      <c r="H311" s="68">
        <v>8760.5499999999993</v>
      </c>
      <c r="I311" s="68">
        <v>0</v>
      </c>
      <c r="J311" s="68">
        <v>0</v>
      </c>
    </row>
    <row r="312" spans="1:10">
      <c r="A312" s="66" t="s">
        <v>1591</v>
      </c>
      <c r="B312" s="66" t="s">
        <v>1592</v>
      </c>
      <c r="C312" s="68">
        <v>0</v>
      </c>
      <c r="D312" s="68">
        <v>0</v>
      </c>
      <c r="E312" s="68">
        <v>0</v>
      </c>
      <c r="F312" s="68">
        <v>0</v>
      </c>
      <c r="G312" s="68">
        <v>1231.67</v>
      </c>
      <c r="H312" s="68">
        <v>1231.6699999999998</v>
      </c>
      <c r="I312" s="68">
        <v>2.2737367544323206E-13</v>
      </c>
      <c r="J312" s="68">
        <v>0</v>
      </c>
    </row>
    <row r="313" spans="1:10">
      <c r="A313" s="66" t="s">
        <v>1593</v>
      </c>
      <c r="B313" s="66" t="s">
        <v>1594</v>
      </c>
      <c r="C313" s="68">
        <v>0</v>
      </c>
      <c r="D313" s="68">
        <v>0</v>
      </c>
      <c r="E313" s="68">
        <v>0</v>
      </c>
      <c r="F313" s="68">
        <v>0</v>
      </c>
      <c r="G313" s="68">
        <v>277.73</v>
      </c>
      <c r="H313" s="68">
        <v>277.73</v>
      </c>
      <c r="I313" s="68">
        <v>0</v>
      </c>
      <c r="J313" s="68">
        <v>0</v>
      </c>
    </row>
    <row r="314" spans="1:10">
      <c r="A314" s="66" t="s">
        <v>1595</v>
      </c>
      <c r="B314" s="66" t="s">
        <v>1596</v>
      </c>
      <c r="C314" s="68">
        <v>0</v>
      </c>
      <c r="D314" s="68">
        <v>1272.52</v>
      </c>
      <c r="E314" s="68">
        <v>6377.3899999999994</v>
      </c>
      <c r="F314" s="68">
        <v>4365.5999999999985</v>
      </c>
      <c r="G314" s="68">
        <v>47147.899999999994</v>
      </c>
      <c r="H314" s="68">
        <v>48175.1</v>
      </c>
      <c r="I314" s="68">
        <v>0</v>
      </c>
      <c r="J314" s="68">
        <v>1027.2000000000044</v>
      </c>
    </row>
    <row r="315" spans="1:10">
      <c r="A315" s="66" t="s">
        <v>1597</v>
      </c>
      <c r="B315" s="66" t="s">
        <v>1598</v>
      </c>
      <c r="C315" s="68">
        <v>0</v>
      </c>
      <c r="D315" s="68">
        <v>0</v>
      </c>
      <c r="E315" s="68">
        <v>0</v>
      </c>
      <c r="F315" s="68">
        <v>0</v>
      </c>
      <c r="G315" s="68">
        <v>28151.9</v>
      </c>
      <c r="H315" s="68">
        <v>28151.9</v>
      </c>
      <c r="I315" s="68">
        <v>0</v>
      </c>
      <c r="J315" s="68">
        <v>0</v>
      </c>
    </row>
    <row r="316" spans="1:10">
      <c r="A316" s="66" t="s">
        <v>1599</v>
      </c>
      <c r="B316" s="66" t="s">
        <v>1600</v>
      </c>
      <c r="C316" s="68">
        <v>2506.5</v>
      </c>
      <c r="D316" s="68">
        <v>0</v>
      </c>
      <c r="E316" s="68">
        <v>16250.679999999993</v>
      </c>
      <c r="F316" s="68">
        <v>4906.8699999999953</v>
      </c>
      <c r="G316" s="68">
        <v>231459.03</v>
      </c>
      <c r="H316" s="68">
        <v>231459.02999999997</v>
      </c>
      <c r="I316" s="68">
        <v>2.9103830456733704E-11</v>
      </c>
      <c r="J316" s="68">
        <v>0</v>
      </c>
    </row>
    <row r="317" spans="1:10">
      <c r="A317" s="66" t="s">
        <v>1601</v>
      </c>
      <c r="B317" s="66" t="s">
        <v>1602</v>
      </c>
      <c r="C317" s="68">
        <v>0</v>
      </c>
      <c r="D317" s="68">
        <v>0</v>
      </c>
      <c r="E317" s="68">
        <v>0</v>
      </c>
      <c r="F317" s="68">
        <v>0</v>
      </c>
      <c r="G317" s="68">
        <v>16605</v>
      </c>
      <c r="H317" s="68">
        <v>16605</v>
      </c>
      <c r="I317" s="68">
        <v>0</v>
      </c>
      <c r="J317" s="68">
        <v>0</v>
      </c>
    </row>
    <row r="318" spans="1:10">
      <c r="A318" s="66" t="s">
        <v>1603</v>
      </c>
      <c r="B318" s="66" t="s">
        <v>1604</v>
      </c>
      <c r="C318" s="68">
        <v>0</v>
      </c>
      <c r="D318" s="68">
        <v>183516</v>
      </c>
      <c r="E318" s="68">
        <v>0</v>
      </c>
      <c r="F318" s="68">
        <v>0</v>
      </c>
      <c r="G318" s="68">
        <v>2633.8</v>
      </c>
      <c r="H318" s="68">
        <v>2633.7999999999861</v>
      </c>
      <c r="I318" s="68">
        <v>1.4097167877480388E-11</v>
      </c>
      <c r="J318" s="68">
        <v>0</v>
      </c>
    </row>
    <row r="319" spans="1:10">
      <c r="A319" s="66" t="s">
        <v>1605</v>
      </c>
      <c r="B319" s="66" t="s">
        <v>1606</v>
      </c>
      <c r="C319" s="68">
        <v>0</v>
      </c>
      <c r="D319" s="68">
        <v>13379.81</v>
      </c>
      <c r="E319" s="68">
        <v>26882.619999999995</v>
      </c>
      <c r="F319" s="68">
        <v>26882.619999999995</v>
      </c>
      <c r="G319" s="68">
        <v>178326.19</v>
      </c>
      <c r="H319" s="68">
        <v>178326.19</v>
      </c>
      <c r="I319" s="68">
        <v>0</v>
      </c>
      <c r="J319" s="68">
        <v>0</v>
      </c>
    </row>
    <row r="320" spans="1:10">
      <c r="A320" s="66" t="s">
        <v>1607</v>
      </c>
      <c r="B320" s="66" t="s">
        <v>1608</v>
      </c>
      <c r="C320" s="68">
        <v>0</v>
      </c>
      <c r="D320" s="68">
        <v>1014.02</v>
      </c>
      <c r="E320" s="68">
        <v>3142.6500000000015</v>
      </c>
      <c r="F320" s="68">
        <v>2650.6500000000015</v>
      </c>
      <c r="G320" s="68">
        <v>36335.240000000005</v>
      </c>
      <c r="H320" s="68">
        <v>36335.240000000005</v>
      </c>
      <c r="I320" s="68">
        <v>0</v>
      </c>
      <c r="J320" s="68">
        <v>0</v>
      </c>
    </row>
    <row r="321" spans="1:10">
      <c r="A321" s="66" t="s">
        <v>1609</v>
      </c>
      <c r="B321" s="66" t="s">
        <v>1610</v>
      </c>
      <c r="C321" s="68">
        <v>0</v>
      </c>
      <c r="D321" s="68">
        <v>0</v>
      </c>
      <c r="E321" s="68">
        <v>5529.1699999999983</v>
      </c>
      <c r="F321" s="68">
        <v>9641.2099999999991</v>
      </c>
      <c r="G321" s="68">
        <v>66786.459999999992</v>
      </c>
      <c r="H321" s="68">
        <v>65376.919999999991</v>
      </c>
      <c r="I321" s="68">
        <v>1409.5400000000009</v>
      </c>
      <c r="J321" s="68">
        <v>0</v>
      </c>
    </row>
    <row r="322" spans="1:10">
      <c r="A322" s="66" t="s">
        <v>1611</v>
      </c>
      <c r="B322" s="66" t="s">
        <v>1612</v>
      </c>
      <c r="C322" s="68">
        <v>0</v>
      </c>
      <c r="D322" s="68">
        <v>0</v>
      </c>
      <c r="E322" s="68">
        <v>29.520000000000437</v>
      </c>
      <c r="F322" s="68">
        <v>29.520000000000437</v>
      </c>
      <c r="G322" s="68">
        <v>4108.2000000000007</v>
      </c>
      <c r="H322" s="68">
        <v>4108.2000000000007</v>
      </c>
      <c r="I322" s="68">
        <v>0</v>
      </c>
      <c r="J322" s="68">
        <v>0</v>
      </c>
    </row>
    <row r="323" spans="1:10">
      <c r="A323" s="66" t="s">
        <v>1613</v>
      </c>
      <c r="B323" s="66" t="s">
        <v>1614</v>
      </c>
      <c r="C323" s="68">
        <v>0</v>
      </c>
      <c r="D323" s="68">
        <v>0</v>
      </c>
      <c r="E323" s="68">
        <v>0</v>
      </c>
      <c r="F323" s="68">
        <v>0</v>
      </c>
      <c r="G323" s="68">
        <v>35694.199999999997</v>
      </c>
      <c r="H323" s="68">
        <v>35694.199999999997</v>
      </c>
      <c r="I323" s="68">
        <v>0</v>
      </c>
      <c r="J323" s="68">
        <v>0</v>
      </c>
    </row>
    <row r="324" spans="1:10">
      <c r="A324" s="66" t="s">
        <v>1615</v>
      </c>
      <c r="B324" s="66" t="s">
        <v>1616</v>
      </c>
      <c r="C324" s="68">
        <v>0</v>
      </c>
      <c r="D324" s="68">
        <v>910.2</v>
      </c>
      <c r="E324" s="68">
        <v>3862.1999999999971</v>
      </c>
      <c r="F324" s="68">
        <v>2638.3500000000058</v>
      </c>
      <c r="G324" s="68">
        <v>75747.09</v>
      </c>
      <c r="H324" s="68">
        <v>77475.240000000005</v>
      </c>
      <c r="I324" s="68">
        <v>0</v>
      </c>
      <c r="J324" s="68">
        <v>1728.1500000000087</v>
      </c>
    </row>
    <row r="325" spans="1:10">
      <c r="A325" s="66" t="s">
        <v>1617</v>
      </c>
      <c r="B325" s="66" t="s">
        <v>1618</v>
      </c>
      <c r="C325" s="68">
        <v>0</v>
      </c>
      <c r="D325" s="68">
        <v>9879.24</v>
      </c>
      <c r="E325" s="68">
        <v>11116.829999999987</v>
      </c>
      <c r="F325" s="68">
        <v>11116.829999999987</v>
      </c>
      <c r="G325" s="68">
        <v>217022.63999999998</v>
      </c>
      <c r="H325" s="68">
        <v>217022.63999999998</v>
      </c>
      <c r="I325" s="68">
        <v>0</v>
      </c>
      <c r="J325" s="68">
        <v>0</v>
      </c>
    </row>
    <row r="326" spans="1:10">
      <c r="A326" s="66" t="s">
        <v>1619</v>
      </c>
      <c r="B326" s="66" t="s">
        <v>1620</v>
      </c>
      <c r="C326" s="68">
        <v>0</v>
      </c>
      <c r="D326" s="68">
        <v>13903.01</v>
      </c>
      <c r="E326" s="68">
        <v>2918.5699999999997</v>
      </c>
      <c r="F326" s="68">
        <v>18323.870000000003</v>
      </c>
      <c r="G326" s="68">
        <v>43002.93</v>
      </c>
      <c r="H326" s="68">
        <v>61326.8</v>
      </c>
      <c r="I326" s="68">
        <v>0</v>
      </c>
      <c r="J326" s="68">
        <v>18323.870000000003</v>
      </c>
    </row>
    <row r="327" spans="1:10">
      <c r="A327" s="66" t="s">
        <v>1621</v>
      </c>
      <c r="B327" s="66" t="s">
        <v>1622</v>
      </c>
      <c r="C327" s="68">
        <v>0</v>
      </c>
      <c r="D327" s="68">
        <v>0</v>
      </c>
      <c r="E327" s="68">
        <v>175.8900000000001</v>
      </c>
      <c r="F327" s="68">
        <v>0</v>
      </c>
      <c r="G327" s="68">
        <v>1207.8600000000001</v>
      </c>
      <c r="H327" s="68">
        <v>1207.8600000000001</v>
      </c>
      <c r="I327" s="68">
        <v>0</v>
      </c>
      <c r="J327" s="68">
        <v>0</v>
      </c>
    </row>
    <row r="328" spans="1:10">
      <c r="A328" s="66" t="s">
        <v>1623</v>
      </c>
      <c r="B328" s="66" t="s">
        <v>1624</v>
      </c>
      <c r="C328" s="68">
        <v>0</v>
      </c>
      <c r="D328" s="68">
        <v>2764.94</v>
      </c>
      <c r="E328" s="68">
        <v>5873.7699999999968</v>
      </c>
      <c r="F328" s="68">
        <v>11006.040000000008</v>
      </c>
      <c r="G328" s="68">
        <v>70520.88</v>
      </c>
      <c r="H328" s="68">
        <v>76205.080000000016</v>
      </c>
      <c r="I328" s="68">
        <v>0</v>
      </c>
      <c r="J328" s="68">
        <v>5684.2000000000116</v>
      </c>
    </row>
    <row r="329" spans="1:10">
      <c r="A329" s="66" t="s">
        <v>1625</v>
      </c>
      <c r="B329" s="66" t="s">
        <v>1626</v>
      </c>
      <c r="C329" s="68">
        <v>0</v>
      </c>
      <c r="D329" s="68">
        <v>2912.64</v>
      </c>
      <c r="E329" s="68">
        <v>0</v>
      </c>
      <c r="F329" s="68">
        <v>180716.52</v>
      </c>
      <c r="G329" s="68">
        <v>211719.90000000002</v>
      </c>
      <c r="H329" s="68">
        <v>392436.42</v>
      </c>
      <c r="I329" s="68">
        <v>0</v>
      </c>
      <c r="J329" s="68">
        <v>180716.51999999996</v>
      </c>
    </row>
    <row r="330" spans="1:10">
      <c r="A330" s="66" t="s">
        <v>1627</v>
      </c>
      <c r="B330" s="66" t="s">
        <v>1628</v>
      </c>
      <c r="C330" s="68">
        <v>0</v>
      </c>
      <c r="D330" s="68">
        <v>0</v>
      </c>
      <c r="E330" s="68">
        <v>0</v>
      </c>
      <c r="F330" s="68">
        <v>0</v>
      </c>
      <c r="G330" s="68">
        <v>1798.14</v>
      </c>
      <c r="H330" s="68">
        <v>1798.14</v>
      </c>
      <c r="I330" s="68">
        <v>0</v>
      </c>
      <c r="J330" s="68">
        <v>0</v>
      </c>
    </row>
    <row r="331" spans="1:10">
      <c r="A331" s="66" t="s">
        <v>1629</v>
      </c>
      <c r="B331" s="66" t="s">
        <v>1630</v>
      </c>
      <c r="C331" s="68">
        <v>0</v>
      </c>
      <c r="D331" s="68">
        <v>0</v>
      </c>
      <c r="E331" s="68">
        <v>1133.5300000000002</v>
      </c>
      <c r="F331" s="68">
        <v>191.88000000000011</v>
      </c>
      <c r="G331" s="68">
        <v>2656.55</v>
      </c>
      <c r="H331" s="68">
        <v>2656.55</v>
      </c>
      <c r="I331" s="68">
        <v>0</v>
      </c>
      <c r="J331" s="68">
        <v>0</v>
      </c>
    </row>
    <row r="332" spans="1:10">
      <c r="A332" s="66" t="s">
        <v>1631</v>
      </c>
      <c r="B332" s="66" t="s">
        <v>1632</v>
      </c>
      <c r="C332" s="68">
        <v>0</v>
      </c>
      <c r="D332" s="68">
        <v>1722</v>
      </c>
      <c r="E332" s="68">
        <v>1722</v>
      </c>
      <c r="F332" s="68">
        <v>7372.739999999998</v>
      </c>
      <c r="G332" s="68">
        <v>43933.759999999995</v>
      </c>
      <c r="H332" s="68">
        <v>51306.499999999993</v>
      </c>
      <c r="I332" s="68">
        <v>0</v>
      </c>
      <c r="J332" s="68">
        <v>7372.739999999998</v>
      </c>
    </row>
    <row r="333" spans="1:10">
      <c r="A333" s="66" t="s">
        <v>1633</v>
      </c>
      <c r="B333" s="66" t="s">
        <v>1634</v>
      </c>
      <c r="C333" s="68">
        <v>0</v>
      </c>
      <c r="D333" s="68">
        <v>12669</v>
      </c>
      <c r="E333" s="68">
        <v>40098</v>
      </c>
      <c r="F333" s="68">
        <v>17097</v>
      </c>
      <c r="G333" s="68">
        <v>208091.4</v>
      </c>
      <c r="H333" s="68">
        <v>225188.4</v>
      </c>
      <c r="I333" s="68">
        <v>0</v>
      </c>
      <c r="J333" s="68">
        <v>17097</v>
      </c>
    </row>
    <row r="334" spans="1:10">
      <c r="A334" s="66" t="s">
        <v>1635</v>
      </c>
      <c r="B334" s="66" t="s">
        <v>1636</v>
      </c>
      <c r="C334" s="68">
        <v>0</v>
      </c>
      <c r="D334" s="68">
        <v>0</v>
      </c>
      <c r="E334" s="68">
        <v>0</v>
      </c>
      <c r="F334" s="68">
        <v>0</v>
      </c>
      <c r="G334" s="68">
        <v>649.44000000000005</v>
      </c>
      <c r="H334" s="68">
        <v>649.44000000000005</v>
      </c>
      <c r="I334" s="68">
        <v>0</v>
      </c>
      <c r="J334" s="68">
        <v>0</v>
      </c>
    </row>
    <row r="335" spans="1:10">
      <c r="A335" s="66" t="s">
        <v>1637</v>
      </c>
      <c r="B335" s="66" t="s">
        <v>1638</v>
      </c>
      <c r="C335" s="68">
        <v>0</v>
      </c>
      <c r="D335" s="68">
        <v>0</v>
      </c>
      <c r="E335" s="68">
        <v>0</v>
      </c>
      <c r="F335" s="68">
        <v>0</v>
      </c>
      <c r="G335" s="68">
        <v>3104.15</v>
      </c>
      <c r="H335" s="68">
        <v>3104.15</v>
      </c>
      <c r="I335" s="68">
        <v>0</v>
      </c>
      <c r="J335" s="68">
        <v>0</v>
      </c>
    </row>
    <row r="336" spans="1:10">
      <c r="A336" s="66" t="s">
        <v>1639</v>
      </c>
      <c r="B336" s="66" t="s">
        <v>1640</v>
      </c>
      <c r="C336" s="68">
        <v>0</v>
      </c>
      <c r="D336" s="68">
        <v>166.25</v>
      </c>
      <c r="E336" s="68">
        <v>87.820000000000164</v>
      </c>
      <c r="F336" s="68">
        <v>90.75</v>
      </c>
      <c r="G336" s="68">
        <v>3722.3700000000003</v>
      </c>
      <c r="H336" s="68">
        <v>3813.1200000000003</v>
      </c>
      <c r="I336" s="68">
        <v>0</v>
      </c>
      <c r="J336" s="68">
        <v>90.75</v>
      </c>
    </row>
    <row r="337" spans="1:10">
      <c r="A337" s="66" t="s">
        <v>1641</v>
      </c>
      <c r="B337" s="66" t="s">
        <v>1642</v>
      </c>
      <c r="C337" s="68">
        <v>0</v>
      </c>
      <c r="D337" s="68">
        <v>0</v>
      </c>
      <c r="E337" s="68">
        <v>2398.48</v>
      </c>
      <c r="F337" s="68">
        <v>0</v>
      </c>
      <c r="G337" s="68">
        <v>2398.48</v>
      </c>
      <c r="H337" s="68">
        <v>2398.48</v>
      </c>
      <c r="I337" s="68">
        <v>0</v>
      </c>
      <c r="J337" s="68">
        <v>0</v>
      </c>
    </row>
    <row r="338" spans="1:10">
      <c r="A338" s="66" t="s">
        <v>1643</v>
      </c>
      <c r="B338" s="66" t="s">
        <v>1644</v>
      </c>
      <c r="C338" s="68">
        <v>0</v>
      </c>
      <c r="D338" s="68">
        <v>0</v>
      </c>
      <c r="E338" s="68">
        <v>246</v>
      </c>
      <c r="F338" s="68">
        <v>0</v>
      </c>
      <c r="G338" s="68">
        <v>20521.200000000004</v>
      </c>
      <c r="H338" s="68">
        <v>20521.200000000004</v>
      </c>
      <c r="I338" s="68">
        <v>0</v>
      </c>
      <c r="J338" s="68">
        <v>0</v>
      </c>
    </row>
    <row r="339" spans="1:10">
      <c r="A339" s="66" t="s">
        <v>1645</v>
      </c>
      <c r="B339" s="66" t="s">
        <v>1646</v>
      </c>
      <c r="C339" s="68">
        <v>0</v>
      </c>
      <c r="D339" s="68">
        <v>0</v>
      </c>
      <c r="E339" s="68">
        <v>0</v>
      </c>
      <c r="F339" s="68">
        <v>15720.75</v>
      </c>
      <c r="G339" s="68">
        <v>155436.25</v>
      </c>
      <c r="H339" s="68">
        <v>171157</v>
      </c>
      <c r="I339" s="68">
        <v>0</v>
      </c>
      <c r="J339" s="68">
        <v>15720.75</v>
      </c>
    </row>
    <row r="340" spans="1:10">
      <c r="A340" s="66" t="s">
        <v>1647</v>
      </c>
      <c r="B340" s="66" t="s">
        <v>1648</v>
      </c>
      <c r="C340" s="68">
        <v>0</v>
      </c>
      <c r="D340" s="68">
        <v>0</v>
      </c>
      <c r="E340" s="68">
        <v>3782.25</v>
      </c>
      <c r="F340" s="68">
        <v>0</v>
      </c>
      <c r="G340" s="68">
        <v>5086.05</v>
      </c>
      <c r="H340" s="68">
        <v>5086.05</v>
      </c>
      <c r="I340" s="68">
        <v>0</v>
      </c>
      <c r="J340" s="68">
        <v>0</v>
      </c>
    </row>
    <row r="341" spans="1:10">
      <c r="A341" s="66" t="s">
        <v>1649</v>
      </c>
      <c r="B341" s="66" t="s">
        <v>1650</v>
      </c>
      <c r="C341" s="68">
        <v>0</v>
      </c>
      <c r="D341" s="68">
        <v>20210.38</v>
      </c>
      <c r="E341" s="68">
        <v>0</v>
      </c>
      <c r="F341" s="68">
        <v>0</v>
      </c>
      <c r="G341" s="68">
        <v>48543.43</v>
      </c>
      <c r="H341" s="68">
        <v>48543.43</v>
      </c>
      <c r="I341" s="68">
        <v>0</v>
      </c>
      <c r="J341" s="68">
        <v>0</v>
      </c>
    </row>
    <row r="342" spans="1:10">
      <c r="A342" s="66" t="s">
        <v>1651</v>
      </c>
      <c r="B342" s="66" t="s">
        <v>1652</v>
      </c>
      <c r="C342" s="68">
        <v>0</v>
      </c>
      <c r="D342" s="68">
        <v>1551.03</v>
      </c>
      <c r="E342" s="68">
        <v>0</v>
      </c>
      <c r="F342" s="68">
        <v>564.56999999999971</v>
      </c>
      <c r="G342" s="68">
        <v>5443.98</v>
      </c>
      <c r="H342" s="68">
        <v>6008.5499999999993</v>
      </c>
      <c r="I342" s="68">
        <v>0</v>
      </c>
      <c r="J342" s="68">
        <v>564.56999999999971</v>
      </c>
    </row>
    <row r="343" spans="1:10">
      <c r="A343" s="66" t="s">
        <v>1653</v>
      </c>
      <c r="B343" s="66" t="s">
        <v>1654</v>
      </c>
      <c r="C343" s="68">
        <v>0</v>
      </c>
      <c r="D343" s="68">
        <v>0</v>
      </c>
      <c r="E343" s="68">
        <v>0</v>
      </c>
      <c r="F343" s="68">
        <v>0</v>
      </c>
      <c r="G343" s="68">
        <v>7974.82</v>
      </c>
      <c r="H343" s="68">
        <v>7974.82</v>
      </c>
      <c r="I343" s="68">
        <v>0</v>
      </c>
      <c r="J343" s="68">
        <v>0</v>
      </c>
    </row>
    <row r="344" spans="1:10">
      <c r="A344" s="66" t="s">
        <v>1655</v>
      </c>
      <c r="B344" s="66" t="s">
        <v>1656</v>
      </c>
      <c r="C344" s="68">
        <v>0</v>
      </c>
      <c r="D344" s="68">
        <v>3800.7</v>
      </c>
      <c r="E344" s="68">
        <v>3800.6999999999971</v>
      </c>
      <c r="F344" s="68">
        <v>0</v>
      </c>
      <c r="G344" s="68">
        <v>49409.099999999984</v>
      </c>
      <c r="H344" s="68">
        <v>49409.099999999991</v>
      </c>
      <c r="I344" s="68">
        <v>0</v>
      </c>
      <c r="J344" s="68">
        <v>7.2759576141834259E-12</v>
      </c>
    </row>
    <row r="345" spans="1:10">
      <c r="A345" s="66" t="s">
        <v>1657</v>
      </c>
      <c r="B345" s="66" t="s">
        <v>1658</v>
      </c>
      <c r="C345" s="68">
        <v>0</v>
      </c>
      <c r="D345" s="68">
        <v>0</v>
      </c>
      <c r="E345" s="68">
        <v>0</v>
      </c>
      <c r="F345" s="68">
        <v>0</v>
      </c>
      <c r="G345" s="68">
        <v>1183.73</v>
      </c>
      <c r="H345" s="68">
        <v>1183.73</v>
      </c>
      <c r="I345" s="68">
        <v>0</v>
      </c>
      <c r="J345" s="68">
        <v>0</v>
      </c>
    </row>
    <row r="346" spans="1:10">
      <c r="A346" s="66" t="s">
        <v>1659</v>
      </c>
      <c r="B346" s="66" t="s">
        <v>1660</v>
      </c>
      <c r="C346" s="68">
        <v>0</v>
      </c>
      <c r="D346" s="68">
        <v>112495.23</v>
      </c>
      <c r="E346" s="68">
        <v>0</v>
      </c>
      <c r="F346" s="68">
        <v>0</v>
      </c>
      <c r="G346" s="68">
        <v>209677.61000000002</v>
      </c>
      <c r="H346" s="68">
        <v>209677.61000000002</v>
      </c>
      <c r="I346" s="68">
        <v>0</v>
      </c>
      <c r="J346" s="68">
        <v>0</v>
      </c>
    </row>
    <row r="347" spans="1:10">
      <c r="A347" s="66" t="s">
        <v>1661</v>
      </c>
      <c r="B347" s="66" t="s">
        <v>1662</v>
      </c>
      <c r="C347" s="68">
        <v>0</v>
      </c>
      <c r="D347" s="68">
        <v>1800</v>
      </c>
      <c r="E347" s="68">
        <v>780</v>
      </c>
      <c r="F347" s="68">
        <v>780</v>
      </c>
      <c r="G347" s="68">
        <v>2580</v>
      </c>
      <c r="H347" s="68">
        <v>2580</v>
      </c>
      <c r="I347" s="68">
        <v>0</v>
      </c>
      <c r="J347" s="68">
        <v>0</v>
      </c>
    </row>
    <row r="348" spans="1:10">
      <c r="A348" s="66" t="s">
        <v>1663</v>
      </c>
      <c r="B348" s="66" t="s">
        <v>1664</v>
      </c>
      <c r="C348" s="68">
        <v>0</v>
      </c>
      <c r="D348" s="68">
        <v>0</v>
      </c>
      <c r="E348" s="68">
        <v>0</v>
      </c>
      <c r="F348" s="68">
        <v>0</v>
      </c>
      <c r="G348" s="68">
        <v>1228.03</v>
      </c>
      <c r="H348" s="68">
        <v>1228.03</v>
      </c>
      <c r="I348" s="68">
        <v>0</v>
      </c>
      <c r="J348" s="68">
        <v>0</v>
      </c>
    </row>
    <row r="349" spans="1:10">
      <c r="A349" s="66" t="s">
        <v>1665</v>
      </c>
      <c r="B349" s="66" t="s">
        <v>1666</v>
      </c>
      <c r="C349" s="68">
        <v>0</v>
      </c>
      <c r="D349" s="68">
        <v>0</v>
      </c>
      <c r="E349" s="68">
        <v>0</v>
      </c>
      <c r="F349" s="68">
        <v>0</v>
      </c>
      <c r="G349" s="68">
        <v>1137.75</v>
      </c>
      <c r="H349" s="68">
        <v>1137.75</v>
      </c>
      <c r="I349" s="68">
        <v>0</v>
      </c>
      <c r="J349" s="68">
        <v>0</v>
      </c>
    </row>
    <row r="350" spans="1:10">
      <c r="A350" s="66" t="s">
        <v>1667</v>
      </c>
      <c r="B350" s="66" t="s">
        <v>1668</v>
      </c>
      <c r="C350" s="68">
        <v>0</v>
      </c>
      <c r="D350" s="68">
        <v>0</v>
      </c>
      <c r="E350" s="68">
        <v>30551.11</v>
      </c>
      <c r="F350" s="68">
        <v>3046</v>
      </c>
      <c r="G350" s="68">
        <v>34658.46</v>
      </c>
      <c r="H350" s="68">
        <v>37704.46</v>
      </c>
      <c r="I350" s="68">
        <v>0</v>
      </c>
      <c r="J350" s="68">
        <v>3046</v>
      </c>
    </row>
    <row r="351" spans="1:10">
      <c r="A351" s="66" t="s">
        <v>1669</v>
      </c>
      <c r="B351" s="66" t="s">
        <v>1670</v>
      </c>
      <c r="C351" s="68">
        <v>165.63</v>
      </c>
      <c r="D351" s="68">
        <v>0</v>
      </c>
      <c r="E351" s="68">
        <v>150</v>
      </c>
      <c r="F351" s="68">
        <v>250.00000000000023</v>
      </c>
      <c r="G351" s="68">
        <v>1973.8</v>
      </c>
      <c r="H351" s="68">
        <v>2223.8000000000002</v>
      </c>
      <c r="I351" s="68">
        <v>0</v>
      </c>
      <c r="J351" s="68">
        <v>250.00000000000023</v>
      </c>
    </row>
    <row r="352" spans="1:10">
      <c r="A352" s="66" t="s">
        <v>1671</v>
      </c>
      <c r="B352" s="66" t="s">
        <v>1672</v>
      </c>
      <c r="C352" s="68">
        <v>0</v>
      </c>
      <c r="D352" s="68">
        <v>0</v>
      </c>
      <c r="E352" s="68">
        <v>0</v>
      </c>
      <c r="F352" s="68">
        <v>12.299999999999997</v>
      </c>
      <c r="G352" s="68">
        <v>61.5</v>
      </c>
      <c r="H352" s="68">
        <v>73.8</v>
      </c>
      <c r="I352" s="68">
        <v>0</v>
      </c>
      <c r="J352" s="68">
        <v>12.299999999999997</v>
      </c>
    </row>
    <row r="353" spans="1:10">
      <c r="A353" s="66" t="s">
        <v>1673</v>
      </c>
      <c r="B353" s="66" t="s">
        <v>1674</v>
      </c>
      <c r="C353" s="68">
        <v>0</v>
      </c>
      <c r="D353" s="68">
        <v>4589.2299999999996</v>
      </c>
      <c r="E353" s="68">
        <v>39023.01999999999</v>
      </c>
      <c r="F353" s="68">
        <v>29907.850000000006</v>
      </c>
      <c r="G353" s="68">
        <v>190653.3</v>
      </c>
      <c r="H353" s="68">
        <v>193434.58</v>
      </c>
      <c r="I353" s="68">
        <v>0</v>
      </c>
      <c r="J353" s="68">
        <v>2781.2799999999988</v>
      </c>
    </row>
    <row r="354" spans="1:10">
      <c r="A354" s="66" t="s">
        <v>1675</v>
      </c>
      <c r="B354" s="66" t="s">
        <v>1676</v>
      </c>
      <c r="C354" s="68">
        <v>0</v>
      </c>
      <c r="D354" s="68">
        <v>0</v>
      </c>
      <c r="E354" s="68">
        <v>5200</v>
      </c>
      <c r="F354" s="68">
        <v>0</v>
      </c>
      <c r="G354" s="68">
        <v>33045</v>
      </c>
      <c r="H354" s="68">
        <v>33045</v>
      </c>
      <c r="I354" s="68">
        <v>0</v>
      </c>
      <c r="J354" s="68">
        <v>0</v>
      </c>
    </row>
    <row r="355" spans="1:10">
      <c r="A355" s="66" t="s">
        <v>1677</v>
      </c>
      <c r="B355" s="66" t="s">
        <v>1678</v>
      </c>
      <c r="C355" s="68">
        <v>0</v>
      </c>
      <c r="D355" s="68">
        <v>67343.8</v>
      </c>
      <c r="E355" s="68">
        <v>172443.69000000006</v>
      </c>
      <c r="F355" s="68">
        <v>51754.939999999944</v>
      </c>
      <c r="G355" s="68">
        <v>754341.08000000007</v>
      </c>
      <c r="H355" s="68">
        <v>806096.02</v>
      </c>
      <c r="I355" s="68">
        <v>0</v>
      </c>
      <c r="J355" s="68">
        <v>51754.939999999944</v>
      </c>
    </row>
    <row r="356" spans="1:10">
      <c r="A356" s="66" t="s">
        <v>1679</v>
      </c>
      <c r="B356" s="66" t="s">
        <v>1680</v>
      </c>
      <c r="C356" s="68">
        <v>0</v>
      </c>
      <c r="D356" s="68">
        <v>0</v>
      </c>
      <c r="E356" s="68">
        <v>0</v>
      </c>
      <c r="F356" s="68">
        <v>0</v>
      </c>
      <c r="G356" s="68">
        <v>15228.38</v>
      </c>
      <c r="H356" s="68">
        <v>15228.38</v>
      </c>
      <c r="I356" s="68">
        <v>0</v>
      </c>
      <c r="J356" s="68">
        <v>0</v>
      </c>
    </row>
    <row r="357" spans="1:10">
      <c r="A357" s="66" t="s">
        <v>1681</v>
      </c>
      <c r="B357" s="66" t="s">
        <v>1682</v>
      </c>
      <c r="C357" s="68">
        <v>0</v>
      </c>
      <c r="D357" s="68">
        <v>0</v>
      </c>
      <c r="E357" s="68">
        <v>467.4</v>
      </c>
      <c r="F357" s="68">
        <v>467.4</v>
      </c>
      <c r="G357" s="68">
        <v>467.4</v>
      </c>
      <c r="H357" s="68">
        <v>467.4</v>
      </c>
      <c r="I357" s="68">
        <v>0</v>
      </c>
      <c r="J357" s="68">
        <v>0</v>
      </c>
    </row>
    <row r="358" spans="1:10">
      <c r="A358" s="66" t="s">
        <v>1683</v>
      </c>
      <c r="B358" s="66" t="s">
        <v>1684</v>
      </c>
      <c r="C358" s="68">
        <v>0</v>
      </c>
      <c r="D358" s="68">
        <v>0</v>
      </c>
      <c r="E358" s="68">
        <v>0</v>
      </c>
      <c r="F358" s="68">
        <v>0</v>
      </c>
      <c r="G358" s="68">
        <v>4062.69</v>
      </c>
      <c r="H358" s="68">
        <v>4062.69</v>
      </c>
      <c r="I358" s="68">
        <v>0</v>
      </c>
      <c r="J358" s="68">
        <v>0</v>
      </c>
    </row>
    <row r="359" spans="1:10">
      <c r="A359" s="66" t="s">
        <v>1685</v>
      </c>
      <c r="B359" s="66" t="s">
        <v>1686</v>
      </c>
      <c r="C359" s="68">
        <v>0</v>
      </c>
      <c r="D359" s="68">
        <v>3917.43</v>
      </c>
      <c r="E359" s="68">
        <v>0</v>
      </c>
      <c r="F359" s="68">
        <v>30409.910000000003</v>
      </c>
      <c r="G359" s="68">
        <v>8804.2199999999993</v>
      </c>
      <c r="H359" s="68">
        <v>39214.130000000005</v>
      </c>
      <c r="I359" s="68">
        <v>0</v>
      </c>
      <c r="J359" s="68">
        <v>30409.910000000003</v>
      </c>
    </row>
    <row r="360" spans="1:10">
      <c r="A360" s="66" t="s">
        <v>1687</v>
      </c>
      <c r="B360" s="66" t="s">
        <v>1688</v>
      </c>
      <c r="C360" s="68">
        <v>0</v>
      </c>
      <c r="D360" s="68">
        <v>0</v>
      </c>
      <c r="E360" s="68">
        <v>1089.7800000000007</v>
      </c>
      <c r="F360" s="68">
        <v>868.3799999999992</v>
      </c>
      <c r="G360" s="68">
        <v>14698.500000000002</v>
      </c>
      <c r="H360" s="68">
        <v>14698.5</v>
      </c>
      <c r="I360" s="68">
        <v>1.8189894035458565E-12</v>
      </c>
      <c r="J360" s="68">
        <v>0</v>
      </c>
    </row>
    <row r="361" spans="1:10">
      <c r="A361" s="66" t="s">
        <v>1689</v>
      </c>
      <c r="B361" s="66" t="s">
        <v>1690</v>
      </c>
      <c r="C361" s="68">
        <v>0</v>
      </c>
      <c r="D361" s="68">
        <v>0</v>
      </c>
      <c r="E361" s="68">
        <v>0</v>
      </c>
      <c r="F361" s="68">
        <v>0</v>
      </c>
      <c r="G361" s="68">
        <v>40826.160000000003</v>
      </c>
      <c r="H361" s="68">
        <v>40826.160000000003</v>
      </c>
      <c r="I361" s="68">
        <v>0</v>
      </c>
      <c r="J361" s="68">
        <v>0</v>
      </c>
    </row>
    <row r="362" spans="1:10">
      <c r="A362" s="66" t="s">
        <v>1691</v>
      </c>
      <c r="B362" s="66" t="s">
        <v>1692</v>
      </c>
      <c r="C362" s="68">
        <v>0</v>
      </c>
      <c r="D362" s="68">
        <v>0</v>
      </c>
      <c r="E362" s="68">
        <v>0</v>
      </c>
      <c r="F362" s="68">
        <v>0</v>
      </c>
      <c r="G362" s="68">
        <v>48388.2</v>
      </c>
      <c r="H362" s="68">
        <v>48388.2</v>
      </c>
      <c r="I362" s="68">
        <v>0</v>
      </c>
      <c r="J362" s="68">
        <v>0</v>
      </c>
    </row>
    <row r="363" spans="1:10">
      <c r="A363" s="66" t="s">
        <v>1693</v>
      </c>
      <c r="B363" s="66" t="s">
        <v>1694</v>
      </c>
      <c r="C363" s="68">
        <v>0</v>
      </c>
      <c r="D363" s="68">
        <v>0</v>
      </c>
      <c r="E363" s="68">
        <v>369</v>
      </c>
      <c r="F363" s="68">
        <v>369</v>
      </c>
      <c r="G363" s="68">
        <v>5018.3999999999996</v>
      </c>
      <c r="H363" s="68">
        <v>5018.3999999999996</v>
      </c>
      <c r="I363" s="68">
        <v>0</v>
      </c>
      <c r="J363" s="68">
        <v>0</v>
      </c>
    </row>
    <row r="364" spans="1:10">
      <c r="A364" s="66" t="s">
        <v>1695</v>
      </c>
      <c r="B364" s="66" t="s">
        <v>1696</v>
      </c>
      <c r="C364" s="68">
        <v>0</v>
      </c>
      <c r="D364" s="68">
        <v>0</v>
      </c>
      <c r="E364" s="68">
        <v>2434.17</v>
      </c>
      <c r="F364" s="68">
        <v>2434.17</v>
      </c>
      <c r="G364" s="68">
        <v>8352.93</v>
      </c>
      <c r="H364" s="68">
        <v>8352.93</v>
      </c>
      <c r="I364" s="68">
        <v>0</v>
      </c>
      <c r="J364" s="68">
        <v>0</v>
      </c>
    </row>
    <row r="365" spans="1:10">
      <c r="A365" s="66" t="s">
        <v>1697</v>
      </c>
      <c r="B365" s="66" t="s">
        <v>1698</v>
      </c>
      <c r="C365" s="68">
        <v>0</v>
      </c>
      <c r="D365" s="68">
        <v>5552.71</v>
      </c>
      <c r="E365" s="68">
        <v>732.10000000000036</v>
      </c>
      <c r="F365" s="68">
        <v>0</v>
      </c>
      <c r="G365" s="68">
        <v>15321.08</v>
      </c>
      <c r="H365" s="68">
        <v>15321.08</v>
      </c>
      <c r="I365" s="68">
        <v>0</v>
      </c>
      <c r="J365" s="68">
        <v>0</v>
      </c>
    </row>
    <row r="366" spans="1:10">
      <c r="A366" s="66" t="s">
        <v>1699</v>
      </c>
      <c r="B366" s="66" t="s">
        <v>1700</v>
      </c>
      <c r="C366" s="68">
        <v>0</v>
      </c>
      <c r="D366" s="68">
        <v>0</v>
      </c>
      <c r="E366" s="68">
        <v>0</v>
      </c>
      <c r="F366" s="68">
        <v>0</v>
      </c>
      <c r="G366" s="68">
        <v>1100.8499999999999</v>
      </c>
      <c r="H366" s="68">
        <v>1100.8499999999999</v>
      </c>
      <c r="I366" s="68">
        <v>0</v>
      </c>
      <c r="J366" s="68">
        <v>0</v>
      </c>
    </row>
    <row r="367" spans="1:10">
      <c r="A367" s="66" t="s">
        <v>1701</v>
      </c>
      <c r="B367" s="66" t="s">
        <v>1702</v>
      </c>
      <c r="C367" s="68">
        <v>0</v>
      </c>
      <c r="D367" s="68">
        <v>0</v>
      </c>
      <c r="E367" s="68">
        <v>0</v>
      </c>
      <c r="F367" s="68">
        <v>0</v>
      </c>
      <c r="G367" s="68">
        <v>4121.95</v>
      </c>
      <c r="H367" s="68">
        <v>4121.95</v>
      </c>
      <c r="I367" s="68">
        <v>0</v>
      </c>
      <c r="J367" s="68">
        <v>0</v>
      </c>
    </row>
    <row r="368" spans="1:10">
      <c r="A368" s="66" t="s">
        <v>1703</v>
      </c>
      <c r="B368" s="66" t="s">
        <v>1704</v>
      </c>
      <c r="C368" s="68">
        <v>0</v>
      </c>
      <c r="D368" s="68">
        <v>1168.5</v>
      </c>
      <c r="E368" s="68">
        <v>0</v>
      </c>
      <c r="F368" s="68">
        <v>0</v>
      </c>
      <c r="G368" s="68">
        <v>7810.5</v>
      </c>
      <c r="H368" s="68">
        <v>7810.5</v>
      </c>
      <c r="I368" s="68">
        <v>0</v>
      </c>
      <c r="J368" s="68">
        <v>0</v>
      </c>
    </row>
    <row r="369" spans="1:10">
      <c r="A369" s="66" t="s">
        <v>1705</v>
      </c>
      <c r="B369" s="66" t="s">
        <v>1706</v>
      </c>
      <c r="C369" s="68">
        <v>0</v>
      </c>
      <c r="D369" s="68">
        <v>2329.14</v>
      </c>
      <c r="E369" s="68">
        <v>2329.14</v>
      </c>
      <c r="F369" s="68">
        <v>0</v>
      </c>
      <c r="G369" s="68">
        <v>2329.14</v>
      </c>
      <c r="H369" s="68">
        <v>2329.14</v>
      </c>
      <c r="I369" s="68">
        <v>0</v>
      </c>
      <c r="J369" s="68">
        <v>0</v>
      </c>
    </row>
    <row r="370" spans="1:10">
      <c r="A370" s="66" t="s">
        <v>1707</v>
      </c>
      <c r="B370" s="66" t="s">
        <v>1708</v>
      </c>
      <c r="C370" s="68">
        <v>0</v>
      </c>
      <c r="D370" s="68">
        <v>0</v>
      </c>
      <c r="E370" s="68">
        <v>0</v>
      </c>
      <c r="F370" s="68">
        <v>0</v>
      </c>
      <c r="G370" s="68">
        <v>554.73</v>
      </c>
      <c r="H370" s="68">
        <v>554.73</v>
      </c>
      <c r="I370" s="68">
        <v>0</v>
      </c>
      <c r="J370" s="68">
        <v>0</v>
      </c>
    </row>
    <row r="371" spans="1:10">
      <c r="A371" s="66" t="s">
        <v>1709</v>
      </c>
      <c r="B371" s="66" t="s">
        <v>1710</v>
      </c>
      <c r="C371" s="68">
        <v>0</v>
      </c>
      <c r="D371" s="68">
        <v>0</v>
      </c>
      <c r="E371" s="68">
        <v>0</v>
      </c>
      <c r="F371" s="68">
        <v>11839.98000000001</v>
      </c>
      <c r="G371" s="68">
        <v>164785.76</v>
      </c>
      <c r="H371" s="68">
        <v>176625.74000000002</v>
      </c>
      <c r="I371" s="68">
        <v>0</v>
      </c>
      <c r="J371" s="68">
        <v>11839.98000000001</v>
      </c>
    </row>
    <row r="372" spans="1:10">
      <c r="A372" s="66" t="s">
        <v>1711</v>
      </c>
      <c r="B372" s="66" t="s">
        <v>1712</v>
      </c>
      <c r="C372" s="68">
        <v>0</v>
      </c>
      <c r="D372" s="68">
        <v>0</v>
      </c>
      <c r="E372" s="68">
        <v>0</v>
      </c>
      <c r="F372" s="68">
        <v>0</v>
      </c>
      <c r="G372" s="68">
        <v>450.57</v>
      </c>
      <c r="H372" s="68">
        <v>450.57</v>
      </c>
      <c r="I372" s="68">
        <v>0</v>
      </c>
      <c r="J372" s="68">
        <v>0</v>
      </c>
    </row>
    <row r="373" spans="1:10">
      <c r="A373" s="66" t="s">
        <v>1713</v>
      </c>
      <c r="B373" s="66" t="s">
        <v>1714</v>
      </c>
      <c r="C373" s="68">
        <v>0</v>
      </c>
      <c r="D373" s="68">
        <v>0</v>
      </c>
      <c r="E373" s="68">
        <v>0</v>
      </c>
      <c r="F373" s="68">
        <v>0</v>
      </c>
      <c r="G373" s="68">
        <v>1052.8800000000001</v>
      </c>
      <c r="H373" s="68">
        <v>1052.8800000000001</v>
      </c>
      <c r="I373" s="68">
        <v>0</v>
      </c>
      <c r="J373" s="68">
        <v>0</v>
      </c>
    </row>
    <row r="374" spans="1:10">
      <c r="A374" s="66" t="s">
        <v>1715</v>
      </c>
      <c r="B374" s="66" t="s">
        <v>1716</v>
      </c>
      <c r="C374" s="68">
        <v>0</v>
      </c>
      <c r="D374" s="68">
        <v>0</v>
      </c>
      <c r="E374" s="68">
        <v>0</v>
      </c>
      <c r="F374" s="68">
        <v>0</v>
      </c>
      <c r="G374" s="68">
        <v>4428</v>
      </c>
      <c r="H374" s="68">
        <v>4428</v>
      </c>
      <c r="I374" s="68">
        <v>0</v>
      </c>
      <c r="J374" s="68">
        <v>0</v>
      </c>
    </row>
    <row r="375" spans="1:10">
      <c r="A375" s="66" t="s">
        <v>1717</v>
      </c>
      <c r="B375" s="66" t="s">
        <v>1718</v>
      </c>
      <c r="C375" s="68">
        <v>0</v>
      </c>
      <c r="D375" s="68">
        <v>0</v>
      </c>
      <c r="E375" s="68">
        <v>596.94000000000005</v>
      </c>
      <c r="F375" s="68">
        <v>301.35000000000002</v>
      </c>
      <c r="G375" s="68">
        <v>675.66000000000008</v>
      </c>
      <c r="H375" s="68">
        <v>675.66</v>
      </c>
      <c r="I375" s="68">
        <v>1.1368683772161603E-13</v>
      </c>
      <c r="J375" s="68">
        <v>0</v>
      </c>
    </row>
    <row r="376" spans="1:10">
      <c r="A376" s="66" t="s">
        <v>1719</v>
      </c>
      <c r="B376" s="66" t="s">
        <v>1720</v>
      </c>
      <c r="C376" s="68">
        <v>0</v>
      </c>
      <c r="D376" s="68">
        <v>27325.58</v>
      </c>
      <c r="E376" s="68">
        <v>0</v>
      </c>
      <c r="F376" s="68">
        <v>6404.3499999999985</v>
      </c>
      <c r="G376" s="68">
        <v>56807.59</v>
      </c>
      <c r="H376" s="68">
        <v>63211.94000000001</v>
      </c>
      <c r="I376" s="68">
        <v>0</v>
      </c>
      <c r="J376" s="68">
        <v>6404.3500000000131</v>
      </c>
    </row>
    <row r="377" spans="1:10">
      <c r="A377" s="66" t="s">
        <v>1721</v>
      </c>
      <c r="B377" s="66" t="s">
        <v>1722</v>
      </c>
      <c r="C377" s="68">
        <v>0</v>
      </c>
      <c r="D377" s="68">
        <v>738</v>
      </c>
      <c r="E377" s="68">
        <v>738</v>
      </c>
      <c r="F377" s="68">
        <v>738</v>
      </c>
      <c r="G377" s="68">
        <v>8856</v>
      </c>
      <c r="H377" s="68">
        <v>9594</v>
      </c>
      <c r="I377" s="68">
        <v>0</v>
      </c>
      <c r="J377" s="68">
        <v>738</v>
      </c>
    </row>
    <row r="378" spans="1:10">
      <c r="A378" s="66" t="s">
        <v>1723</v>
      </c>
      <c r="B378" s="66" t="s">
        <v>1724</v>
      </c>
      <c r="C378" s="68">
        <v>0</v>
      </c>
      <c r="D378" s="68">
        <v>0</v>
      </c>
      <c r="E378" s="68">
        <v>0</v>
      </c>
      <c r="F378" s="68">
        <v>0</v>
      </c>
      <c r="G378" s="68">
        <v>40</v>
      </c>
      <c r="H378" s="68">
        <v>40</v>
      </c>
      <c r="I378" s="68">
        <v>0</v>
      </c>
      <c r="J378" s="68">
        <v>0</v>
      </c>
    </row>
    <row r="379" spans="1:10">
      <c r="A379" s="66" t="s">
        <v>1725</v>
      </c>
      <c r="B379" s="66" t="s">
        <v>1726</v>
      </c>
      <c r="C379" s="68">
        <v>0</v>
      </c>
      <c r="D379" s="68">
        <v>270.35000000000002</v>
      </c>
      <c r="E379" s="68">
        <v>131.18000000000029</v>
      </c>
      <c r="F379" s="68">
        <v>126.72000000000025</v>
      </c>
      <c r="G379" s="68">
        <v>7621.24</v>
      </c>
      <c r="H379" s="68">
        <v>7666.78</v>
      </c>
      <c r="I379" s="68">
        <v>0</v>
      </c>
      <c r="J379" s="68">
        <v>45.539999999999964</v>
      </c>
    </row>
    <row r="380" spans="1:10">
      <c r="A380" s="66" t="s">
        <v>1727</v>
      </c>
      <c r="B380" s="66" t="s">
        <v>1728</v>
      </c>
      <c r="C380" s="68">
        <v>0</v>
      </c>
      <c r="D380" s="68">
        <v>0</v>
      </c>
      <c r="E380" s="68">
        <v>1158.9099999999999</v>
      </c>
      <c r="F380" s="68">
        <v>1158.9099999999999</v>
      </c>
      <c r="G380" s="68">
        <v>3565.6899999999996</v>
      </c>
      <c r="H380" s="68">
        <v>3565.6899999999996</v>
      </c>
      <c r="I380" s="68">
        <v>0</v>
      </c>
      <c r="J380" s="68">
        <v>0</v>
      </c>
    </row>
    <row r="381" spans="1:10">
      <c r="A381" s="66" t="s">
        <v>1729</v>
      </c>
      <c r="B381" s="66" t="s">
        <v>1730</v>
      </c>
      <c r="C381" s="68">
        <v>0</v>
      </c>
      <c r="D381" s="68">
        <v>26792.46</v>
      </c>
      <c r="E381" s="68">
        <v>141646.1399999999</v>
      </c>
      <c r="F381" s="68">
        <v>144959.33000000007</v>
      </c>
      <c r="G381" s="68">
        <v>1287124.6399999999</v>
      </c>
      <c r="H381" s="68">
        <v>1396163.19</v>
      </c>
      <c r="I381" s="68">
        <v>0</v>
      </c>
      <c r="J381" s="68">
        <v>109038.55000000005</v>
      </c>
    </row>
    <row r="382" spans="1:10">
      <c r="A382" s="66" t="s">
        <v>1731</v>
      </c>
      <c r="B382" s="66" t="s">
        <v>1732</v>
      </c>
      <c r="C382" s="68">
        <v>0</v>
      </c>
      <c r="D382" s="68">
        <v>167038.68</v>
      </c>
      <c r="E382" s="68">
        <v>0</v>
      </c>
      <c r="F382" s="68">
        <v>0</v>
      </c>
      <c r="G382" s="68">
        <v>167038.68</v>
      </c>
      <c r="H382" s="68">
        <v>167038.68</v>
      </c>
      <c r="I382" s="68">
        <v>0</v>
      </c>
      <c r="J382" s="68">
        <v>0</v>
      </c>
    </row>
    <row r="383" spans="1:10">
      <c r="A383" s="66" t="s">
        <v>1733</v>
      </c>
      <c r="B383" s="66" t="s">
        <v>1734</v>
      </c>
      <c r="C383" s="68">
        <v>0</v>
      </c>
      <c r="D383" s="68">
        <v>0</v>
      </c>
      <c r="E383" s="68">
        <v>0</v>
      </c>
      <c r="F383" s="68">
        <v>0</v>
      </c>
      <c r="G383" s="68">
        <v>183.27</v>
      </c>
      <c r="H383" s="68">
        <v>183.27</v>
      </c>
      <c r="I383" s="68">
        <v>0</v>
      </c>
      <c r="J383" s="68">
        <v>0</v>
      </c>
    </row>
    <row r="384" spans="1:10">
      <c r="A384" s="66" t="s">
        <v>1735</v>
      </c>
      <c r="B384" s="66" t="s">
        <v>1736</v>
      </c>
      <c r="C384" s="68">
        <v>0</v>
      </c>
      <c r="D384" s="68">
        <v>0</v>
      </c>
      <c r="E384" s="68">
        <v>0</v>
      </c>
      <c r="F384" s="68">
        <v>19845.630000000005</v>
      </c>
      <c r="G384" s="68">
        <v>51128.25</v>
      </c>
      <c r="H384" s="68">
        <v>70973.88</v>
      </c>
      <c r="I384" s="68">
        <v>0</v>
      </c>
      <c r="J384" s="68">
        <v>19845.630000000005</v>
      </c>
    </row>
    <row r="385" spans="1:10">
      <c r="A385" s="66" t="s">
        <v>1737</v>
      </c>
      <c r="B385" s="66" t="s">
        <v>1738</v>
      </c>
      <c r="C385" s="68">
        <v>0</v>
      </c>
      <c r="D385" s="68">
        <v>1444.76</v>
      </c>
      <c r="E385" s="68">
        <v>47.280000000000655</v>
      </c>
      <c r="F385" s="68">
        <v>1125.2399999999998</v>
      </c>
      <c r="G385" s="68">
        <v>11005.95</v>
      </c>
      <c r="H385" s="68">
        <v>12131.19</v>
      </c>
      <c r="I385" s="68">
        <v>0</v>
      </c>
      <c r="J385" s="68">
        <v>1125.2399999999998</v>
      </c>
    </row>
    <row r="386" spans="1:10">
      <c r="A386" s="66" t="s">
        <v>1739</v>
      </c>
      <c r="B386" s="66" t="s">
        <v>1740</v>
      </c>
      <c r="C386" s="68">
        <v>0</v>
      </c>
      <c r="D386" s="68">
        <v>0</v>
      </c>
      <c r="E386" s="68">
        <v>0</v>
      </c>
      <c r="F386" s="68">
        <v>0</v>
      </c>
      <c r="G386" s="68">
        <v>3070.58</v>
      </c>
      <c r="H386" s="68">
        <v>3070.58</v>
      </c>
      <c r="I386" s="68">
        <v>0</v>
      </c>
      <c r="J386" s="68">
        <v>0</v>
      </c>
    </row>
    <row r="387" spans="1:10">
      <c r="A387" s="66" t="s">
        <v>1741</v>
      </c>
      <c r="B387" s="66" t="s">
        <v>1742</v>
      </c>
      <c r="C387" s="68">
        <v>0</v>
      </c>
      <c r="D387" s="68">
        <v>61.5</v>
      </c>
      <c r="E387" s="68">
        <v>119.31</v>
      </c>
      <c r="F387" s="68">
        <v>230.38</v>
      </c>
      <c r="G387" s="68">
        <v>349.32</v>
      </c>
      <c r="H387" s="68">
        <v>460.39</v>
      </c>
      <c r="I387" s="68">
        <v>0</v>
      </c>
      <c r="J387" s="68">
        <v>111.07</v>
      </c>
    </row>
    <row r="388" spans="1:10">
      <c r="A388" s="66" t="s">
        <v>1743</v>
      </c>
      <c r="B388" s="66" t="s">
        <v>1744</v>
      </c>
      <c r="C388" s="68">
        <v>0</v>
      </c>
      <c r="D388" s="68">
        <v>0</v>
      </c>
      <c r="E388" s="68">
        <v>325.19000000000005</v>
      </c>
      <c r="F388" s="68">
        <v>0</v>
      </c>
      <c r="G388" s="68">
        <v>2169.67</v>
      </c>
      <c r="H388" s="68">
        <v>2169.6699999999996</v>
      </c>
      <c r="I388" s="68">
        <v>4.5474735088646412E-13</v>
      </c>
      <c r="J388" s="68">
        <v>0</v>
      </c>
    </row>
    <row r="389" spans="1:10">
      <c r="A389" s="66" t="s">
        <v>1745</v>
      </c>
      <c r="B389" s="66" t="s">
        <v>1746</v>
      </c>
      <c r="C389" s="68">
        <v>0</v>
      </c>
      <c r="D389" s="68">
        <v>0</v>
      </c>
      <c r="E389" s="68">
        <v>0</v>
      </c>
      <c r="F389" s="68">
        <v>0</v>
      </c>
      <c r="G389" s="68">
        <v>1164.56</v>
      </c>
      <c r="H389" s="68">
        <v>1164.56</v>
      </c>
      <c r="I389" s="68">
        <v>0</v>
      </c>
      <c r="J389" s="68">
        <v>0</v>
      </c>
    </row>
    <row r="390" spans="1:10">
      <c r="A390" s="66" t="s">
        <v>1747</v>
      </c>
      <c r="B390" s="66" t="s">
        <v>1748</v>
      </c>
      <c r="C390" s="68">
        <v>0</v>
      </c>
      <c r="D390" s="68">
        <v>0</v>
      </c>
      <c r="E390" s="68">
        <v>99.019999999999982</v>
      </c>
      <c r="F390" s="68">
        <v>0</v>
      </c>
      <c r="G390" s="68">
        <v>1629.65</v>
      </c>
      <c r="H390" s="68">
        <v>1629.6499999999999</v>
      </c>
      <c r="I390" s="68">
        <v>2.2737367544323206E-13</v>
      </c>
      <c r="J390" s="68">
        <v>0</v>
      </c>
    </row>
    <row r="391" spans="1:10">
      <c r="A391" s="66" t="s">
        <v>1749</v>
      </c>
      <c r="B391" s="66" t="s">
        <v>1750</v>
      </c>
      <c r="C391" s="68">
        <v>0</v>
      </c>
      <c r="D391" s="68">
        <v>0</v>
      </c>
      <c r="E391" s="68">
        <v>0</v>
      </c>
      <c r="F391" s="68">
        <v>6150</v>
      </c>
      <c r="G391" s="68">
        <v>120294</v>
      </c>
      <c r="H391" s="68">
        <v>120294</v>
      </c>
      <c r="I391" s="68">
        <v>0</v>
      </c>
      <c r="J391" s="68">
        <v>0</v>
      </c>
    </row>
    <row r="392" spans="1:10">
      <c r="A392" s="66" t="s">
        <v>1751</v>
      </c>
      <c r="B392" s="66" t="s">
        <v>1752</v>
      </c>
      <c r="C392" s="68">
        <v>0</v>
      </c>
      <c r="D392" s="68">
        <v>246</v>
      </c>
      <c r="E392" s="68">
        <v>0</v>
      </c>
      <c r="F392" s="68">
        <v>246</v>
      </c>
      <c r="G392" s="68">
        <v>984</v>
      </c>
      <c r="H392" s="68">
        <v>1230</v>
      </c>
      <c r="I392" s="68">
        <v>0</v>
      </c>
      <c r="J392" s="68">
        <v>246</v>
      </c>
    </row>
    <row r="393" spans="1:10">
      <c r="A393" s="66" t="s">
        <v>1753</v>
      </c>
      <c r="B393" s="66" t="s">
        <v>1754</v>
      </c>
      <c r="C393" s="68">
        <v>0</v>
      </c>
      <c r="D393" s="68">
        <v>0</v>
      </c>
      <c r="E393" s="68">
        <v>0</v>
      </c>
      <c r="F393" s="68">
        <v>0</v>
      </c>
      <c r="G393" s="68">
        <v>2275.38</v>
      </c>
      <c r="H393" s="68">
        <v>2275.38</v>
      </c>
      <c r="I393" s="68">
        <v>0</v>
      </c>
      <c r="J393" s="68">
        <v>0</v>
      </c>
    </row>
    <row r="394" spans="1:10">
      <c r="A394" s="66" t="s">
        <v>1755</v>
      </c>
      <c r="B394" s="66" t="s">
        <v>1756</v>
      </c>
      <c r="C394" s="68">
        <v>0</v>
      </c>
      <c r="D394" s="68">
        <v>0</v>
      </c>
      <c r="E394" s="68">
        <v>1036.7999999999993</v>
      </c>
      <c r="F394" s="68">
        <v>11339.999999999996</v>
      </c>
      <c r="G394" s="68">
        <v>31460.399999999998</v>
      </c>
      <c r="H394" s="68">
        <v>42800.399999999994</v>
      </c>
      <c r="I394" s="68">
        <v>0</v>
      </c>
      <c r="J394" s="68">
        <v>11339.999999999996</v>
      </c>
    </row>
    <row r="395" spans="1:10">
      <c r="A395" s="66" t="s">
        <v>1757</v>
      </c>
      <c r="B395" s="66" t="s">
        <v>1758</v>
      </c>
      <c r="C395" s="68">
        <v>0</v>
      </c>
      <c r="D395" s="68">
        <v>10676.4</v>
      </c>
      <c r="E395" s="68">
        <v>37368.48000000001</v>
      </c>
      <c r="F395" s="68">
        <v>55161</v>
      </c>
      <c r="G395" s="68">
        <v>177683.46000000002</v>
      </c>
      <c r="H395" s="68">
        <v>232844.46000000002</v>
      </c>
      <c r="I395" s="68">
        <v>0</v>
      </c>
      <c r="J395" s="68">
        <v>55161</v>
      </c>
    </row>
    <row r="396" spans="1:10">
      <c r="A396" s="66" t="s">
        <v>1759</v>
      </c>
      <c r="B396" s="66" t="s">
        <v>1760</v>
      </c>
      <c r="C396" s="68">
        <v>0</v>
      </c>
      <c r="D396" s="68">
        <v>0</v>
      </c>
      <c r="E396" s="68">
        <v>1918.7999999999993</v>
      </c>
      <c r="F396" s="68">
        <v>1918.7999999999993</v>
      </c>
      <c r="G396" s="68">
        <v>20381.099999999999</v>
      </c>
      <c r="H396" s="68">
        <v>20381.099999999999</v>
      </c>
      <c r="I396" s="68">
        <v>0</v>
      </c>
      <c r="J396" s="68">
        <v>0</v>
      </c>
    </row>
    <row r="397" spans="1:10">
      <c r="A397" s="66" t="s">
        <v>1761</v>
      </c>
      <c r="B397" s="66" t="s">
        <v>1762</v>
      </c>
      <c r="C397" s="68">
        <v>0</v>
      </c>
      <c r="D397" s="68">
        <v>0</v>
      </c>
      <c r="E397" s="68">
        <v>2597.7600000000093</v>
      </c>
      <c r="F397" s="68">
        <v>149.07999999995809</v>
      </c>
      <c r="G397" s="68">
        <v>1035555.84</v>
      </c>
      <c r="H397" s="68">
        <v>1035555.84</v>
      </c>
      <c r="I397" s="68">
        <v>0</v>
      </c>
      <c r="J397" s="68">
        <v>0</v>
      </c>
    </row>
    <row r="398" spans="1:10">
      <c r="A398" s="66" t="s">
        <v>1763</v>
      </c>
      <c r="B398" s="66" t="s">
        <v>1764</v>
      </c>
      <c r="C398" s="68">
        <v>0</v>
      </c>
      <c r="D398" s="68">
        <v>0</v>
      </c>
      <c r="E398" s="68">
        <v>0</v>
      </c>
      <c r="F398" s="68">
        <v>0</v>
      </c>
      <c r="G398" s="68">
        <v>3183.73</v>
      </c>
      <c r="H398" s="68">
        <v>3183.73</v>
      </c>
      <c r="I398" s="68">
        <v>0</v>
      </c>
      <c r="J398" s="68">
        <v>0</v>
      </c>
    </row>
    <row r="399" spans="1:10">
      <c r="A399" s="66" t="s">
        <v>1765</v>
      </c>
      <c r="B399" s="66" t="s">
        <v>1766</v>
      </c>
      <c r="C399" s="68">
        <v>0</v>
      </c>
      <c r="D399" s="68">
        <v>0</v>
      </c>
      <c r="E399" s="68">
        <v>0</v>
      </c>
      <c r="F399" s="68">
        <v>0</v>
      </c>
      <c r="G399" s="68">
        <v>4000</v>
      </c>
      <c r="H399" s="68">
        <v>4000</v>
      </c>
      <c r="I399" s="68">
        <v>0</v>
      </c>
      <c r="J399" s="68">
        <v>0</v>
      </c>
    </row>
    <row r="400" spans="1:10">
      <c r="A400" s="66" t="s">
        <v>1767</v>
      </c>
      <c r="B400" s="66" t="s">
        <v>1768</v>
      </c>
      <c r="C400" s="68">
        <v>0</v>
      </c>
      <c r="D400" s="68">
        <v>0</v>
      </c>
      <c r="E400" s="68">
        <v>1033.2</v>
      </c>
      <c r="F400" s="68">
        <v>0</v>
      </c>
      <c r="G400" s="68">
        <v>2061.23</v>
      </c>
      <c r="H400" s="68">
        <v>2061.23</v>
      </c>
      <c r="I400" s="68">
        <v>0</v>
      </c>
      <c r="J400" s="68">
        <v>0</v>
      </c>
    </row>
    <row r="401" spans="1:10">
      <c r="A401" s="66" t="s">
        <v>1769</v>
      </c>
      <c r="B401" s="66" t="s">
        <v>1770</v>
      </c>
      <c r="C401" s="68">
        <v>0</v>
      </c>
      <c r="D401" s="68">
        <v>0</v>
      </c>
      <c r="E401" s="68">
        <v>13613.579999999987</v>
      </c>
      <c r="F401" s="68">
        <v>13613.579999999987</v>
      </c>
      <c r="G401" s="68">
        <v>201674.64999999997</v>
      </c>
      <c r="H401" s="68">
        <v>201674.64999999997</v>
      </c>
      <c r="I401" s="68">
        <v>0</v>
      </c>
      <c r="J401" s="68">
        <v>0</v>
      </c>
    </row>
    <row r="402" spans="1:10">
      <c r="A402" s="66" t="s">
        <v>1771</v>
      </c>
      <c r="B402" s="66" t="s">
        <v>1772</v>
      </c>
      <c r="C402" s="68">
        <v>0</v>
      </c>
      <c r="D402" s="68">
        <v>0</v>
      </c>
      <c r="E402" s="68">
        <v>0</v>
      </c>
      <c r="F402" s="68">
        <v>0</v>
      </c>
      <c r="G402" s="68">
        <v>590.40000000000009</v>
      </c>
      <c r="H402" s="68">
        <v>590.40000000000009</v>
      </c>
      <c r="I402" s="68">
        <v>0</v>
      </c>
      <c r="J402" s="68">
        <v>0</v>
      </c>
    </row>
    <row r="403" spans="1:10">
      <c r="A403" s="66" t="s">
        <v>1773</v>
      </c>
      <c r="B403" s="66" t="s">
        <v>1774</v>
      </c>
      <c r="C403" s="68">
        <v>0</v>
      </c>
      <c r="D403" s="68">
        <v>0</v>
      </c>
      <c r="E403" s="68">
        <v>0</v>
      </c>
      <c r="F403" s="68">
        <v>0</v>
      </c>
      <c r="G403" s="68">
        <v>3000</v>
      </c>
      <c r="H403" s="68">
        <v>3000</v>
      </c>
      <c r="I403" s="68">
        <v>0</v>
      </c>
      <c r="J403" s="68">
        <v>0</v>
      </c>
    </row>
    <row r="404" spans="1:10">
      <c r="A404" s="66" t="s">
        <v>1775</v>
      </c>
      <c r="B404" s="66" t="s">
        <v>1776</v>
      </c>
      <c r="C404" s="68">
        <v>0</v>
      </c>
      <c r="D404" s="68">
        <v>58123.65</v>
      </c>
      <c r="E404" s="68">
        <v>0</v>
      </c>
      <c r="F404" s="68">
        <v>0</v>
      </c>
      <c r="G404" s="68">
        <v>101353.23000000001</v>
      </c>
      <c r="H404" s="68">
        <v>101353.23000000001</v>
      </c>
      <c r="I404" s="68">
        <v>0</v>
      </c>
      <c r="J404" s="68">
        <v>0</v>
      </c>
    </row>
    <row r="405" spans="1:10">
      <c r="A405" s="66" t="s">
        <v>1777</v>
      </c>
      <c r="B405" s="66" t="s">
        <v>1778</v>
      </c>
      <c r="C405" s="68">
        <v>0</v>
      </c>
      <c r="D405" s="68">
        <v>0</v>
      </c>
      <c r="E405" s="68">
        <v>0</v>
      </c>
      <c r="F405" s="68">
        <v>0</v>
      </c>
      <c r="G405" s="68">
        <v>1845</v>
      </c>
      <c r="H405" s="68">
        <v>1845</v>
      </c>
      <c r="I405" s="68">
        <v>0</v>
      </c>
      <c r="J405" s="68">
        <v>0</v>
      </c>
    </row>
    <row r="406" spans="1:10">
      <c r="A406" s="66" t="s">
        <v>1779</v>
      </c>
      <c r="B406" s="66" t="s">
        <v>1780</v>
      </c>
      <c r="C406" s="68">
        <v>0</v>
      </c>
      <c r="D406" s="68">
        <v>5710.89</v>
      </c>
      <c r="E406" s="68">
        <v>2447.6999999999998</v>
      </c>
      <c r="F406" s="68">
        <v>2447.6999999999998</v>
      </c>
      <c r="G406" s="68">
        <v>8158.59</v>
      </c>
      <c r="H406" s="68">
        <v>8158.59</v>
      </c>
      <c r="I406" s="68">
        <v>0</v>
      </c>
      <c r="J406" s="68">
        <v>0</v>
      </c>
    </row>
    <row r="407" spans="1:10">
      <c r="A407" s="66" t="s">
        <v>1781</v>
      </c>
      <c r="B407" s="66" t="s">
        <v>1782</v>
      </c>
      <c r="C407" s="68">
        <v>0</v>
      </c>
      <c r="D407" s="68">
        <v>0</v>
      </c>
      <c r="E407" s="68">
        <v>0</v>
      </c>
      <c r="F407" s="68">
        <v>0</v>
      </c>
      <c r="G407" s="68">
        <v>13989.24</v>
      </c>
      <c r="H407" s="68">
        <v>13989.24</v>
      </c>
      <c r="I407" s="68">
        <v>0</v>
      </c>
      <c r="J407" s="68">
        <v>0</v>
      </c>
    </row>
    <row r="408" spans="1:10">
      <c r="A408" s="66" t="s">
        <v>1783</v>
      </c>
      <c r="B408" s="66" t="s">
        <v>1784</v>
      </c>
      <c r="C408" s="68">
        <v>196.8</v>
      </c>
      <c r="D408" s="68">
        <v>0</v>
      </c>
      <c r="E408" s="68">
        <v>0</v>
      </c>
      <c r="F408" s="68">
        <v>0</v>
      </c>
      <c r="G408" s="68">
        <v>196.8</v>
      </c>
      <c r="H408" s="68">
        <v>196.8</v>
      </c>
      <c r="I408" s="68">
        <v>0</v>
      </c>
      <c r="J408" s="68">
        <v>0</v>
      </c>
    </row>
    <row r="409" spans="1:10">
      <c r="A409" s="66" t="s">
        <v>1785</v>
      </c>
      <c r="B409" s="66" t="s">
        <v>1786</v>
      </c>
      <c r="C409" s="68">
        <v>0</v>
      </c>
      <c r="D409" s="68">
        <v>25780.799999999999</v>
      </c>
      <c r="E409" s="68">
        <v>0</v>
      </c>
      <c r="F409" s="68">
        <v>0</v>
      </c>
      <c r="G409" s="68">
        <v>217402.5</v>
      </c>
      <c r="H409" s="68">
        <v>217402.5</v>
      </c>
      <c r="I409" s="68">
        <v>0</v>
      </c>
      <c r="J409" s="68">
        <v>0</v>
      </c>
    </row>
    <row r="410" spans="1:10">
      <c r="A410" s="66" t="s">
        <v>1787</v>
      </c>
      <c r="B410" s="66" t="s">
        <v>1788</v>
      </c>
      <c r="C410" s="68">
        <v>0</v>
      </c>
      <c r="D410" s="68">
        <v>0</v>
      </c>
      <c r="E410" s="68">
        <v>1559.369999999999</v>
      </c>
      <c r="F410" s="68">
        <v>0</v>
      </c>
      <c r="G410" s="68">
        <v>14022.71</v>
      </c>
      <c r="H410" s="68">
        <v>14022.71</v>
      </c>
      <c r="I410" s="68">
        <v>0</v>
      </c>
      <c r="J410" s="68">
        <v>0</v>
      </c>
    </row>
    <row r="411" spans="1:10">
      <c r="A411" s="66" t="s">
        <v>1789</v>
      </c>
      <c r="B411" s="66" t="s">
        <v>1790</v>
      </c>
      <c r="C411" s="68">
        <v>0</v>
      </c>
      <c r="D411" s="68">
        <v>9428.9</v>
      </c>
      <c r="E411" s="68">
        <v>0</v>
      </c>
      <c r="F411" s="68">
        <v>0</v>
      </c>
      <c r="G411" s="68">
        <v>15515.089999999997</v>
      </c>
      <c r="H411" s="68">
        <v>15515.089999999997</v>
      </c>
      <c r="I411" s="68">
        <v>0</v>
      </c>
      <c r="J411" s="68">
        <v>0</v>
      </c>
    </row>
    <row r="412" spans="1:10">
      <c r="A412" s="66" t="s">
        <v>1791</v>
      </c>
      <c r="B412" s="66" t="s">
        <v>1792</v>
      </c>
      <c r="C412" s="68">
        <v>0</v>
      </c>
      <c r="D412" s="68">
        <v>9840</v>
      </c>
      <c r="E412" s="68">
        <v>6150</v>
      </c>
      <c r="F412" s="68">
        <v>6150</v>
      </c>
      <c r="G412" s="68">
        <v>77490</v>
      </c>
      <c r="H412" s="68">
        <v>83640</v>
      </c>
      <c r="I412" s="68">
        <v>0</v>
      </c>
      <c r="J412" s="68">
        <v>6150</v>
      </c>
    </row>
    <row r="413" spans="1:10">
      <c r="A413" s="66" t="s">
        <v>1793</v>
      </c>
      <c r="B413" s="66" t="s">
        <v>1794</v>
      </c>
      <c r="C413" s="68">
        <v>0</v>
      </c>
      <c r="D413" s="68">
        <v>0</v>
      </c>
      <c r="E413" s="68">
        <v>0</v>
      </c>
      <c r="F413" s="68">
        <v>24600</v>
      </c>
      <c r="G413" s="68">
        <v>0</v>
      </c>
      <c r="H413" s="68">
        <v>24600</v>
      </c>
      <c r="I413" s="68">
        <v>0</v>
      </c>
      <c r="J413" s="68">
        <v>24600</v>
      </c>
    </row>
    <row r="414" spans="1:10">
      <c r="A414" s="66" t="s">
        <v>1795</v>
      </c>
      <c r="B414" s="66" t="s">
        <v>1796</v>
      </c>
      <c r="C414" s="68">
        <v>0</v>
      </c>
      <c r="D414" s="68">
        <v>6150</v>
      </c>
      <c r="E414" s="68">
        <v>0</v>
      </c>
      <c r="F414" s="68">
        <v>0</v>
      </c>
      <c r="G414" s="68">
        <v>42843.479999999996</v>
      </c>
      <c r="H414" s="68">
        <v>42843.479999999996</v>
      </c>
      <c r="I414" s="68">
        <v>0</v>
      </c>
      <c r="J414" s="68">
        <v>0</v>
      </c>
    </row>
    <row r="415" spans="1:10">
      <c r="A415" s="66" t="s">
        <v>1797</v>
      </c>
      <c r="B415" s="66" t="s">
        <v>1798</v>
      </c>
      <c r="C415" s="68">
        <v>0</v>
      </c>
      <c r="D415" s="68">
        <v>0</v>
      </c>
      <c r="E415" s="68">
        <v>0</v>
      </c>
      <c r="F415" s="68">
        <v>0</v>
      </c>
      <c r="G415" s="68">
        <v>7539.9</v>
      </c>
      <c r="H415" s="68">
        <v>7539.9</v>
      </c>
      <c r="I415" s="68">
        <v>0</v>
      </c>
      <c r="J415" s="68">
        <v>0</v>
      </c>
    </row>
    <row r="416" spans="1:10">
      <c r="A416" s="66" t="s">
        <v>1799</v>
      </c>
      <c r="B416" s="66" t="s">
        <v>1800</v>
      </c>
      <c r="C416" s="68">
        <v>0</v>
      </c>
      <c r="D416" s="68">
        <v>0</v>
      </c>
      <c r="E416" s="68">
        <v>0</v>
      </c>
      <c r="F416" s="68">
        <v>0</v>
      </c>
      <c r="G416" s="68">
        <v>4768.8999999999996</v>
      </c>
      <c r="H416" s="68">
        <v>4768.8999999999996</v>
      </c>
      <c r="I416" s="68">
        <v>0</v>
      </c>
      <c r="J416" s="68">
        <v>0</v>
      </c>
    </row>
    <row r="417" spans="1:10">
      <c r="A417" s="66" t="s">
        <v>1801</v>
      </c>
      <c r="B417" s="66" t="s">
        <v>1802</v>
      </c>
      <c r="C417" s="68">
        <v>0</v>
      </c>
      <c r="D417" s="68">
        <v>0</v>
      </c>
      <c r="E417" s="68">
        <v>0</v>
      </c>
      <c r="F417" s="68">
        <v>429.27</v>
      </c>
      <c r="G417" s="68">
        <v>0</v>
      </c>
      <c r="H417" s="68">
        <v>429.27</v>
      </c>
      <c r="I417" s="68">
        <v>0</v>
      </c>
      <c r="J417" s="68">
        <v>429.27</v>
      </c>
    </row>
    <row r="418" spans="1:10">
      <c r="A418" s="66" t="s">
        <v>1803</v>
      </c>
      <c r="B418" s="66" t="s">
        <v>1804</v>
      </c>
      <c r="C418" s="68">
        <v>0</v>
      </c>
      <c r="D418" s="68">
        <v>0</v>
      </c>
      <c r="E418" s="68">
        <v>0</v>
      </c>
      <c r="F418" s="68">
        <v>0</v>
      </c>
      <c r="G418" s="68">
        <v>5387.4</v>
      </c>
      <c r="H418" s="68">
        <v>5387.4</v>
      </c>
      <c r="I418" s="68">
        <v>0</v>
      </c>
      <c r="J418" s="68">
        <v>0</v>
      </c>
    </row>
    <row r="419" spans="1:10">
      <c r="A419" s="66" t="s">
        <v>1805</v>
      </c>
      <c r="B419" s="66" t="s">
        <v>1806</v>
      </c>
      <c r="C419" s="68">
        <v>0</v>
      </c>
      <c r="D419" s="68">
        <v>0</v>
      </c>
      <c r="E419" s="68">
        <v>0</v>
      </c>
      <c r="F419" s="68">
        <v>0</v>
      </c>
      <c r="G419" s="68">
        <v>315.82</v>
      </c>
      <c r="H419" s="68">
        <v>315.82</v>
      </c>
      <c r="I419" s="68">
        <v>0</v>
      </c>
      <c r="J419" s="68">
        <v>0</v>
      </c>
    </row>
    <row r="420" spans="1:10">
      <c r="A420" s="66" t="s">
        <v>1807</v>
      </c>
      <c r="B420" s="66" t="s">
        <v>1808</v>
      </c>
      <c r="C420" s="68">
        <v>0</v>
      </c>
      <c r="D420" s="68">
        <v>0</v>
      </c>
      <c r="E420" s="68">
        <v>0</v>
      </c>
      <c r="F420" s="68">
        <v>0</v>
      </c>
      <c r="G420" s="68">
        <v>29939.1</v>
      </c>
      <c r="H420" s="68">
        <v>29939.1</v>
      </c>
      <c r="I420" s="68">
        <v>0</v>
      </c>
      <c r="J420" s="68">
        <v>0</v>
      </c>
    </row>
    <row r="421" spans="1:10">
      <c r="A421" s="66" t="s">
        <v>1809</v>
      </c>
      <c r="B421" s="66" t="s">
        <v>1810</v>
      </c>
      <c r="C421" s="68">
        <v>0</v>
      </c>
      <c r="D421" s="68">
        <v>0</v>
      </c>
      <c r="E421" s="68">
        <v>0</v>
      </c>
      <c r="F421" s="68">
        <v>0</v>
      </c>
      <c r="G421" s="68">
        <v>123</v>
      </c>
      <c r="H421" s="68">
        <v>123</v>
      </c>
      <c r="I421" s="68">
        <v>0</v>
      </c>
      <c r="J421" s="68">
        <v>0</v>
      </c>
    </row>
    <row r="422" spans="1:10">
      <c r="A422" s="66" t="s">
        <v>1811</v>
      </c>
      <c r="B422" s="66" t="s">
        <v>1812</v>
      </c>
      <c r="C422" s="68">
        <v>0</v>
      </c>
      <c r="D422" s="68">
        <v>4430.46</v>
      </c>
      <c r="E422" s="68">
        <v>0</v>
      </c>
      <c r="F422" s="68">
        <v>5865.06</v>
      </c>
      <c r="G422" s="68">
        <v>4445.97</v>
      </c>
      <c r="H422" s="68">
        <v>10311.030000000001</v>
      </c>
      <c r="I422" s="68">
        <v>0</v>
      </c>
      <c r="J422" s="68">
        <v>5865.06</v>
      </c>
    </row>
    <row r="423" spans="1:10">
      <c r="A423" s="66" t="s">
        <v>1813</v>
      </c>
      <c r="B423" s="66" t="s">
        <v>1814</v>
      </c>
      <c r="C423" s="68">
        <v>0</v>
      </c>
      <c r="D423" s="68">
        <v>0</v>
      </c>
      <c r="E423" s="68">
        <v>0</v>
      </c>
      <c r="F423" s="68">
        <v>0</v>
      </c>
      <c r="G423" s="68">
        <v>2000</v>
      </c>
      <c r="H423" s="68">
        <v>2000</v>
      </c>
      <c r="I423" s="68">
        <v>0</v>
      </c>
      <c r="J423" s="68">
        <v>0</v>
      </c>
    </row>
    <row r="424" spans="1:10">
      <c r="A424" s="66" t="s">
        <v>1815</v>
      </c>
      <c r="B424" s="66" t="s">
        <v>1816</v>
      </c>
      <c r="C424" s="68">
        <v>0</v>
      </c>
      <c r="D424" s="68">
        <v>0</v>
      </c>
      <c r="E424" s="68">
        <v>0</v>
      </c>
      <c r="F424" s="68">
        <v>0</v>
      </c>
      <c r="G424" s="68">
        <v>15894.15</v>
      </c>
      <c r="H424" s="68">
        <v>15894.15</v>
      </c>
      <c r="I424" s="68">
        <v>0</v>
      </c>
      <c r="J424" s="68">
        <v>0</v>
      </c>
    </row>
    <row r="425" spans="1:10">
      <c r="A425" s="66" t="s">
        <v>1817</v>
      </c>
      <c r="B425" s="66" t="s">
        <v>1818</v>
      </c>
      <c r="C425" s="68">
        <v>0</v>
      </c>
      <c r="D425" s="68">
        <v>40098</v>
      </c>
      <c r="E425" s="68">
        <v>13213.279999999999</v>
      </c>
      <c r="F425" s="68">
        <v>8716.0899999999965</v>
      </c>
      <c r="G425" s="68">
        <v>185012.66999999998</v>
      </c>
      <c r="H425" s="68">
        <v>185012.67</v>
      </c>
      <c r="I425" s="68">
        <v>0</v>
      </c>
      <c r="J425" s="68">
        <v>2.9103830456733704E-11</v>
      </c>
    </row>
    <row r="426" spans="1:10">
      <c r="A426" s="66" t="s">
        <v>1819</v>
      </c>
      <c r="B426" s="66" t="s">
        <v>1820</v>
      </c>
      <c r="C426" s="68">
        <v>0</v>
      </c>
      <c r="D426" s="68">
        <v>0</v>
      </c>
      <c r="E426" s="68">
        <v>0</v>
      </c>
      <c r="F426" s="68">
        <v>0</v>
      </c>
      <c r="G426" s="68">
        <v>1180.8</v>
      </c>
      <c r="H426" s="68">
        <v>1180.8</v>
      </c>
      <c r="I426" s="68">
        <v>0</v>
      </c>
      <c r="J426" s="68">
        <v>0</v>
      </c>
    </row>
    <row r="427" spans="1:10">
      <c r="A427" s="66" t="s">
        <v>1821</v>
      </c>
      <c r="B427" s="66" t="s">
        <v>1822</v>
      </c>
      <c r="C427" s="68">
        <v>0</v>
      </c>
      <c r="D427" s="68">
        <v>0</v>
      </c>
      <c r="E427" s="68">
        <v>0</v>
      </c>
      <c r="F427" s="68">
        <v>0</v>
      </c>
      <c r="G427" s="68">
        <v>45203.400000000009</v>
      </c>
      <c r="H427" s="68">
        <v>45203.400000000009</v>
      </c>
      <c r="I427" s="68">
        <v>0</v>
      </c>
      <c r="J427" s="68">
        <v>0</v>
      </c>
    </row>
    <row r="428" spans="1:10">
      <c r="A428" s="66" t="s">
        <v>1823</v>
      </c>
      <c r="B428" s="66" t="s">
        <v>1824</v>
      </c>
      <c r="C428" s="68">
        <v>0</v>
      </c>
      <c r="D428" s="68">
        <v>0</v>
      </c>
      <c r="E428" s="68">
        <v>0</v>
      </c>
      <c r="F428" s="68">
        <v>0</v>
      </c>
      <c r="G428" s="68">
        <v>129.15</v>
      </c>
      <c r="H428" s="68">
        <v>129.15</v>
      </c>
      <c r="I428" s="68">
        <v>0</v>
      </c>
      <c r="J428" s="68">
        <v>0</v>
      </c>
    </row>
    <row r="429" spans="1:10">
      <c r="A429" s="66" t="s">
        <v>1825</v>
      </c>
      <c r="B429" s="66" t="s">
        <v>1826</v>
      </c>
      <c r="C429" s="68">
        <v>0</v>
      </c>
      <c r="D429" s="68">
        <v>14637</v>
      </c>
      <c r="E429" s="68">
        <v>12177.000000000007</v>
      </c>
      <c r="F429" s="68">
        <v>0</v>
      </c>
      <c r="G429" s="68">
        <v>71289.170000000013</v>
      </c>
      <c r="H429" s="68">
        <v>71289.170000000013</v>
      </c>
      <c r="I429" s="68">
        <v>0</v>
      </c>
      <c r="J429" s="68">
        <v>0</v>
      </c>
    </row>
    <row r="430" spans="1:10">
      <c r="A430" s="66" t="s">
        <v>1827</v>
      </c>
      <c r="B430" s="66" t="s">
        <v>1828</v>
      </c>
      <c r="C430" s="68">
        <v>0</v>
      </c>
      <c r="D430" s="68">
        <v>123</v>
      </c>
      <c r="E430" s="68">
        <v>0</v>
      </c>
      <c r="F430" s="68">
        <v>0</v>
      </c>
      <c r="G430" s="68">
        <v>307.5</v>
      </c>
      <c r="H430" s="68">
        <v>307.5</v>
      </c>
      <c r="I430" s="68">
        <v>0</v>
      </c>
      <c r="J430" s="68">
        <v>0</v>
      </c>
    </row>
    <row r="431" spans="1:10">
      <c r="A431" s="66" t="s">
        <v>1829</v>
      </c>
      <c r="B431" s="66" t="s">
        <v>1830</v>
      </c>
      <c r="C431" s="68">
        <v>0</v>
      </c>
      <c r="D431" s="68">
        <v>0</v>
      </c>
      <c r="E431" s="68">
        <v>160.5</v>
      </c>
      <c r="F431" s="68">
        <v>0</v>
      </c>
      <c r="G431" s="68">
        <v>4500.55</v>
      </c>
      <c r="H431" s="68">
        <v>4500.55</v>
      </c>
      <c r="I431" s="68">
        <v>0</v>
      </c>
      <c r="J431" s="68">
        <v>0</v>
      </c>
    </row>
    <row r="432" spans="1:10">
      <c r="A432" s="66" t="s">
        <v>1831</v>
      </c>
      <c r="B432" s="66" t="s">
        <v>1832</v>
      </c>
      <c r="C432" s="68">
        <v>0</v>
      </c>
      <c r="D432" s="68">
        <v>1082.4000000000001</v>
      </c>
      <c r="E432" s="68">
        <v>0</v>
      </c>
      <c r="F432" s="68">
        <v>0</v>
      </c>
      <c r="G432" s="68">
        <v>4501.8</v>
      </c>
      <c r="H432" s="68">
        <v>4501.8</v>
      </c>
      <c r="I432" s="68">
        <v>0</v>
      </c>
      <c r="J432" s="68">
        <v>0</v>
      </c>
    </row>
    <row r="433" spans="1:10">
      <c r="A433" s="66" t="s">
        <v>1833</v>
      </c>
      <c r="B433" s="66" t="s">
        <v>1834</v>
      </c>
      <c r="C433" s="68">
        <v>0</v>
      </c>
      <c r="D433" s="68">
        <v>53952.6</v>
      </c>
      <c r="E433" s="68">
        <v>23307.86</v>
      </c>
      <c r="F433" s="68">
        <v>23307.86</v>
      </c>
      <c r="G433" s="68">
        <v>91669.569999999992</v>
      </c>
      <c r="H433" s="68">
        <v>91669.569999999992</v>
      </c>
      <c r="I433" s="68">
        <v>0</v>
      </c>
      <c r="J433" s="68">
        <v>0</v>
      </c>
    </row>
    <row r="434" spans="1:10">
      <c r="A434" s="66" t="s">
        <v>1835</v>
      </c>
      <c r="B434" s="66" t="s">
        <v>1836</v>
      </c>
      <c r="C434" s="68">
        <v>0</v>
      </c>
      <c r="D434" s="68">
        <v>0</v>
      </c>
      <c r="E434" s="68">
        <v>0</v>
      </c>
      <c r="F434" s="68">
        <v>0</v>
      </c>
      <c r="G434" s="68">
        <v>8158.33</v>
      </c>
      <c r="H434" s="68">
        <v>8158.33</v>
      </c>
      <c r="I434" s="68">
        <v>0</v>
      </c>
      <c r="J434" s="68">
        <v>0</v>
      </c>
    </row>
    <row r="435" spans="1:10">
      <c r="A435" s="66" t="s">
        <v>1837</v>
      </c>
      <c r="B435" s="66" t="s">
        <v>1838</v>
      </c>
      <c r="C435" s="68">
        <v>0</v>
      </c>
      <c r="D435" s="68">
        <v>1230</v>
      </c>
      <c r="E435" s="68">
        <v>0</v>
      </c>
      <c r="F435" s="68">
        <v>0</v>
      </c>
      <c r="G435" s="68">
        <v>5547.3</v>
      </c>
      <c r="H435" s="68">
        <v>5547.3</v>
      </c>
      <c r="I435" s="68">
        <v>0</v>
      </c>
      <c r="J435" s="68">
        <v>0</v>
      </c>
    </row>
    <row r="436" spans="1:10">
      <c r="A436" s="66" t="s">
        <v>1839</v>
      </c>
      <c r="B436" s="66" t="s">
        <v>1840</v>
      </c>
      <c r="C436" s="68">
        <v>0</v>
      </c>
      <c r="D436" s="68">
        <v>3690</v>
      </c>
      <c r="E436" s="68">
        <v>3690</v>
      </c>
      <c r="F436" s="68">
        <v>4612.5</v>
      </c>
      <c r="G436" s="68">
        <v>44280</v>
      </c>
      <c r="H436" s="68">
        <v>48892.5</v>
      </c>
      <c r="I436" s="68">
        <v>0</v>
      </c>
      <c r="J436" s="68">
        <v>4612.5</v>
      </c>
    </row>
    <row r="437" spans="1:10">
      <c r="A437" s="66" t="s">
        <v>1841</v>
      </c>
      <c r="B437" s="66" t="s">
        <v>1842</v>
      </c>
      <c r="C437" s="68">
        <v>0</v>
      </c>
      <c r="D437" s="68">
        <v>0</v>
      </c>
      <c r="E437" s="68">
        <v>0</v>
      </c>
      <c r="F437" s="68">
        <v>0</v>
      </c>
      <c r="G437" s="68">
        <v>8856</v>
      </c>
      <c r="H437" s="68">
        <v>8856</v>
      </c>
      <c r="I437" s="68">
        <v>0</v>
      </c>
      <c r="J437" s="68">
        <v>0</v>
      </c>
    </row>
    <row r="438" spans="1:10">
      <c r="A438" s="66" t="s">
        <v>1843</v>
      </c>
      <c r="B438" s="66" t="s">
        <v>1844</v>
      </c>
      <c r="C438" s="68">
        <v>123</v>
      </c>
      <c r="D438" s="68">
        <v>0</v>
      </c>
      <c r="E438" s="68">
        <v>1965.5400000000009</v>
      </c>
      <c r="F438" s="68">
        <v>1965.5400000000009</v>
      </c>
      <c r="G438" s="68">
        <v>27128.580000000009</v>
      </c>
      <c r="H438" s="68">
        <v>27128.580000000009</v>
      </c>
      <c r="I438" s="68">
        <v>0</v>
      </c>
      <c r="J438" s="68">
        <v>0</v>
      </c>
    </row>
    <row r="439" spans="1:10">
      <c r="A439" s="66" t="s">
        <v>1845</v>
      </c>
      <c r="B439" s="66" t="s">
        <v>1846</v>
      </c>
      <c r="C439" s="68">
        <v>0</v>
      </c>
      <c r="D439" s="68">
        <v>836.4</v>
      </c>
      <c r="E439" s="68">
        <v>1672.7999999999993</v>
      </c>
      <c r="F439" s="68">
        <v>836.39999999999964</v>
      </c>
      <c r="G439" s="68">
        <v>11106.899999999998</v>
      </c>
      <c r="H439" s="68">
        <v>11943.299999999997</v>
      </c>
      <c r="I439" s="68">
        <v>0</v>
      </c>
      <c r="J439" s="68">
        <v>836.39999999999964</v>
      </c>
    </row>
    <row r="440" spans="1:10">
      <c r="A440" s="66" t="s">
        <v>1847</v>
      </c>
      <c r="B440" s="66" t="s">
        <v>1848</v>
      </c>
      <c r="C440" s="68">
        <v>0</v>
      </c>
      <c r="D440" s="68">
        <v>0</v>
      </c>
      <c r="E440" s="68">
        <v>3548.8600000000006</v>
      </c>
      <c r="F440" s="68">
        <v>3548.8600000000006</v>
      </c>
      <c r="G440" s="68">
        <v>113773.9</v>
      </c>
      <c r="H440" s="68">
        <v>113773.9</v>
      </c>
      <c r="I440" s="68">
        <v>0</v>
      </c>
      <c r="J440" s="68">
        <v>0</v>
      </c>
    </row>
    <row r="441" spans="1:10">
      <c r="A441" s="66" t="s">
        <v>1849</v>
      </c>
      <c r="B441" s="66" t="s">
        <v>1850</v>
      </c>
      <c r="C441" s="68">
        <v>0</v>
      </c>
      <c r="D441" s="68">
        <v>0</v>
      </c>
      <c r="E441" s="68">
        <v>0</v>
      </c>
      <c r="F441" s="68">
        <v>44.840000000000146</v>
      </c>
      <c r="G441" s="68">
        <v>5606.33</v>
      </c>
      <c r="H441" s="68">
        <v>5606.33</v>
      </c>
      <c r="I441" s="68">
        <v>0</v>
      </c>
      <c r="J441" s="68">
        <v>0</v>
      </c>
    </row>
    <row r="442" spans="1:10">
      <c r="A442" s="66" t="s">
        <v>1851</v>
      </c>
      <c r="B442" s="66" t="s">
        <v>1852</v>
      </c>
      <c r="C442" s="68">
        <v>0</v>
      </c>
      <c r="D442" s="68">
        <v>836.4</v>
      </c>
      <c r="E442" s="68">
        <v>10910.809999999998</v>
      </c>
      <c r="F442" s="68">
        <v>15833.619999999995</v>
      </c>
      <c r="G442" s="68">
        <v>211839.77000000002</v>
      </c>
      <c r="H442" s="68">
        <v>221057.43999999997</v>
      </c>
      <c r="I442" s="68">
        <v>0</v>
      </c>
      <c r="J442" s="68">
        <v>9217.6699999999546</v>
      </c>
    </row>
    <row r="443" spans="1:10">
      <c r="A443" s="66" t="s">
        <v>1853</v>
      </c>
      <c r="B443" s="66" t="s">
        <v>1854</v>
      </c>
      <c r="C443" s="68">
        <v>0</v>
      </c>
      <c r="D443" s="68">
        <v>0</v>
      </c>
      <c r="E443" s="68">
        <v>0</v>
      </c>
      <c r="F443" s="68">
        <v>0</v>
      </c>
      <c r="G443" s="68">
        <v>1495.68</v>
      </c>
      <c r="H443" s="68">
        <v>1495.68</v>
      </c>
      <c r="I443" s="68">
        <v>0</v>
      </c>
      <c r="J443" s="68">
        <v>0</v>
      </c>
    </row>
    <row r="444" spans="1:10">
      <c r="A444" s="66" t="s">
        <v>1855</v>
      </c>
      <c r="B444" s="66" t="s">
        <v>1856</v>
      </c>
      <c r="C444" s="68">
        <v>0</v>
      </c>
      <c r="D444" s="68">
        <v>11808</v>
      </c>
      <c r="E444" s="68">
        <v>12300</v>
      </c>
      <c r="F444" s="68">
        <v>18450</v>
      </c>
      <c r="G444" s="68">
        <v>147846</v>
      </c>
      <c r="H444" s="68">
        <v>166296</v>
      </c>
      <c r="I444" s="68">
        <v>0</v>
      </c>
      <c r="J444" s="68">
        <v>18450</v>
      </c>
    </row>
    <row r="445" spans="1:10">
      <c r="A445" s="66" t="s">
        <v>1857</v>
      </c>
      <c r="B445" s="66" t="s">
        <v>1858</v>
      </c>
      <c r="C445" s="68">
        <v>0</v>
      </c>
      <c r="D445" s="68">
        <v>0</v>
      </c>
      <c r="E445" s="68">
        <v>0</v>
      </c>
      <c r="F445" s="68">
        <v>0</v>
      </c>
      <c r="G445" s="68">
        <v>36531</v>
      </c>
      <c r="H445" s="68">
        <v>36531</v>
      </c>
      <c r="I445" s="68">
        <v>0</v>
      </c>
      <c r="J445" s="68">
        <v>0</v>
      </c>
    </row>
    <row r="446" spans="1:10">
      <c r="A446" s="66" t="s">
        <v>1859</v>
      </c>
      <c r="B446" s="66" t="s">
        <v>1860</v>
      </c>
      <c r="C446" s="68">
        <v>0</v>
      </c>
      <c r="D446" s="68">
        <v>0</v>
      </c>
      <c r="E446" s="68">
        <v>0</v>
      </c>
      <c r="F446" s="68">
        <v>0</v>
      </c>
      <c r="G446" s="68">
        <v>17453.7</v>
      </c>
      <c r="H446" s="68">
        <v>17453.7</v>
      </c>
      <c r="I446" s="68">
        <v>0</v>
      </c>
      <c r="J446" s="68">
        <v>0</v>
      </c>
    </row>
    <row r="447" spans="1:10">
      <c r="A447" s="66" t="s">
        <v>1861</v>
      </c>
      <c r="B447" s="66" t="s">
        <v>1862</v>
      </c>
      <c r="C447" s="68">
        <v>0</v>
      </c>
      <c r="D447" s="68">
        <v>0</v>
      </c>
      <c r="E447" s="68">
        <v>432761.62000000011</v>
      </c>
      <c r="F447" s="68">
        <v>370719.1799999997</v>
      </c>
      <c r="G447" s="68">
        <v>5366132.09</v>
      </c>
      <c r="H447" s="68">
        <v>5736851.2699999986</v>
      </c>
      <c r="I447" s="68">
        <v>0</v>
      </c>
      <c r="J447" s="68">
        <v>370719.17999999877</v>
      </c>
    </row>
    <row r="448" spans="1:10">
      <c r="A448" s="66" t="s">
        <v>1863</v>
      </c>
      <c r="B448" s="66" t="s">
        <v>1864</v>
      </c>
      <c r="C448" s="68">
        <v>0</v>
      </c>
      <c r="D448" s="68">
        <v>10472.219999999999</v>
      </c>
      <c r="E448" s="68">
        <v>922.5</v>
      </c>
      <c r="F448" s="68">
        <v>0</v>
      </c>
      <c r="G448" s="68">
        <v>26301.09</v>
      </c>
      <c r="H448" s="68">
        <v>26301.09</v>
      </c>
      <c r="I448" s="68">
        <v>0</v>
      </c>
      <c r="J448" s="68">
        <v>0</v>
      </c>
    </row>
    <row r="449" spans="1:10">
      <c r="A449" s="66" t="s">
        <v>1865</v>
      </c>
      <c r="B449" s="66" t="s">
        <v>1866</v>
      </c>
      <c r="C449" s="68">
        <v>0</v>
      </c>
      <c r="D449" s="68">
        <v>0</v>
      </c>
      <c r="E449" s="68">
        <v>0</v>
      </c>
      <c r="F449" s="68">
        <v>0</v>
      </c>
      <c r="G449" s="68">
        <v>1230</v>
      </c>
      <c r="H449" s="68">
        <v>1230</v>
      </c>
      <c r="I449" s="68">
        <v>0</v>
      </c>
      <c r="J449" s="68">
        <v>0</v>
      </c>
    </row>
    <row r="450" spans="1:10">
      <c r="A450" s="66" t="s">
        <v>1867</v>
      </c>
      <c r="B450" s="66" t="s">
        <v>1868</v>
      </c>
      <c r="C450" s="68">
        <v>0</v>
      </c>
      <c r="D450" s="68">
        <v>0</v>
      </c>
      <c r="E450" s="68">
        <v>9840</v>
      </c>
      <c r="F450" s="68">
        <v>0</v>
      </c>
      <c r="G450" s="68">
        <v>124845</v>
      </c>
      <c r="H450" s="68">
        <v>124845</v>
      </c>
      <c r="I450" s="68">
        <v>0</v>
      </c>
      <c r="J450" s="68">
        <v>0</v>
      </c>
    </row>
    <row r="451" spans="1:10">
      <c r="A451" s="66" t="s">
        <v>1869</v>
      </c>
      <c r="B451" s="66" t="s">
        <v>1870</v>
      </c>
      <c r="C451" s="68">
        <v>0</v>
      </c>
      <c r="D451" s="68">
        <v>171669.48</v>
      </c>
      <c r="E451" s="68">
        <v>0</v>
      </c>
      <c r="F451" s="68">
        <v>0</v>
      </c>
      <c r="G451" s="68">
        <v>171669.47999999998</v>
      </c>
      <c r="H451" s="68">
        <v>171669.48</v>
      </c>
      <c r="I451" s="68">
        <v>0</v>
      </c>
      <c r="J451" s="68">
        <v>2.9103830456733704E-11</v>
      </c>
    </row>
    <row r="452" spans="1:10">
      <c r="A452" s="66" t="s">
        <v>1871</v>
      </c>
      <c r="B452" s="66" t="s">
        <v>1872</v>
      </c>
      <c r="C452" s="68">
        <v>0</v>
      </c>
      <c r="D452" s="68">
        <v>0</v>
      </c>
      <c r="E452" s="68">
        <v>0</v>
      </c>
      <c r="F452" s="68">
        <v>0</v>
      </c>
      <c r="G452" s="68">
        <v>5500</v>
      </c>
      <c r="H452" s="68">
        <v>5500</v>
      </c>
      <c r="I452" s="68">
        <v>0</v>
      </c>
      <c r="J452" s="68">
        <v>0</v>
      </c>
    </row>
    <row r="453" spans="1:10">
      <c r="A453" s="66" t="s">
        <v>1873</v>
      </c>
      <c r="B453" s="66" t="s">
        <v>1874</v>
      </c>
      <c r="C453" s="68">
        <v>0</v>
      </c>
      <c r="D453" s="68">
        <v>205.9</v>
      </c>
      <c r="E453" s="68">
        <v>12423</v>
      </c>
      <c r="F453" s="68">
        <v>18481</v>
      </c>
      <c r="G453" s="68">
        <v>149404.9</v>
      </c>
      <c r="H453" s="68">
        <v>155462.9</v>
      </c>
      <c r="I453" s="68">
        <v>0</v>
      </c>
      <c r="J453" s="68">
        <v>6058</v>
      </c>
    </row>
    <row r="454" spans="1:10">
      <c r="A454" s="66" t="s">
        <v>1875</v>
      </c>
      <c r="B454" s="66" t="s">
        <v>1876</v>
      </c>
      <c r="C454" s="68">
        <v>0</v>
      </c>
      <c r="D454" s="68">
        <v>1271.82</v>
      </c>
      <c r="E454" s="68">
        <v>0</v>
      </c>
      <c r="F454" s="68">
        <v>0</v>
      </c>
      <c r="G454" s="68">
        <v>2555.94</v>
      </c>
      <c r="H454" s="68">
        <v>2555.94</v>
      </c>
      <c r="I454" s="68">
        <v>0</v>
      </c>
      <c r="J454" s="68">
        <v>0</v>
      </c>
    </row>
    <row r="455" spans="1:10">
      <c r="A455" s="66" t="s">
        <v>1877</v>
      </c>
      <c r="B455" s="66" t="s">
        <v>1878</v>
      </c>
      <c r="C455" s="68">
        <v>0</v>
      </c>
      <c r="D455" s="68">
        <v>0</v>
      </c>
      <c r="E455" s="68">
        <v>0</v>
      </c>
      <c r="F455" s="68">
        <v>0</v>
      </c>
      <c r="G455" s="68">
        <v>3649.9500000000003</v>
      </c>
      <c r="H455" s="68">
        <v>3649.9500000000003</v>
      </c>
      <c r="I455" s="68">
        <v>0</v>
      </c>
      <c r="J455" s="68">
        <v>0</v>
      </c>
    </row>
    <row r="456" spans="1:10">
      <c r="A456" s="66" t="s">
        <v>1879</v>
      </c>
      <c r="B456" s="66" t="s">
        <v>1880</v>
      </c>
      <c r="C456" s="68">
        <v>0</v>
      </c>
      <c r="D456" s="68">
        <v>0</v>
      </c>
      <c r="E456" s="68">
        <v>615</v>
      </c>
      <c r="F456" s="68">
        <v>615</v>
      </c>
      <c r="G456" s="68">
        <v>9348</v>
      </c>
      <c r="H456" s="68">
        <v>9348</v>
      </c>
      <c r="I456" s="68">
        <v>0</v>
      </c>
      <c r="J456" s="68">
        <v>0</v>
      </c>
    </row>
    <row r="457" spans="1:10">
      <c r="A457" s="66" t="s">
        <v>1881</v>
      </c>
      <c r="B457" s="66" t="s">
        <v>1882</v>
      </c>
      <c r="C457" s="68">
        <v>0</v>
      </c>
      <c r="D457" s="68">
        <v>0</v>
      </c>
      <c r="E457" s="68">
        <v>8964</v>
      </c>
      <c r="F457" s="68">
        <v>9234</v>
      </c>
      <c r="G457" s="68">
        <v>41599.65</v>
      </c>
      <c r="H457" s="68">
        <v>50833.65</v>
      </c>
      <c r="I457" s="68">
        <v>0</v>
      </c>
      <c r="J457" s="68">
        <v>9234</v>
      </c>
    </row>
    <row r="458" spans="1:10">
      <c r="A458" s="66" t="s">
        <v>1883</v>
      </c>
      <c r="B458" s="66" t="s">
        <v>1884</v>
      </c>
      <c r="C458" s="68">
        <v>0</v>
      </c>
      <c r="D458" s="68">
        <v>0</v>
      </c>
      <c r="E458" s="68">
        <v>0</v>
      </c>
      <c r="F458" s="68">
        <v>0</v>
      </c>
      <c r="G458" s="68">
        <v>4265.6399999999994</v>
      </c>
      <c r="H458" s="68">
        <v>4265.6399999999994</v>
      </c>
      <c r="I458" s="68">
        <v>0</v>
      </c>
      <c r="J458" s="68">
        <v>0</v>
      </c>
    </row>
    <row r="459" spans="1:10">
      <c r="A459" s="66" t="s">
        <v>1885</v>
      </c>
      <c r="B459" s="66" t="s">
        <v>1886</v>
      </c>
      <c r="C459" s="68">
        <v>0</v>
      </c>
      <c r="D459" s="68">
        <v>6132.17</v>
      </c>
      <c r="E459" s="68">
        <v>22675.100000000006</v>
      </c>
      <c r="F459" s="68">
        <v>12131.25</v>
      </c>
      <c r="G459" s="68">
        <v>189809.59</v>
      </c>
      <c r="H459" s="68">
        <v>189809.59</v>
      </c>
      <c r="I459" s="68">
        <v>0</v>
      </c>
      <c r="J459" s="68">
        <v>0</v>
      </c>
    </row>
    <row r="460" spans="1:10">
      <c r="A460" s="66" t="s">
        <v>1887</v>
      </c>
      <c r="B460" s="66" t="s">
        <v>1888</v>
      </c>
      <c r="C460" s="68">
        <v>0</v>
      </c>
      <c r="D460" s="68">
        <v>809.49</v>
      </c>
      <c r="E460" s="68">
        <v>5636.0499999999956</v>
      </c>
      <c r="F460" s="68">
        <v>3538.489999999998</v>
      </c>
      <c r="G460" s="68">
        <v>38408.899999999994</v>
      </c>
      <c r="H460" s="68">
        <v>37912.089999999997</v>
      </c>
      <c r="I460" s="68">
        <v>496.80999999999767</v>
      </c>
      <c r="J460" s="68">
        <v>0</v>
      </c>
    </row>
    <row r="461" spans="1:10">
      <c r="A461" s="66" t="s">
        <v>1889</v>
      </c>
      <c r="B461" s="66" t="s">
        <v>1890</v>
      </c>
      <c r="C461" s="68">
        <v>0</v>
      </c>
      <c r="D461" s="68">
        <v>0</v>
      </c>
      <c r="E461" s="68">
        <v>0</v>
      </c>
      <c r="F461" s="68">
        <v>0</v>
      </c>
      <c r="G461" s="68">
        <v>62016.6</v>
      </c>
      <c r="H461" s="68">
        <v>62016.6</v>
      </c>
      <c r="I461" s="68">
        <v>0</v>
      </c>
      <c r="J461" s="68">
        <v>0</v>
      </c>
    </row>
    <row r="462" spans="1:10">
      <c r="A462" s="66" t="s">
        <v>1891</v>
      </c>
      <c r="B462" s="66" t="s">
        <v>1892</v>
      </c>
      <c r="C462" s="68">
        <v>0</v>
      </c>
      <c r="D462" s="68">
        <v>0</v>
      </c>
      <c r="E462" s="68">
        <v>0</v>
      </c>
      <c r="F462" s="68">
        <v>9446.3999999999942</v>
      </c>
      <c r="G462" s="68">
        <v>104844.84</v>
      </c>
      <c r="H462" s="68">
        <v>114291.23999999999</v>
      </c>
      <c r="I462" s="68">
        <v>0</v>
      </c>
      <c r="J462" s="68">
        <v>9446.3999999999942</v>
      </c>
    </row>
    <row r="463" spans="1:10">
      <c r="A463" s="66" t="s">
        <v>1893</v>
      </c>
      <c r="B463" s="66" t="s">
        <v>1894</v>
      </c>
      <c r="C463" s="68">
        <v>0</v>
      </c>
      <c r="D463" s="68">
        <v>27165.67</v>
      </c>
      <c r="E463" s="68">
        <v>0</v>
      </c>
      <c r="F463" s="68">
        <v>1315.3899999999994</v>
      </c>
      <c r="G463" s="68">
        <v>113853.68999999999</v>
      </c>
      <c r="H463" s="68">
        <v>113853.68999999999</v>
      </c>
      <c r="I463" s="68">
        <v>0</v>
      </c>
      <c r="J463" s="68">
        <v>0</v>
      </c>
    </row>
    <row r="464" spans="1:10">
      <c r="A464" s="66" t="s">
        <v>1895</v>
      </c>
      <c r="B464" s="66" t="s">
        <v>1896</v>
      </c>
      <c r="C464" s="68">
        <v>0</v>
      </c>
      <c r="D464" s="68">
        <v>0</v>
      </c>
      <c r="E464" s="68">
        <v>8856</v>
      </c>
      <c r="F464" s="68">
        <v>0</v>
      </c>
      <c r="G464" s="68">
        <v>104919</v>
      </c>
      <c r="H464" s="68">
        <v>104919</v>
      </c>
      <c r="I464" s="68">
        <v>0</v>
      </c>
      <c r="J464" s="68">
        <v>0</v>
      </c>
    </row>
    <row r="465" spans="1:10">
      <c r="A465" s="66" t="s">
        <v>1897</v>
      </c>
      <c r="B465" s="66" t="s">
        <v>1898</v>
      </c>
      <c r="C465" s="68">
        <v>0</v>
      </c>
      <c r="D465" s="68">
        <v>6720.08</v>
      </c>
      <c r="E465" s="68">
        <v>0</v>
      </c>
      <c r="F465" s="68">
        <v>0</v>
      </c>
      <c r="G465" s="68">
        <v>72732.399999999994</v>
      </c>
      <c r="H465" s="68">
        <v>72732.400000000009</v>
      </c>
      <c r="I465" s="68">
        <v>0</v>
      </c>
      <c r="J465" s="68">
        <v>1.4551915228366852E-11</v>
      </c>
    </row>
    <row r="466" spans="1:10">
      <c r="A466" s="66" t="s">
        <v>1899</v>
      </c>
      <c r="B466" s="66" t="s">
        <v>1900</v>
      </c>
      <c r="C466" s="68">
        <v>0</v>
      </c>
      <c r="D466" s="68">
        <v>0</v>
      </c>
      <c r="E466" s="68">
        <v>0</v>
      </c>
      <c r="F466" s="68">
        <v>0</v>
      </c>
      <c r="G466" s="68">
        <v>20172</v>
      </c>
      <c r="H466" s="68">
        <v>20172</v>
      </c>
      <c r="I466" s="68">
        <v>0</v>
      </c>
      <c r="J466" s="68">
        <v>0</v>
      </c>
    </row>
    <row r="467" spans="1:10">
      <c r="A467" s="66" t="s">
        <v>1901</v>
      </c>
      <c r="B467" s="66" t="s">
        <v>1902</v>
      </c>
      <c r="C467" s="68">
        <v>0</v>
      </c>
      <c r="D467" s="68">
        <v>12300</v>
      </c>
      <c r="E467" s="68">
        <v>18450</v>
      </c>
      <c r="F467" s="68">
        <v>18450</v>
      </c>
      <c r="G467" s="68">
        <v>217070.4</v>
      </c>
      <c r="H467" s="68">
        <v>235520.4</v>
      </c>
      <c r="I467" s="68">
        <v>0</v>
      </c>
      <c r="J467" s="68">
        <v>18450</v>
      </c>
    </row>
    <row r="468" spans="1:10">
      <c r="A468" s="66" t="s">
        <v>1903</v>
      </c>
      <c r="B468" s="66" t="s">
        <v>1904</v>
      </c>
      <c r="C468" s="68">
        <v>0</v>
      </c>
      <c r="D468" s="68">
        <v>0</v>
      </c>
      <c r="E468" s="68">
        <v>0</v>
      </c>
      <c r="F468" s="68">
        <v>0</v>
      </c>
      <c r="G468" s="68">
        <v>2706</v>
      </c>
      <c r="H468" s="68">
        <v>2706</v>
      </c>
      <c r="I468" s="68">
        <v>0</v>
      </c>
      <c r="J468" s="68">
        <v>0</v>
      </c>
    </row>
    <row r="469" spans="1:10">
      <c r="A469" s="66" t="s">
        <v>1905</v>
      </c>
      <c r="B469" s="66" t="s">
        <v>1906</v>
      </c>
      <c r="C469" s="68">
        <v>0</v>
      </c>
      <c r="D469" s="68">
        <v>0</v>
      </c>
      <c r="E469" s="68">
        <v>3542.3999999999996</v>
      </c>
      <c r="F469" s="68">
        <v>2619.8999999999996</v>
      </c>
      <c r="G469" s="68">
        <v>12386.35</v>
      </c>
      <c r="H469" s="68">
        <v>12386.349999999999</v>
      </c>
      <c r="I469" s="68">
        <v>1.8189894035458565E-12</v>
      </c>
      <c r="J469" s="68">
        <v>0</v>
      </c>
    </row>
    <row r="470" spans="1:10">
      <c r="A470" s="66" t="s">
        <v>1907</v>
      </c>
      <c r="B470" s="66" t="s">
        <v>1908</v>
      </c>
      <c r="C470" s="68">
        <v>0</v>
      </c>
      <c r="D470" s="68">
        <v>0</v>
      </c>
      <c r="E470" s="68">
        <v>0</v>
      </c>
      <c r="F470" s="68">
        <v>0</v>
      </c>
      <c r="G470" s="68">
        <v>4246.1100000000006</v>
      </c>
      <c r="H470" s="68">
        <v>4246.1100000000006</v>
      </c>
      <c r="I470" s="68">
        <v>0</v>
      </c>
      <c r="J470" s="68">
        <v>0</v>
      </c>
    </row>
    <row r="471" spans="1:10">
      <c r="A471" s="66" t="s">
        <v>1909</v>
      </c>
      <c r="B471" s="66" t="s">
        <v>1910</v>
      </c>
      <c r="C471" s="68">
        <v>0</v>
      </c>
      <c r="D471" s="68">
        <v>0</v>
      </c>
      <c r="E471" s="68">
        <v>0</v>
      </c>
      <c r="F471" s="68">
        <v>0</v>
      </c>
      <c r="G471" s="68">
        <v>92.5</v>
      </c>
      <c r="H471" s="68">
        <v>92.5</v>
      </c>
      <c r="I471" s="68">
        <v>0</v>
      </c>
      <c r="J471" s="68">
        <v>0</v>
      </c>
    </row>
    <row r="472" spans="1:10">
      <c r="A472" s="66" t="s">
        <v>1911</v>
      </c>
      <c r="B472" s="66" t="s">
        <v>1912</v>
      </c>
      <c r="C472" s="68">
        <v>0</v>
      </c>
      <c r="D472" s="68">
        <v>0</v>
      </c>
      <c r="E472" s="68">
        <v>212.95000000000005</v>
      </c>
      <c r="F472" s="68">
        <v>0</v>
      </c>
      <c r="G472" s="68">
        <v>2198.96</v>
      </c>
      <c r="H472" s="68">
        <v>2198.96</v>
      </c>
      <c r="I472" s="68">
        <v>0</v>
      </c>
      <c r="J472" s="68">
        <v>0</v>
      </c>
    </row>
    <row r="473" spans="1:10">
      <c r="A473" s="66" t="s">
        <v>1913</v>
      </c>
      <c r="B473" s="66" t="s">
        <v>1914</v>
      </c>
      <c r="C473" s="68">
        <v>0</v>
      </c>
      <c r="D473" s="68">
        <v>0</v>
      </c>
      <c r="E473" s="68">
        <v>0</v>
      </c>
      <c r="F473" s="68">
        <v>0</v>
      </c>
      <c r="G473" s="68">
        <v>502.5</v>
      </c>
      <c r="H473" s="68">
        <v>502.5</v>
      </c>
      <c r="I473" s="68">
        <v>0</v>
      </c>
      <c r="J473" s="68">
        <v>0</v>
      </c>
    </row>
    <row r="474" spans="1:10">
      <c r="A474" s="66" t="s">
        <v>1915</v>
      </c>
      <c r="B474" s="66" t="s">
        <v>1916</v>
      </c>
      <c r="C474" s="68">
        <v>0</v>
      </c>
      <c r="D474" s="68">
        <v>0</v>
      </c>
      <c r="E474" s="68">
        <v>0</v>
      </c>
      <c r="F474" s="68">
        <v>0</v>
      </c>
      <c r="G474" s="68">
        <v>738</v>
      </c>
      <c r="H474" s="68">
        <v>738</v>
      </c>
      <c r="I474" s="68">
        <v>0</v>
      </c>
      <c r="J474" s="68">
        <v>0</v>
      </c>
    </row>
    <row r="475" spans="1:10">
      <c r="A475" s="66" t="s">
        <v>1917</v>
      </c>
      <c r="B475" s="66" t="s">
        <v>1918</v>
      </c>
      <c r="C475" s="68">
        <v>0</v>
      </c>
      <c r="D475" s="68">
        <v>0</v>
      </c>
      <c r="E475" s="68">
        <v>0</v>
      </c>
      <c r="F475" s="68">
        <v>0</v>
      </c>
      <c r="G475" s="68">
        <v>64575</v>
      </c>
      <c r="H475" s="68">
        <v>64575</v>
      </c>
      <c r="I475" s="68">
        <v>0</v>
      </c>
      <c r="J475" s="68">
        <v>0</v>
      </c>
    </row>
    <row r="476" spans="1:10">
      <c r="A476" s="66" t="s">
        <v>1919</v>
      </c>
      <c r="B476" s="66" t="s">
        <v>1920</v>
      </c>
      <c r="C476" s="68">
        <v>0</v>
      </c>
      <c r="D476" s="68">
        <v>0</v>
      </c>
      <c r="E476" s="68">
        <v>0</v>
      </c>
      <c r="F476" s="68">
        <v>0</v>
      </c>
      <c r="G476" s="68">
        <v>1985.22</v>
      </c>
      <c r="H476" s="68">
        <v>1985.22</v>
      </c>
      <c r="I476" s="68">
        <v>0</v>
      </c>
      <c r="J476" s="68">
        <v>0</v>
      </c>
    </row>
    <row r="477" spans="1:10">
      <c r="A477" s="66" t="s">
        <v>1921</v>
      </c>
      <c r="B477" s="66" t="s">
        <v>1922</v>
      </c>
      <c r="C477" s="68">
        <v>0</v>
      </c>
      <c r="D477" s="68">
        <v>0</v>
      </c>
      <c r="E477" s="68">
        <v>0</v>
      </c>
      <c r="F477" s="68">
        <v>0</v>
      </c>
      <c r="G477" s="68">
        <v>36457.199999999997</v>
      </c>
      <c r="H477" s="68">
        <v>36457.199999999997</v>
      </c>
      <c r="I477" s="68">
        <v>0</v>
      </c>
      <c r="J477" s="68">
        <v>0</v>
      </c>
    </row>
    <row r="478" spans="1:10">
      <c r="A478" s="66" t="s">
        <v>1923</v>
      </c>
      <c r="B478" s="66" t="s">
        <v>1924</v>
      </c>
      <c r="C478" s="68">
        <v>0</v>
      </c>
      <c r="D478" s="68">
        <v>32430.02</v>
      </c>
      <c r="E478" s="68">
        <v>249005.21999999997</v>
      </c>
      <c r="F478" s="68">
        <v>305353.91999999993</v>
      </c>
      <c r="G478" s="68">
        <v>1956155.56</v>
      </c>
      <c r="H478" s="68">
        <v>2102358.13</v>
      </c>
      <c r="I478" s="68">
        <v>0</v>
      </c>
      <c r="J478" s="68">
        <v>146202.56999999983</v>
      </c>
    </row>
    <row r="479" spans="1:10">
      <c r="A479" s="66" t="s">
        <v>1925</v>
      </c>
      <c r="B479" s="66" t="s">
        <v>1926</v>
      </c>
      <c r="C479" s="68">
        <v>0</v>
      </c>
      <c r="D479" s="68">
        <v>0</v>
      </c>
      <c r="E479" s="68">
        <v>4735.5</v>
      </c>
      <c r="F479" s="68">
        <v>4735.5</v>
      </c>
      <c r="G479" s="68">
        <v>5904</v>
      </c>
      <c r="H479" s="68">
        <v>5904</v>
      </c>
      <c r="I479" s="68">
        <v>0</v>
      </c>
      <c r="J479" s="68">
        <v>0</v>
      </c>
    </row>
    <row r="480" spans="1:10">
      <c r="A480" s="66" t="s">
        <v>1927</v>
      </c>
      <c r="B480" s="66" t="s">
        <v>1928</v>
      </c>
      <c r="C480" s="68">
        <v>0</v>
      </c>
      <c r="D480" s="68">
        <v>0</v>
      </c>
      <c r="E480" s="68">
        <v>0</v>
      </c>
      <c r="F480" s="68">
        <v>0</v>
      </c>
      <c r="G480" s="68">
        <v>5076.83</v>
      </c>
      <c r="H480" s="68">
        <v>5076.83</v>
      </c>
      <c r="I480" s="68">
        <v>0</v>
      </c>
      <c r="J480" s="68">
        <v>0</v>
      </c>
    </row>
    <row r="481" spans="1:10">
      <c r="A481" s="66" t="s">
        <v>1929</v>
      </c>
      <c r="B481" s="66" t="s">
        <v>1930</v>
      </c>
      <c r="C481" s="68">
        <v>0</v>
      </c>
      <c r="D481" s="68">
        <v>0</v>
      </c>
      <c r="E481" s="68">
        <v>0</v>
      </c>
      <c r="F481" s="68">
        <v>0</v>
      </c>
      <c r="G481" s="68">
        <v>3942.58</v>
      </c>
      <c r="H481" s="68">
        <v>3942.58</v>
      </c>
      <c r="I481" s="68">
        <v>0</v>
      </c>
      <c r="J481" s="68">
        <v>0</v>
      </c>
    </row>
    <row r="482" spans="1:10">
      <c r="A482" s="66" t="s">
        <v>1931</v>
      </c>
      <c r="B482" s="66" t="s">
        <v>1932</v>
      </c>
      <c r="C482" s="68">
        <v>0</v>
      </c>
      <c r="D482" s="68">
        <v>0</v>
      </c>
      <c r="E482" s="68">
        <v>2314</v>
      </c>
      <c r="F482" s="68">
        <v>590.39999999999964</v>
      </c>
      <c r="G482" s="68">
        <v>7578.4000000000005</v>
      </c>
      <c r="H482" s="68">
        <v>7775.2000000000007</v>
      </c>
      <c r="I482" s="68">
        <v>0</v>
      </c>
      <c r="J482" s="68">
        <v>196.80000000000018</v>
      </c>
    </row>
    <row r="483" spans="1:10">
      <c r="A483" s="66" t="s">
        <v>1933</v>
      </c>
      <c r="B483" s="66" t="s">
        <v>1934</v>
      </c>
      <c r="C483" s="68">
        <v>0</v>
      </c>
      <c r="D483" s="68">
        <v>0</v>
      </c>
      <c r="E483" s="68">
        <v>0</v>
      </c>
      <c r="F483" s="68">
        <v>0</v>
      </c>
      <c r="G483" s="68">
        <v>590.4</v>
      </c>
      <c r="H483" s="68">
        <v>590.4</v>
      </c>
      <c r="I483" s="68">
        <v>0</v>
      </c>
      <c r="J483" s="68">
        <v>0</v>
      </c>
    </row>
    <row r="484" spans="1:10">
      <c r="A484" s="66" t="s">
        <v>1935</v>
      </c>
      <c r="B484" s="66" t="s">
        <v>1936</v>
      </c>
      <c r="C484" s="68">
        <v>0</v>
      </c>
      <c r="D484" s="68">
        <v>0</v>
      </c>
      <c r="E484" s="68">
        <v>0</v>
      </c>
      <c r="F484" s="68">
        <v>0</v>
      </c>
      <c r="G484" s="68">
        <v>6027</v>
      </c>
      <c r="H484" s="68">
        <v>6027</v>
      </c>
      <c r="I484" s="68">
        <v>0</v>
      </c>
      <c r="J484" s="68">
        <v>0</v>
      </c>
    </row>
    <row r="485" spans="1:10">
      <c r="A485" s="66" t="s">
        <v>1937</v>
      </c>
      <c r="B485" s="66" t="s">
        <v>1938</v>
      </c>
      <c r="C485" s="68">
        <v>0</v>
      </c>
      <c r="D485" s="68">
        <v>6088.5</v>
      </c>
      <c r="E485" s="68">
        <v>3862.2000000000116</v>
      </c>
      <c r="F485" s="68">
        <v>5953.2000000000116</v>
      </c>
      <c r="G485" s="68">
        <v>211405.02000000005</v>
      </c>
      <c r="H485" s="68">
        <v>216927.72</v>
      </c>
      <c r="I485" s="68">
        <v>0</v>
      </c>
      <c r="J485" s="68">
        <v>5522.6999999999534</v>
      </c>
    </row>
    <row r="486" spans="1:10">
      <c r="A486" s="66" t="s">
        <v>1939</v>
      </c>
      <c r="B486" s="66" t="s">
        <v>1940</v>
      </c>
      <c r="C486" s="68">
        <v>0</v>
      </c>
      <c r="D486" s="68">
        <v>0</v>
      </c>
      <c r="E486" s="68">
        <v>0</v>
      </c>
      <c r="F486" s="68">
        <v>0</v>
      </c>
      <c r="G486" s="68">
        <v>79507.199999999997</v>
      </c>
      <c r="H486" s="68">
        <v>79507.199999999997</v>
      </c>
      <c r="I486" s="68">
        <v>0</v>
      </c>
      <c r="J486" s="68">
        <v>0</v>
      </c>
    </row>
    <row r="487" spans="1:10">
      <c r="A487" s="66" t="s">
        <v>1941</v>
      </c>
      <c r="B487" s="66" t="s">
        <v>1942</v>
      </c>
      <c r="C487" s="68">
        <v>0</v>
      </c>
      <c r="D487" s="68">
        <v>0</v>
      </c>
      <c r="E487" s="68">
        <v>0</v>
      </c>
      <c r="F487" s="68">
        <v>492</v>
      </c>
      <c r="G487" s="68">
        <v>1168.5</v>
      </c>
      <c r="H487" s="68">
        <v>1660.5</v>
      </c>
      <c r="I487" s="68">
        <v>0</v>
      </c>
      <c r="J487" s="68">
        <v>492</v>
      </c>
    </row>
    <row r="488" spans="1:10">
      <c r="A488" s="66" t="s">
        <v>1943</v>
      </c>
      <c r="B488" s="66" t="s">
        <v>1944</v>
      </c>
      <c r="C488" s="68">
        <v>0</v>
      </c>
      <c r="D488" s="68">
        <v>0</v>
      </c>
      <c r="E488" s="68">
        <v>17938.32</v>
      </c>
      <c r="F488" s="68">
        <v>1191.8699999999953</v>
      </c>
      <c r="G488" s="68">
        <v>82734.720000000001</v>
      </c>
      <c r="H488" s="68">
        <v>82734.720000000001</v>
      </c>
      <c r="I488" s="68">
        <v>0</v>
      </c>
      <c r="J488" s="68">
        <v>0</v>
      </c>
    </row>
    <row r="489" spans="1:10">
      <c r="A489" s="66" t="s">
        <v>1945</v>
      </c>
      <c r="B489" s="66" t="s">
        <v>1946</v>
      </c>
      <c r="C489" s="68">
        <v>0</v>
      </c>
      <c r="D489" s="68">
        <v>0</v>
      </c>
      <c r="E489" s="68">
        <v>0</v>
      </c>
      <c r="F489" s="68">
        <v>0</v>
      </c>
      <c r="G489" s="68">
        <v>6027</v>
      </c>
      <c r="H489" s="68">
        <v>6027</v>
      </c>
      <c r="I489" s="68">
        <v>0</v>
      </c>
      <c r="J489" s="68">
        <v>0</v>
      </c>
    </row>
    <row r="490" spans="1:10">
      <c r="A490" s="66" t="s">
        <v>1947</v>
      </c>
      <c r="B490" s="66" t="s">
        <v>1948</v>
      </c>
      <c r="C490" s="68">
        <v>0</v>
      </c>
      <c r="D490" s="68">
        <v>0</v>
      </c>
      <c r="E490" s="68">
        <v>76417.440000000002</v>
      </c>
      <c r="F490" s="68">
        <v>123405.9</v>
      </c>
      <c r="G490" s="68">
        <v>155668.60999999999</v>
      </c>
      <c r="H490" s="68">
        <v>227180.81</v>
      </c>
      <c r="I490" s="68">
        <v>0</v>
      </c>
      <c r="J490" s="68">
        <v>71512.200000000012</v>
      </c>
    </row>
    <row r="491" spans="1:10">
      <c r="A491" s="66" t="s">
        <v>1949</v>
      </c>
      <c r="B491" s="66" t="s">
        <v>1950</v>
      </c>
      <c r="C491" s="68">
        <v>0</v>
      </c>
      <c r="D491" s="68">
        <v>0</v>
      </c>
      <c r="E491" s="68">
        <v>0</v>
      </c>
      <c r="F491" s="68">
        <v>0</v>
      </c>
      <c r="G491" s="68">
        <v>3113.4</v>
      </c>
      <c r="H491" s="68">
        <v>3113.4</v>
      </c>
      <c r="I491" s="68">
        <v>0</v>
      </c>
      <c r="J491" s="68">
        <v>0</v>
      </c>
    </row>
    <row r="492" spans="1:10">
      <c r="A492" s="66" t="s">
        <v>1951</v>
      </c>
      <c r="B492" s="66" t="s">
        <v>1952</v>
      </c>
      <c r="C492" s="68">
        <v>0</v>
      </c>
      <c r="D492" s="68">
        <v>0</v>
      </c>
      <c r="E492" s="68">
        <v>0</v>
      </c>
      <c r="F492" s="68">
        <v>0</v>
      </c>
      <c r="G492" s="68">
        <v>4920</v>
      </c>
      <c r="H492" s="68">
        <v>4920</v>
      </c>
      <c r="I492" s="68">
        <v>0</v>
      </c>
      <c r="J492" s="68">
        <v>0</v>
      </c>
    </row>
    <row r="493" spans="1:10">
      <c r="A493" s="66" t="s">
        <v>1953</v>
      </c>
      <c r="B493" s="66" t="s">
        <v>1954</v>
      </c>
      <c r="C493" s="68">
        <v>0</v>
      </c>
      <c r="D493" s="68">
        <v>106.16</v>
      </c>
      <c r="E493" s="68">
        <v>0</v>
      </c>
      <c r="F493" s="68">
        <v>0</v>
      </c>
      <c r="G493" s="68">
        <v>106.16</v>
      </c>
      <c r="H493" s="68">
        <v>106.16</v>
      </c>
      <c r="I493" s="68">
        <v>0</v>
      </c>
      <c r="J493" s="68">
        <v>0</v>
      </c>
    </row>
    <row r="494" spans="1:10">
      <c r="A494" s="66" t="s">
        <v>1955</v>
      </c>
      <c r="B494" s="66" t="s">
        <v>1956</v>
      </c>
      <c r="C494" s="68">
        <v>0</v>
      </c>
      <c r="D494" s="68">
        <v>0</v>
      </c>
      <c r="E494" s="68">
        <v>0</v>
      </c>
      <c r="F494" s="68">
        <v>0</v>
      </c>
      <c r="G494" s="68">
        <v>754.29</v>
      </c>
      <c r="H494" s="68">
        <v>754.29</v>
      </c>
      <c r="I494" s="68">
        <v>0</v>
      </c>
      <c r="J494" s="68">
        <v>0</v>
      </c>
    </row>
    <row r="495" spans="1:10">
      <c r="A495" s="66" t="s">
        <v>1957</v>
      </c>
      <c r="B495" s="66" t="s">
        <v>1958</v>
      </c>
      <c r="C495" s="68">
        <v>0</v>
      </c>
      <c r="D495" s="68">
        <v>0</v>
      </c>
      <c r="E495" s="68">
        <v>0</v>
      </c>
      <c r="F495" s="68">
        <v>0</v>
      </c>
      <c r="G495" s="68">
        <v>9446.4</v>
      </c>
      <c r="H495" s="68">
        <v>9446.4</v>
      </c>
      <c r="I495" s="68">
        <v>0</v>
      </c>
      <c r="J495" s="68">
        <v>0</v>
      </c>
    </row>
    <row r="496" spans="1:10">
      <c r="A496" s="66" t="s">
        <v>1959</v>
      </c>
      <c r="B496" s="66" t="s">
        <v>1960</v>
      </c>
      <c r="C496" s="68">
        <v>0</v>
      </c>
      <c r="D496" s="68">
        <v>0</v>
      </c>
      <c r="E496" s="68">
        <v>0</v>
      </c>
      <c r="F496" s="68">
        <v>0</v>
      </c>
      <c r="G496" s="68">
        <v>3739.2000000000003</v>
      </c>
      <c r="H496" s="68">
        <v>3739.2000000000003</v>
      </c>
      <c r="I496" s="68">
        <v>0</v>
      </c>
      <c r="J496" s="68">
        <v>0</v>
      </c>
    </row>
    <row r="497" spans="1:10">
      <c r="A497" s="66" t="s">
        <v>1961</v>
      </c>
      <c r="B497" s="66" t="s">
        <v>1962</v>
      </c>
      <c r="C497" s="68">
        <v>0</v>
      </c>
      <c r="D497" s="68">
        <v>0</v>
      </c>
      <c r="E497" s="68">
        <v>196.8</v>
      </c>
      <c r="F497" s="68">
        <v>196.8</v>
      </c>
      <c r="G497" s="68">
        <v>196.8</v>
      </c>
      <c r="H497" s="68">
        <v>196.8</v>
      </c>
      <c r="I497" s="68">
        <v>0</v>
      </c>
      <c r="J497" s="68">
        <v>0</v>
      </c>
    </row>
    <row r="498" spans="1:10">
      <c r="A498" s="66" t="s">
        <v>1963</v>
      </c>
      <c r="B498" s="66" t="s">
        <v>1964</v>
      </c>
      <c r="C498" s="68">
        <v>0</v>
      </c>
      <c r="D498" s="68">
        <v>36.53</v>
      </c>
      <c r="E498" s="68">
        <v>3006.74</v>
      </c>
      <c r="F498" s="68">
        <v>0</v>
      </c>
      <c r="G498" s="68">
        <v>7958.76</v>
      </c>
      <c r="H498" s="68">
        <v>7958.7600000000011</v>
      </c>
      <c r="I498" s="68">
        <v>0</v>
      </c>
      <c r="J498" s="68">
        <v>9.0949470177292824E-13</v>
      </c>
    </row>
    <row r="499" spans="1:10">
      <c r="A499" s="66" t="s">
        <v>1965</v>
      </c>
      <c r="B499" s="66" t="s">
        <v>1966</v>
      </c>
      <c r="C499" s="68">
        <v>0</v>
      </c>
      <c r="D499" s="68">
        <v>0</v>
      </c>
      <c r="E499" s="68">
        <v>55934.210000000021</v>
      </c>
      <c r="F499" s="68">
        <v>55934.210000000021</v>
      </c>
      <c r="G499" s="68">
        <v>472718.74000000005</v>
      </c>
      <c r="H499" s="68">
        <v>472718.74000000005</v>
      </c>
      <c r="I499" s="68">
        <v>0</v>
      </c>
      <c r="J499" s="68">
        <v>0</v>
      </c>
    </row>
    <row r="500" spans="1:10">
      <c r="A500" s="66" t="s">
        <v>1967</v>
      </c>
      <c r="B500" s="66" t="s">
        <v>1968</v>
      </c>
      <c r="C500" s="68">
        <v>0</v>
      </c>
      <c r="D500" s="68">
        <v>1823.73</v>
      </c>
      <c r="E500" s="68">
        <v>931.84000000000015</v>
      </c>
      <c r="F500" s="68">
        <v>468.86999999999898</v>
      </c>
      <c r="G500" s="68">
        <v>18526.599999999999</v>
      </c>
      <c r="H500" s="68">
        <v>18526.599999999999</v>
      </c>
      <c r="I500" s="68">
        <v>0</v>
      </c>
      <c r="J500" s="68">
        <v>0</v>
      </c>
    </row>
    <row r="501" spans="1:10">
      <c r="A501" s="66" t="s">
        <v>1969</v>
      </c>
      <c r="B501" s="66" t="s">
        <v>1970</v>
      </c>
      <c r="C501" s="68">
        <v>0</v>
      </c>
      <c r="D501" s="68">
        <v>2558.4</v>
      </c>
      <c r="E501" s="68">
        <v>2632.1999999999971</v>
      </c>
      <c r="F501" s="68">
        <v>2632.1999999999971</v>
      </c>
      <c r="G501" s="68">
        <v>39212.399999999994</v>
      </c>
      <c r="H501" s="68">
        <v>39212.399999999994</v>
      </c>
      <c r="I501" s="68">
        <v>0</v>
      </c>
      <c r="J501" s="68">
        <v>0</v>
      </c>
    </row>
    <row r="502" spans="1:10">
      <c r="A502" s="66" t="s">
        <v>1971</v>
      </c>
      <c r="B502" s="66" t="s">
        <v>1972</v>
      </c>
      <c r="C502" s="68">
        <v>0</v>
      </c>
      <c r="D502" s="68">
        <v>0</v>
      </c>
      <c r="E502" s="68">
        <v>0</v>
      </c>
      <c r="F502" s="68">
        <v>0</v>
      </c>
      <c r="G502" s="68">
        <v>1781.29</v>
      </c>
      <c r="H502" s="68">
        <v>1781.29</v>
      </c>
      <c r="I502" s="68">
        <v>0</v>
      </c>
      <c r="J502" s="68">
        <v>0</v>
      </c>
    </row>
    <row r="503" spans="1:10">
      <c r="A503" s="66" t="s">
        <v>1973</v>
      </c>
      <c r="B503" s="66" t="s">
        <v>1974</v>
      </c>
      <c r="C503" s="68">
        <v>0</v>
      </c>
      <c r="D503" s="68">
        <v>12501.24</v>
      </c>
      <c r="E503" s="68">
        <v>73313.290000000037</v>
      </c>
      <c r="F503" s="68">
        <v>113497.82999999996</v>
      </c>
      <c r="G503" s="68">
        <v>420310.01</v>
      </c>
      <c r="H503" s="68">
        <v>460525.29999999993</v>
      </c>
      <c r="I503" s="68">
        <v>0</v>
      </c>
      <c r="J503" s="68">
        <v>40215.289999999921</v>
      </c>
    </row>
    <row r="504" spans="1:10">
      <c r="A504" s="66" t="s">
        <v>1975</v>
      </c>
      <c r="B504" s="66" t="s">
        <v>1976</v>
      </c>
      <c r="C504" s="68">
        <v>0</v>
      </c>
      <c r="D504" s="68">
        <v>0</v>
      </c>
      <c r="E504" s="68">
        <v>0</v>
      </c>
      <c r="F504" s="68">
        <v>0</v>
      </c>
      <c r="G504" s="68">
        <v>1785.9599999999998</v>
      </c>
      <c r="H504" s="68">
        <v>1785.9599999999998</v>
      </c>
      <c r="I504" s="68">
        <v>0</v>
      </c>
      <c r="J504" s="68">
        <v>0</v>
      </c>
    </row>
    <row r="505" spans="1:10">
      <c r="A505" s="66" t="s">
        <v>1977</v>
      </c>
      <c r="B505" s="66" t="s">
        <v>1978</v>
      </c>
      <c r="C505" s="68">
        <v>0</v>
      </c>
      <c r="D505" s="68">
        <v>24600</v>
      </c>
      <c r="E505" s="68">
        <v>29520</v>
      </c>
      <c r="F505" s="68">
        <v>14760</v>
      </c>
      <c r="G505" s="68">
        <v>265680</v>
      </c>
      <c r="H505" s="68">
        <v>280440</v>
      </c>
      <c r="I505" s="68">
        <v>0</v>
      </c>
      <c r="J505" s="68">
        <v>14760</v>
      </c>
    </row>
    <row r="506" spans="1:10">
      <c r="A506" s="66" t="s">
        <v>1979</v>
      </c>
      <c r="B506" s="66" t="s">
        <v>1980</v>
      </c>
      <c r="C506" s="68">
        <v>0</v>
      </c>
      <c r="D506" s="68">
        <v>11931</v>
      </c>
      <c r="E506" s="68">
        <v>0</v>
      </c>
      <c r="F506" s="68">
        <v>0</v>
      </c>
      <c r="G506" s="68">
        <v>11931</v>
      </c>
      <c r="H506" s="68">
        <v>11931</v>
      </c>
      <c r="I506" s="68">
        <v>0</v>
      </c>
      <c r="J506" s="68">
        <v>0</v>
      </c>
    </row>
    <row r="507" spans="1:10">
      <c r="A507" s="66" t="s">
        <v>1981</v>
      </c>
      <c r="B507" s="66" t="s">
        <v>1982</v>
      </c>
      <c r="C507" s="68">
        <v>0</v>
      </c>
      <c r="D507" s="68">
        <v>0</v>
      </c>
      <c r="E507" s="68">
        <v>0</v>
      </c>
      <c r="F507" s="68">
        <v>0</v>
      </c>
      <c r="G507" s="68">
        <v>7271.17</v>
      </c>
      <c r="H507" s="68">
        <v>7271.17</v>
      </c>
      <c r="I507" s="68">
        <v>0</v>
      </c>
      <c r="J507" s="68">
        <v>0</v>
      </c>
    </row>
    <row r="508" spans="1:10">
      <c r="A508" s="66" t="s">
        <v>1983</v>
      </c>
      <c r="B508" s="66" t="s">
        <v>1984</v>
      </c>
      <c r="C508" s="68">
        <v>0</v>
      </c>
      <c r="D508" s="68">
        <v>35547</v>
      </c>
      <c r="E508" s="68">
        <v>25707</v>
      </c>
      <c r="F508" s="68">
        <v>66358.5</v>
      </c>
      <c r="G508" s="68">
        <v>412979.27</v>
      </c>
      <c r="H508" s="68">
        <v>470112.77</v>
      </c>
      <c r="I508" s="68">
        <v>0</v>
      </c>
      <c r="J508" s="68">
        <v>57133.5</v>
      </c>
    </row>
    <row r="509" spans="1:10">
      <c r="A509" s="66" t="s">
        <v>1985</v>
      </c>
      <c r="B509" s="66" t="s">
        <v>1986</v>
      </c>
      <c r="C509" s="68">
        <v>0</v>
      </c>
      <c r="D509" s="68">
        <v>47.36</v>
      </c>
      <c r="E509" s="68">
        <v>0</v>
      </c>
      <c r="F509" s="68">
        <v>0</v>
      </c>
      <c r="G509" s="68">
        <v>68.27</v>
      </c>
      <c r="H509" s="68">
        <v>68.27</v>
      </c>
      <c r="I509" s="68">
        <v>0</v>
      </c>
      <c r="J509" s="68">
        <v>0</v>
      </c>
    </row>
    <row r="510" spans="1:10">
      <c r="A510" s="66" t="s">
        <v>1987</v>
      </c>
      <c r="B510" s="66" t="s">
        <v>1988</v>
      </c>
      <c r="C510" s="68">
        <v>0</v>
      </c>
      <c r="D510" s="68">
        <v>0</v>
      </c>
      <c r="E510" s="68">
        <v>0</v>
      </c>
      <c r="F510" s="68">
        <v>0</v>
      </c>
      <c r="G510" s="68">
        <v>1020.9</v>
      </c>
      <c r="H510" s="68">
        <v>1020.9</v>
      </c>
      <c r="I510" s="68">
        <v>0</v>
      </c>
      <c r="J510" s="68">
        <v>0</v>
      </c>
    </row>
    <row r="511" spans="1:10">
      <c r="A511" s="66" t="s">
        <v>1989</v>
      </c>
      <c r="B511" s="66" t="s">
        <v>1990</v>
      </c>
      <c r="C511" s="68">
        <v>0</v>
      </c>
      <c r="D511" s="68">
        <v>0</v>
      </c>
      <c r="E511" s="68">
        <v>0</v>
      </c>
      <c r="F511" s="68">
        <v>1749.5</v>
      </c>
      <c r="G511" s="68">
        <v>524.87</v>
      </c>
      <c r="H511" s="68">
        <v>2274.37</v>
      </c>
      <c r="I511" s="68">
        <v>0</v>
      </c>
      <c r="J511" s="68">
        <v>1749.5</v>
      </c>
    </row>
    <row r="512" spans="1:10">
      <c r="A512" s="66" t="s">
        <v>1991</v>
      </c>
      <c r="B512" s="66" t="s">
        <v>1992</v>
      </c>
      <c r="C512" s="68">
        <v>0</v>
      </c>
      <c r="D512" s="68">
        <v>11346.75</v>
      </c>
      <c r="E512" s="68">
        <v>0</v>
      </c>
      <c r="F512" s="68">
        <v>0</v>
      </c>
      <c r="G512" s="68">
        <v>68056.259999999995</v>
      </c>
      <c r="H512" s="68">
        <v>76038.959999999992</v>
      </c>
      <c r="I512" s="68">
        <v>0</v>
      </c>
      <c r="J512" s="68">
        <v>7982.6999999999971</v>
      </c>
    </row>
    <row r="513" spans="1:10">
      <c r="A513" s="66" t="s">
        <v>1993</v>
      </c>
      <c r="B513" s="66" t="s">
        <v>1994</v>
      </c>
      <c r="C513" s="68">
        <v>0</v>
      </c>
      <c r="D513" s="68">
        <v>0</v>
      </c>
      <c r="E513" s="68">
        <v>2636.14</v>
      </c>
      <c r="F513" s="68">
        <v>2636.14</v>
      </c>
      <c r="G513" s="68">
        <v>4452.21</v>
      </c>
      <c r="H513" s="68">
        <v>4452.21</v>
      </c>
      <c r="I513" s="68">
        <v>0</v>
      </c>
      <c r="J513" s="68">
        <v>0</v>
      </c>
    </row>
    <row r="514" spans="1:10">
      <c r="A514" s="66" t="s">
        <v>1995</v>
      </c>
      <c r="B514" s="66" t="s">
        <v>1996</v>
      </c>
      <c r="C514" s="68">
        <v>0</v>
      </c>
      <c r="D514" s="68">
        <v>0</v>
      </c>
      <c r="E514" s="68">
        <v>0</v>
      </c>
      <c r="F514" s="68">
        <v>0</v>
      </c>
      <c r="G514" s="68">
        <v>1107</v>
      </c>
      <c r="H514" s="68">
        <v>1107</v>
      </c>
      <c r="I514" s="68">
        <v>0</v>
      </c>
      <c r="J514" s="68">
        <v>0</v>
      </c>
    </row>
    <row r="515" spans="1:10">
      <c r="A515" s="66" t="s">
        <v>1997</v>
      </c>
      <c r="B515" s="66" t="s">
        <v>1998</v>
      </c>
      <c r="C515" s="68">
        <v>0</v>
      </c>
      <c r="D515" s="68">
        <v>0</v>
      </c>
      <c r="E515" s="68">
        <v>0</v>
      </c>
      <c r="F515" s="68">
        <v>0</v>
      </c>
      <c r="G515" s="68">
        <v>1290.5999999999999</v>
      </c>
      <c r="H515" s="68">
        <v>1290.5999999999999</v>
      </c>
      <c r="I515" s="68">
        <v>0</v>
      </c>
      <c r="J515" s="68">
        <v>0</v>
      </c>
    </row>
    <row r="516" spans="1:10">
      <c r="A516" s="66" t="s">
        <v>1999</v>
      </c>
      <c r="B516" s="66" t="s">
        <v>2000</v>
      </c>
      <c r="C516" s="68">
        <v>0</v>
      </c>
      <c r="D516" s="68">
        <v>0</v>
      </c>
      <c r="E516" s="68">
        <v>405900.00000000006</v>
      </c>
      <c r="F516" s="68">
        <v>0</v>
      </c>
      <c r="G516" s="68">
        <v>681739.8</v>
      </c>
      <c r="H516" s="68">
        <v>681739.8</v>
      </c>
      <c r="I516" s="68">
        <v>0</v>
      </c>
      <c r="J516" s="68">
        <v>0</v>
      </c>
    </row>
    <row r="517" spans="1:10">
      <c r="A517" s="66" t="s">
        <v>2001</v>
      </c>
      <c r="B517" s="66" t="s">
        <v>2002</v>
      </c>
      <c r="C517" s="68">
        <v>0</v>
      </c>
      <c r="D517" s="68">
        <v>0</v>
      </c>
      <c r="E517" s="68">
        <v>1252.1400000000001</v>
      </c>
      <c r="F517" s="68">
        <v>0</v>
      </c>
      <c r="G517" s="68">
        <v>1252.1400000000001</v>
      </c>
      <c r="H517" s="68">
        <v>1252.1400000000001</v>
      </c>
      <c r="I517" s="68">
        <v>0</v>
      </c>
      <c r="J517" s="68">
        <v>0</v>
      </c>
    </row>
    <row r="518" spans="1:10">
      <c r="A518" s="66" t="s">
        <v>2003</v>
      </c>
      <c r="B518" s="66" t="s">
        <v>2004</v>
      </c>
      <c r="C518" s="68">
        <v>0</v>
      </c>
      <c r="D518" s="68">
        <v>0</v>
      </c>
      <c r="E518" s="68">
        <v>0</v>
      </c>
      <c r="F518" s="68">
        <v>0</v>
      </c>
      <c r="G518" s="68">
        <v>1274.29</v>
      </c>
      <c r="H518" s="68">
        <v>1274.29</v>
      </c>
      <c r="I518" s="68">
        <v>0</v>
      </c>
      <c r="J518" s="68">
        <v>0</v>
      </c>
    </row>
    <row r="519" spans="1:10">
      <c r="A519" s="66" t="s">
        <v>2005</v>
      </c>
      <c r="B519" s="66" t="s">
        <v>2006</v>
      </c>
      <c r="C519" s="68">
        <v>0</v>
      </c>
      <c r="D519" s="68">
        <v>1463.7</v>
      </c>
      <c r="E519" s="68">
        <v>0</v>
      </c>
      <c r="F519" s="68">
        <v>0</v>
      </c>
      <c r="G519" s="68">
        <v>3800.7</v>
      </c>
      <c r="H519" s="68">
        <v>3800.7</v>
      </c>
      <c r="I519" s="68">
        <v>0</v>
      </c>
      <c r="J519" s="68">
        <v>0</v>
      </c>
    </row>
    <row r="520" spans="1:10">
      <c r="A520" s="66" t="s">
        <v>2007</v>
      </c>
      <c r="B520" s="66" t="s">
        <v>2008</v>
      </c>
      <c r="C520" s="68">
        <v>0</v>
      </c>
      <c r="D520" s="68">
        <v>0</v>
      </c>
      <c r="E520" s="68">
        <v>53006.850000000006</v>
      </c>
      <c r="F520" s="68">
        <v>53006.850000000006</v>
      </c>
      <c r="G520" s="68">
        <v>121703.58000000002</v>
      </c>
      <c r="H520" s="68">
        <v>121703.58000000002</v>
      </c>
      <c r="I520" s="68">
        <v>0</v>
      </c>
      <c r="J520" s="68">
        <v>0</v>
      </c>
    </row>
    <row r="521" spans="1:10">
      <c r="A521" s="66" t="s">
        <v>2009</v>
      </c>
      <c r="B521" s="66" t="s">
        <v>2010</v>
      </c>
      <c r="C521" s="68">
        <v>0</v>
      </c>
      <c r="D521" s="68">
        <v>0</v>
      </c>
      <c r="E521" s="68">
        <v>0</v>
      </c>
      <c r="F521" s="68">
        <v>0</v>
      </c>
      <c r="G521" s="68">
        <v>3132.6</v>
      </c>
      <c r="H521" s="68">
        <v>3132.6</v>
      </c>
      <c r="I521" s="68">
        <v>0</v>
      </c>
      <c r="J521" s="68">
        <v>0</v>
      </c>
    </row>
    <row r="522" spans="1:10">
      <c r="A522" s="66" t="s">
        <v>2011</v>
      </c>
      <c r="B522" s="66" t="s">
        <v>2012</v>
      </c>
      <c r="C522" s="68">
        <v>0</v>
      </c>
      <c r="D522" s="68">
        <v>0</v>
      </c>
      <c r="E522" s="68">
        <v>0</v>
      </c>
      <c r="F522" s="68">
        <v>0</v>
      </c>
      <c r="G522" s="68">
        <v>26274.559999999998</v>
      </c>
      <c r="H522" s="68">
        <v>26274.559999999998</v>
      </c>
      <c r="I522" s="68">
        <v>0</v>
      </c>
      <c r="J522" s="68">
        <v>0</v>
      </c>
    </row>
    <row r="523" spans="1:10">
      <c r="A523" s="66" t="s">
        <v>2013</v>
      </c>
      <c r="B523" s="66" t="s">
        <v>2014</v>
      </c>
      <c r="C523" s="68">
        <v>0</v>
      </c>
      <c r="D523" s="68">
        <v>0</v>
      </c>
      <c r="E523" s="68">
        <v>0</v>
      </c>
      <c r="F523" s="68">
        <v>0</v>
      </c>
      <c r="G523" s="68">
        <v>9840</v>
      </c>
      <c r="H523" s="68">
        <v>9840</v>
      </c>
      <c r="I523" s="68">
        <v>0</v>
      </c>
      <c r="J523" s="68">
        <v>0</v>
      </c>
    </row>
    <row r="524" spans="1:10">
      <c r="A524" s="66" t="s">
        <v>2015</v>
      </c>
      <c r="B524" s="66" t="s">
        <v>2016</v>
      </c>
      <c r="C524" s="68">
        <v>0</v>
      </c>
      <c r="D524" s="68">
        <v>185</v>
      </c>
      <c r="E524" s="68">
        <v>400</v>
      </c>
      <c r="F524" s="68">
        <v>400</v>
      </c>
      <c r="G524" s="68">
        <v>4197.5</v>
      </c>
      <c r="H524" s="68">
        <v>4197.5</v>
      </c>
      <c r="I524" s="68">
        <v>0</v>
      </c>
      <c r="J524" s="68">
        <v>0</v>
      </c>
    </row>
    <row r="525" spans="1:10">
      <c r="A525" s="66" t="s">
        <v>2017</v>
      </c>
      <c r="B525" s="66" t="s">
        <v>2018</v>
      </c>
      <c r="C525" s="68">
        <v>0</v>
      </c>
      <c r="D525" s="68">
        <v>2641.3</v>
      </c>
      <c r="E525" s="68">
        <v>0</v>
      </c>
      <c r="F525" s="68">
        <v>0</v>
      </c>
      <c r="G525" s="68">
        <v>2641.3</v>
      </c>
      <c r="H525" s="68">
        <v>2641.3</v>
      </c>
      <c r="I525" s="68">
        <v>0</v>
      </c>
      <c r="J525" s="68">
        <v>0</v>
      </c>
    </row>
    <row r="526" spans="1:10">
      <c r="A526" s="66" t="s">
        <v>2019</v>
      </c>
      <c r="B526" s="66" t="s">
        <v>2020</v>
      </c>
      <c r="C526" s="68">
        <v>0</v>
      </c>
      <c r="D526" s="68">
        <v>308.88</v>
      </c>
      <c r="E526" s="68">
        <v>0</v>
      </c>
      <c r="F526" s="68">
        <v>0</v>
      </c>
      <c r="G526" s="68">
        <v>308.88</v>
      </c>
      <c r="H526" s="68">
        <v>308.88</v>
      </c>
      <c r="I526" s="68">
        <v>0</v>
      </c>
      <c r="J526" s="68">
        <v>0</v>
      </c>
    </row>
    <row r="527" spans="1:10">
      <c r="A527" s="66" t="s">
        <v>2021</v>
      </c>
      <c r="B527" s="66" t="s">
        <v>2022</v>
      </c>
      <c r="C527" s="68">
        <v>0</v>
      </c>
      <c r="D527" s="68">
        <v>0</v>
      </c>
      <c r="E527" s="68">
        <v>0</v>
      </c>
      <c r="F527" s="68">
        <v>99</v>
      </c>
      <c r="G527" s="68">
        <v>671</v>
      </c>
      <c r="H527" s="68">
        <v>770</v>
      </c>
      <c r="I527" s="68">
        <v>0</v>
      </c>
      <c r="J527" s="68">
        <v>99</v>
      </c>
    </row>
    <row r="528" spans="1:10">
      <c r="A528" s="66" t="s">
        <v>2023</v>
      </c>
      <c r="B528" s="66" t="s">
        <v>2024</v>
      </c>
      <c r="C528" s="68">
        <v>0</v>
      </c>
      <c r="D528" s="68">
        <v>3586.68</v>
      </c>
      <c r="E528" s="68">
        <v>0</v>
      </c>
      <c r="F528" s="68">
        <v>0</v>
      </c>
      <c r="G528" s="68">
        <v>3586.68</v>
      </c>
      <c r="H528" s="68">
        <v>3586.68</v>
      </c>
      <c r="I528" s="68">
        <v>0</v>
      </c>
      <c r="J528" s="68">
        <v>0</v>
      </c>
    </row>
    <row r="529" spans="1:10">
      <c r="A529" s="66" t="s">
        <v>2025</v>
      </c>
      <c r="B529" s="66" t="s">
        <v>2026</v>
      </c>
      <c r="C529" s="68">
        <v>0</v>
      </c>
      <c r="D529" s="68">
        <v>0</v>
      </c>
      <c r="E529" s="68">
        <v>61.5</v>
      </c>
      <c r="F529" s="68">
        <v>0</v>
      </c>
      <c r="G529" s="68">
        <v>123</v>
      </c>
      <c r="H529" s="68">
        <v>123</v>
      </c>
      <c r="I529" s="68">
        <v>0</v>
      </c>
      <c r="J529" s="68">
        <v>0</v>
      </c>
    </row>
    <row r="530" spans="1:10">
      <c r="A530" s="66" t="s">
        <v>2027</v>
      </c>
      <c r="B530" s="66" t="s">
        <v>2028</v>
      </c>
      <c r="C530" s="68">
        <v>0</v>
      </c>
      <c r="D530" s="68">
        <v>0</v>
      </c>
      <c r="E530" s="68">
        <v>0</v>
      </c>
      <c r="F530" s="68">
        <v>0</v>
      </c>
      <c r="G530" s="68">
        <v>6911.37</v>
      </c>
      <c r="H530" s="68">
        <v>6911.37</v>
      </c>
      <c r="I530" s="68">
        <v>0</v>
      </c>
      <c r="J530" s="68">
        <v>0</v>
      </c>
    </row>
    <row r="531" spans="1:10">
      <c r="A531" s="66" t="s">
        <v>2029</v>
      </c>
      <c r="B531" s="66" t="s">
        <v>2030</v>
      </c>
      <c r="C531" s="68">
        <v>0</v>
      </c>
      <c r="D531" s="68">
        <v>0</v>
      </c>
      <c r="E531" s="68">
        <v>0</v>
      </c>
      <c r="F531" s="68">
        <v>0</v>
      </c>
      <c r="G531" s="68">
        <v>488.5</v>
      </c>
      <c r="H531" s="68">
        <v>488.5</v>
      </c>
      <c r="I531" s="68">
        <v>0</v>
      </c>
      <c r="J531" s="68">
        <v>0</v>
      </c>
    </row>
    <row r="532" spans="1:10">
      <c r="A532" s="66" t="s">
        <v>2031</v>
      </c>
      <c r="B532" s="66" t="s">
        <v>2032</v>
      </c>
      <c r="C532" s="68">
        <v>0</v>
      </c>
      <c r="D532" s="68">
        <v>0</v>
      </c>
      <c r="E532" s="68">
        <v>0</v>
      </c>
      <c r="F532" s="68">
        <v>0</v>
      </c>
      <c r="G532" s="68">
        <v>19188</v>
      </c>
      <c r="H532" s="68">
        <v>19188</v>
      </c>
      <c r="I532" s="68">
        <v>0</v>
      </c>
      <c r="J532" s="68">
        <v>0</v>
      </c>
    </row>
    <row r="533" spans="1:10">
      <c r="A533" s="66" t="s">
        <v>2033</v>
      </c>
      <c r="B533" s="66" t="s">
        <v>2034</v>
      </c>
      <c r="C533" s="68">
        <v>0</v>
      </c>
      <c r="D533" s="68">
        <v>0</v>
      </c>
      <c r="E533" s="68">
        <v>41798.989999999991</v>
      </c>
      <c r="F533" s="68">
        <v>30114.75</v>
      </c>
      <c r="G533" s="68">
        <v>365621.27999999997</v>
      </c>
      <c r="H533" s="68">
        <v>395736.02999999997</v>
      </c>
      <c r="I533" s="68">
        <v>0</v>
      </c>
      <c r="J533" s="68">
        <v>30114.75</v>
      </c>
    </row>
    <row r="534" spans="1:10">
      <c r="A534" s="66" t="s">
        <v>2035</v>
      </c>
      <c r="B534" s="66" t="s">
        <v>2036</v>
      </c>
      <c r="C534" s="68">
        <v>0</v>
      </c>
      <c r="D534" s="68">
        <v>0</v>
      </c>
      <c r="E534" s="68">
        <v>0</v>
      </c>
      <c r="F534" s="68">
        <v>0</v>
      </c>
      <c r="G534" s="68">
        <v>21107.83</v>
      </c>
      <c r="H534" s="68">
        <v>21107.83</v>
      </c>
      <c r="I534" s="68">
        <v>0</v>
      </c>
      <c r="J534" s="68">
        <v>0</v>
      </c>
    </row>
    <row r="535" spans="1:10">
      <c r="A535" s="66" t="s">
        <v>2037</v>
      </c>
      <c r="B535" s="66" t="s">
        <v>2038</v>
      </c>
      <c r="C535" s="68">
        <v>0</v>
      </c>
      <c r="D535" s="68">
        <v>0</v>
      </c>
      <c r="E535" s="68">
        <v>0</v>
      </c>
      <c r="F535" s="68">
        <v>0</v>
      </c>
      <c r="G535" s="68">
        <v>209656.1</v>
      </c>
      <c r="H535" s="68">
        <v>209656.1</v>
      </c>
      <c r="I535" s="68">
        <v>0</v>
      </c>
      <c r="J535" s="68">
        <v>0</v>
      </c>
    </row>
    <row r="536" spans="1:10">
      <c r="A536" s="66" t="s">
        <v>2039</v>
      </c>
      <c r="B536" s="66" t="s">
        <v>2040</v>
      </c>
      <c r="C536" s="68">
        <v>0</v>
      </c>
      <c r="D536" s="68">
        <v>0</v>
      </c>
      <c r="E536" s="68">
        <v>27129.599999999999</v>
      </c>
      <c r="F536" s="68">
        <v>13564.8</v>
      </c>
      <c r="G536" s="68">
        <v>30151.71</v>
      </c>
      <c r="H536" s="68">
        <v>30151.71</v>
      </c>
      <c r="I536" s="68">
        <v>0</v>
      </c>
      <c r="J536" s="68">
        <v>0</v>
      </c>
    </row>
    <row r="537" spans="1:10">
      <c r="A537" s="66" t="s">
        <v>2041</v>
      </c>
      <c r="B537" s="66" t="s">
        <v>2042</v>
      </c>
      <c r="C537" s="68">
        <v>0</v>
      </c>
      <c r="D537" s="68">
        <v>0</v>
      </c>
      <c r="E537" s="68">
        <v>0</v>
      </c>
      <c r="F537" s="68">
        <v>0</v>
      </c>
      <c r="G537" s="68">
        <v>5840.04</v>
      </c>
      <c r="H537" s="68">
        <v>5840.04</v>
      </c>
      <c r="I537" s="68">
        <v>0</v>
      </c>
      <c r="J537" s="68">
        <v>0</v>
      </c>
    </row>
    <row r="538" spans="1:10">
      <c r="A538" s="66" t="s">
        <v>2043</v>
      </c>
      <c r="B538" s="66" t="s">
        <v>2044</v>
      </c>
      <c r="C538" s="68">
        <v>0</v>
      </c>
      <c r="D538" s="68">
        <v>0</v>
      </c>
      <c r="E538" s="68">
        <v>0</v>
      </c>
      <c r="F538" s="68">
        <v>0</v>
      </c>
      <c r="G538" s="68">
        <v>9471</v>
      </c>
      <c r="H538" s="68">
        <v>9471</v>
      </c>
      <c r="I538" s="68">
        <v>0</v>
      </c>
      <c r="J538" s="68">
        <v>0</v>
      </c>
    </row>
    <row r="539" spans="1:10">
      <c r="A539" s="66" t="s">
        <v>2045</v>
      </c>
      <c r="B539" s="66" t="s">
        <v>2046</v>
      </c>
      <c r="C539" s="68">
        <v>0</v>
      </c>
      <c r="D539" s="68">
        <v>0</v>
      </c>
      <c r="E539" s="68">
        <v>0</v>
      </c>
      <c r="F539" s="68">
        <v>0</v>
      </c>
      <c r="G539" s="68">
        <v>692</v>
      </c>
      <c r="H539" s="68">
        <v>692</v>
      </c>
      <c r="I539" s="68">
        <v>0</v>
      </c>
      <c r="J539" s="68">
        <v>0</v>
      </c>
    </row>
    <row r="540" spans="1:10">
      <c r="A540" s="66" t="s">
        <v>2047</v>
      </c>
      <c r="B540" s="66" t="s">
        <v>2048</v>
      </c>
      <c r="C540" s="68">
        <v>0</v>
      </c>
      <c r="D540" s="68">
        <v>0</v>
      </c>
      <c r="E540" s="68">
        <v>0</v>
      </c>
      <c r="F540" s="68">
        <v>0</v>
      </c>
      <c r="G540" s="68">
        <v>861</v>
      </c>
      <c r="H540" s="68">
        <v>861</v>
      </c>
      <c r="I540" s="68">
        <v>0</v>
      </c>
      <c r="J540" s="68">
        <v>0</v>
      </c>
    </row>
    <row r="541" spans="1:10">
      <c r="A541" s="66" t="s">
        <v>2049</v>
      </c>
      <c r="B541" s="66" t="s">
        <v>2050</v>
      </c>
      <c r="C541" s="68">
        <v>0</v>
      </c>
      <c r="D541" s="68">
        <v>0</v>
      </c>
      <c r="E541" s="68">
        <v>0</v>
      </c>
      <c r="F541" s="68">
        <v>0</v>
      </c>
      <c r="G541" s="68">
        <v>8757.52</v>
      </c>
      <c r="H541" s="68">
        <v>8757.52</v>
      </c>
      <c r="I541" s="68">
        <v>0</v>
      </c>
      <c r="J541" s="68">
        <v>0</v>
      </c>
    </row>
    <row r="542" spans="1:10">
      <c r="A542" s="66" t="s">
        <v>2051</v>
      </c>
      <c r="B542" s="66" t="s">
        <v>2052</v>
      </c>
      <c r="C542" s="68">
        <v>0</v>
      </c>
      <c r="D542" s="68">
        <v>0</v>
      </c>
      <c r="E542" s="68">
        <v>0</v>
      </c>
      <c r="F542" s="68">
        <v>0</v>
      </c>
      <c r="G542" s="68">
        <v>264422.52</v>
      </c>
      <c r="H542" s="68">
        <v>264422.52</v>
      </c>
      <c r="I542" s="68">
        <v>0</v>
      </c>
      <c r="J542" s="68">
        <v>0</v>
      </c>
    </row>
    <row r="543" spans="1:10">
      <c r="A543" s="66" t="s">
        <v>2053</v>
      </c>
      <c r="B543" s="66" t="s">
        <v>2054</v>
      </c>
      <c r="C543" s="68">
        <v>0</v>
      </c>
      <c r="D543" s="68">
        <v>0</v>
      </c>
      <c r="E543" s="68">
        <v>0</v>
      </c>
      <c r="F543" s="68">
        <v>0</v>
      </c>
      <c r="G543" s="68">
        <v>3094.04</v>
      </c>
      <c r="H543" s="68">
        <v>3094.04</v>
      </c>
      <c r="I543" s="68">
        <v>0</v>
      </c>
      <c r="J543" s="68">
        <v>0</v>
      </c>
    </row>
    <row r="544" spans="1:10">
      <c r="A544" s="66" t="s">
        <v>2055</v>
      </c>
      <c r="B544" s="66" t="s">
        <v>2056</v>
      </c>
      <c r="C544" s="68">
        <v>0</v>
      </c>
      <c r="D544" s="68">
        <v>0</v>
      </c>
      <c r="E544" s="68">
        <v>0</v>
      </c>
      <c r="F544" s="68">
        <v>0</v>
      </c>
      <c r="G544" s="68">
        <v>7414.19</v>
      </c>
      <c r="H544" s="68">
        <v>7414.19</v>
      </c>
      <c r="I544" s="68">
        <v>0</v>
      </c>
      <c r="J544" s="68">
        <v>0</v>
      </c>
    </row>
    <row r="545" spans="1:10">
      <c r="A545" s="66" t="s">
        <v>2057</v>
      </c>
      <c r="B545" s="66" t="s">
        <v>2058</v>
      </c>
      <c r="C545" s="68">
        <v>0</v>
      </c>
      <c r="D545" s="68">
        <v>0</v>
      </c>
      <c r="E545" s="68">
        <v>0</v>
      </c>
      <c r="F545" s="68">
        <v>0</v>
      </c>
      <c r="G545" s="68">
        <v>1642</v>
      </c>
      <c r="H545" s="68">
        <v>1642</v>
      </c>
      <c r="I545" s="68">
        <v>0</v>
      </c>
      <c r="J545" s="68">
        <v>0</v>
      </c>
    </row>
    <row r="546" spans="1:10">
      <c r="A546" s="66" t="s">
        <v>2059</v>
      </c>
      <c r="B546" s="66" t="s">
        <v>2060</v>
      </c>
      <c r="C546" s="68">
        <v>0</v>
      </c>
      <c r="D546" s="68">
        <v>0</v>
      </c>
      <c r="E546" s="68">
        <v>0</v>
      </c>
      <c r="F546" s="68">
        <v>0</v>
      </c>
      <c r="G546" s="68">
        <v>55358.12</v>
      </c>
      <c r="H546" s="68">
        <v>55358.12</v>
      </c>
      <c r="I546" s="68">
        <v>0</v>
      </c>
      <c r="J546" s="68">
        <v>0</v>
      </c>
    </row>
    <row r="547" spans="1:10">
      <c r="A547" s="66" t="s">
        <v>2061</v>
      </c>
      <c r="B547" s="66" t="s">
        <v>2062</v>
      </c>
      <c r="C547" s="68">
        <v>0</v>
      </c>
      <c r="D547" s="68">
        <v>8610</v>
      </c>
      <c r="E547" s="68">
        <v>0</v>
      </c>
      <c r="F547" s="68">
        <v>0</v>
      </c>
      <c r="G547" s="68">
        <v>8610</v>
      </c>
      <c r="H547" s="68">
        <v>8610</v>
      </c>
      <c r="I547" s="68">
        <v>0</v>
      </c>
      <c r="J547" s="68">
        <v>0</v>
      </c>
    </row>
    <row r="548" spans="1:10">
      <c r="A548" s="66" t="s">
        <v>2063</v>
      </c>
      <c r="B548" s="66" t="s">
        <v>2064</v>
      </c>
      <c r="C548" s="68">
        <v>0</v>
      </c>
      <c r="D548" s="68">
        <v>0</v>
      </c>
      <c r="E548" s="68">
        <v>0</v>
      </c>
      <c r="F548" s="68">
        <v>0</v>
      </c>
      <c r="G548" s="68">
        <v>3690</v>
      </c>
      <c r="H548" s="68">
        <v>3690</v>
      </c>
      <c r="I548" s="68">
        <v>0</v>
      </c>
      <c r="J548" s="68">
        <v>0</v>
      </c>
    </row>
    <row r="549" spans="1:10">
      <c r="A549" s="66" t="s">
        <v>2065</v>
      </c>
      <c r="B549" s="66" t="s">
        <v>2066</v>
      </c>
      <c r="C549" s="68">
        <v>0</v>
      </c>
      <c r="D549" s="68">
        <v>0</v>
      </c>
      <c r="E549" s="68">
        <v>0</v>
      </c>
      <c r="F549" s="68">
        <v>0</v>
      </c>
      <c r="G549" s="68">
        <v>780</v>
      </c>
      <c r="H549" s="68">
        <v>780</v>
      </c>
      <c r="I549" s="68">
        <v>0</v>
      </c>
      <c r="J549" s="68">
        <v>0</v>
      </c>
    </row>
    <row r="550" spans="1:10">
      <c r="A550" s="66" t="s">
        <v>2067</v>
      </c>
      <c r="B550" s="66" t="s">
        <v>2068</v>
      </c>
      <c r="C550" s="68">
        <v>0</v>
      </c>
      <c r="D550" s="68">
        <v>0</v>
      </c>
      <c r="E550" s="68">
        <v>1156323.6200000001</v>
      </c>
      <c r="F550" s="68">
        <v>173089.53000000026</v>
      </c>
      <c r="G550" s="68">
        <v>6498465.8399999999</v>
      </c>
      <c r="H550" s="68">
        <v>6877924.2800000003</v>
      </c>
      <c r="I550" s="68">
        <v>0</v>
      </c>
      <c r="J550" s="68">
        <v>379458.44000000041</v>
      </c>
    </row>
    <row r="551" spans="1:10">
      <c r="A551" s="66" t="s">
        <v>2069</v>
      </c>
      <c r="B551" s="66" t="s">
        <v>2070</v>
      </c>
      <c r="C551" s="68">
        <v>0</v>
      </c>
      <c r="D551" s="68">
        <v>0</v>
      </c>
      <c r="E551" s="68">
        <v>0</v>
      </c>
      <c r="F551" s="68">
        <v>0</v>
      </c>
      <c r="G551" s="68">
        <v>8425.4399999999987</v>
      </c>
      <c r="H551" s="68">
        <v>8425.4399999999987</v>
      </c>
      <c r="I551" s="68">
        <v>0</v>
      </c>
      <c r="J551" s="68">
        <v>0</v>
      </c>
    </row>
    <row r="552" spans="1:10">
      <c r="A552" s="66" t="s">
        <v>2071</v>
      </c>
      <c r="B552" s="66" t="s">
        <v>2072</v>
      </c>
      <c r="C552" s="68">
        <v>0</v>
      </c>
      <c r="D552" s="68">
        <v>0</v>
      </c>
      <c r="E552" s="68">
        <v>0</v>
      </c>
      <c r="F552" s="68">
        <v>0</v>
      </c>
      <c r="G552" s="68">
        <v>6339</v>
      </c>
      <c r="H552" s="68">
        <v>6339</v>
      </c>
      <c r="I552" s="68">
        <v>0</v>
      </c>
      <c r="J552" s="68">
        <v>0</v>
      </c>
    </row>
    <row r="553" spans="1:10">
      <c r="A553" s="66" t="s">
        <v>2073</v>
      </c>
      <c r="B553" s="66" t="s">
        <v>2074</v>
      </c>
      <c r="C553" s="68">
        <v>0</v>
      </c>
      <c r="D553" s="68">
        <v>0</v>
      </c>
      <c r="E553" s="68">
        <v>0</v>
      </c>
      <c r="F553" s="68">
        <v>0</v>
      </c>
      <c r="G553" s="68">
        <v>1783.5</v>
      </c>
      <c r="H553" s="68">
        <v>1783.5</v>
      </c>
      <c r="I553" s="68">
        <v>0</v>
      </c>
      <c r="J553" s="68">
        <v>0</v>
      </c>
    </row>
    <row r="554" spans="1:10">
      <c r="A554" s="66" t="s">
        <v>2075</v>
      </c>
      <c r="B554" s="66" t="s">
        <v>2076</v>
      </c>
      <c r="C554" s="68">
        <v>0</v>
      </c>
      <c r="D554" s="68">
        <v>0</v>
      </c>
      <c r="E554" s="68">
        <v>0</v>
      </c>
      <c r="F554" s="68">
        <v>0</v>
      </c>
      <c r="G554" s="68">
        <v>527.38</v>
      </c>
      <c r="H554" s="68">
        <v>527.38</v>
      </c>
      <c r="I554" s="68">
        <v>0</v>
      </c>
      <c r="J554" s="68">
        <v>0</v>
      </c>
    </row>
    <row r="555" spans="1:10">
      <c r="A555" s="66" t="s">
        <v>2077</v>
      </c>
      <c r="B555" s="66" t="s">
        <v>2078</v>
      </c>
      <c r="C555" s="68">
        <v>0</v>
      </c>
      <c r="D555" s="68">
        <v>0</v>
      </c>
      <c r="E555" s="68">
        <v>0</v>
      </c>
      <c r="F555" s="68">
        <v>0</v>
      </c>
      <c r="G555" s="68">
        <v>575.1</v>
      </c>
      <c r="H555" s="68">
        <v>575.1</v>
      </c>
      <c r="I555" s="68">
        <v>0</v>
      </c>
      <c r="J555" s="68">
        <v>0</v>
      </c>
    </row>
    <row r="556" spans="1:10">
      <c r="A556" s="66" t="s">
        <v>2079</v>
      </c>
      <c r="B556" s="66" t="s">
        <v>2080</v>
      </c>
      <c r="C556" s="68">
        <v>0</v>
      </c>
      <c r="D556" s="68">
        <v>0</v>
      </c>
      <c r="E556" s="68">
        <v>0</v>
      </c>
      <c r="F556" s="68">
        <v>0</v>
      </c>
      <c r="G556" s="68">
        <v>6299.7099999999991</v>
      </c>
      <c r="H556" s="68">
        <v>6299.71</v>
      </c>
      <c r="I556" s="68">
        <v>0</v>
      </c>
      <c r="J556" s="68">
        <v>9.0949470177292824E-13</v>
      </c>
    </row>
    <row r="557" spans="1:10">
      <c r="A557" s="66" t="s">
        <v>2081</v>
      </c>
      <c r="B557" s="66" t="s">
        <v>2082</v>
      </c>
      <c r="C557" s="68">
        <v>0</v>
      </c>
      <c r="D557" s="68">
        <v>0</v>
      </c>
      <c r="E557" s="68">
        <v>0</v>
      </c>
      <c r="F557" s="68">
        <v>0</v>
      </c>
      <c r="G557" s="68">
        <v>2259.9899999999998</v>
      </c>
      <c r="H557" s="68">
        <v>2259.9899999999998</v>
      </c>
      <c r="I557" s="68">
        <v>0</v>
      </c>
      <c r="J557" s="68">
        <v>0</v>
      </c>
    </row>
    <row r="558" spans="1:10">
      <c r="A558" s="66" t="s">
        <v>2083</v>
      </c>
      <c r="B558" s="66" t="s">
        <v>2084</v>
      </c>
      <c r="C558" s="68">
        <v>0</v>
      </c>
      <c r="D558" s="68">
        <v>0</v>
      </c>
      <c r="E558" s="68">
        <v>22226.100000000006</v>
      </c>
      <c r="F558" s="68">
        <v>1482.1499999999942</v>
      </c>
      <c r="G558" s="68">
        <v>73895.94</v>
      </c>
      <c r="H558" s="68">
        <v>74240.34</v>
      </c>
      <c r="I558" s="68">
        <v>0</v>
      </c>
      <c r="J558" s="68">
        <v>344.39999999999418</v>
      </c>
    </row>
    <row r="559" spans="1:10">
      <c r="A559" s="66" t="s">
        <v>2085</v>
      </c>
      <c r="B559" s="66" t="s">
        <v>2086</v>
      </c>
      <c r="C559" s="68">
        <v>0</v>
      </c>
      <c r="D559" s="68">
        <v>0</v>
      </c>
      <c r="E559" s="68">
        <v>0</v>
      </c>
      <c r="F559" s="68">
        <v>0</v>
      </c>
      <c r="G559" s="68">
        <v>7198.99</v>
      </c>
      <c r="H559" s="68">
        <v>7198.99</v>
      </c>
      <c r="I559" s="68">
        <v>0</v>
      </c>
      <c r="J559" s="68">
        <v>0</v>
      </c>
    </row>
    <row r="560" spans="1:10">
      <c r="A560" s="66" t="s">
        <v>2087</v>
      </c>
      <c r="B560" s="66" t="s">
        <v>2088</v>
      </c>
      <c r="C560" s="68">
        <v>0</v>
      </c>
      <c r="D560" s="68">
        <v>0</v>
      </c>
      <c r="E560" s="68">
        <v>0</v>
      </c>
      <c r="F560" s="68">
        <v>0</v>
      </c>
      <c r="G560" s="68">
        <v>10528.800000000001</v>
      </c>
      <c r="H560" s="68">
        <v>10528.800000000001</v>
      </c>
      <c r="I560" s="68">
        <v>0</v>
      </c>
      <c r="J560" s="68">
        <v>0</v>
      </c>
    </row>
    <row r="561" spans="1:10">
      <c r="A561" s="66" t="s">
        <v>2089</v>
      </c>
      <c r="B561" s="66" t="s">
        <v>2090</v>
      </c>
      <c r="C561" s="68">
        <v>0</v>
      </c>
      <c r="D561" s="68">
        <v>0</v>
      </c>
      <c r="E561" s="68">
        <v>0</v>
      </c>
      <c r="F561" s="68">
        <v>0</v>
      </c>
      <c r="G561" s="68">
        <v>2767.5</v>
      </c>
      <c r="H561" s="68">
        <v>2767.5</v>
      </c>
      <c r="I561" s="68">
        <v>0</v>
      </c>
      <c r="J561" s="68">
        <v>0</v>
      </c>
    </row>
    <row r="562" spans="1:10">
      <c r="A562" s="66" t="s">
        <v>2091</v>
      </c>
      <c r="B562" s="66" t="s">
        <v>2092</v>
      </c>
      <c r="C562" s="68">
        <v>0</v>
      </c>
      <c r="D562" s="68">
        <v>0</v>
      </c>
      <c r="E562" s="68">
        <v>0</v>
      </c>
      <c r="F562" s="68">
        <v>0</v>
      </c>
      <c r="G562" s="68">
        <v>264541.28000000003</v>
      </c>
      <c r="H562" s="68">
        <v>264541.28000000003</v>
      </c>
      <c r="I562" s="68">
        <v>0</v>
      </c>
      <c r="J562" s="68">
        <v>0</v>
      </c>
    </row>
    <row r="563" spans="1:10">
      <c r="A563" s="66" t="s">
        <v>2093</v>
      </c>
      <c r="B563" s="66" t="s">
        <v>2094</v>
      </c>
      <c r="C563" s="68">
        <v>0</v>
      </c>
      <c r="D563" s="68">
        <v>0</v>
      </c>
      <c r="E563" s="68">
        <v>0</v>
      </c>
      <c r="F563" s="68">
        <v>0</v>
      </c>
      <c r="G563" s="68">
        <v>194487.59999999998</v>
      </c>
      <c r="H563" s="68">
        <v>194487.59999999998</v>
      </c>
      <c r="I563" s="68">
        <v>0</v>
      </c>
      <c r="J563" s="68">
        <v>0</v>
      </c>
    </row>
    <row r="564" spans="1:10">
      <c r="A564" s="66" t="s">
        <v>2095</v>
      </c>
      <c r="B564" s="66" t="s">
        <v>2096</v>
      </c>
      <c r="C564" s="68">
        <v>0</v>
      </c>
      <c r="D564" s="68">
        <v>0</v>
      </c>
      <c r="E564" s="68">
        <v>0</v>
      </c>
      <c r="F564" s="68">
        <v>0</v>
      </c>
      <c r="G564" s="68">
        <v>6505.47</v>
      </c>
      <c r="H564" s="68">
        <v>6505.47</v>
      </c>
      <c r="I564" s="68">
        <v>0</v>
      </c>
      <c r="J564" s="68">
        <v>0</v>
      </c>
    </row>
    <row r="565" spans="1:10">
      <c r="A565" s="66" t="s">
        <v>2097</v>
      </c>
      <c r="B565" s="66" t="s">
        <v>2098</v>
      </c>
      <c r="C565" s="68">
        <v>0</v>
      </c>
      <c r="D565" s="68">
        <v>0</v>
      </c>
      <c r="E565" s="68">
        <v>0</v>
      </c>
      <c r="F565" s="68">
        <v>0</v>
      </c>
      <c r="G565" s="68">
        <v>984.39</v>
      </c>
      <c r="H565" s="68">
        <v>984.39</v>
      </c>
      <c r="I565" s="68">
        <v>0</v>
      </c>
      <c r="J565" s="68">
        <v>0</v>
      </c>
    </row>
    <row r="566" spans="1:10">
      <c r="A566" s="66" t="s">
        <v>2099</v>
      </c>
      <c r="B566" s="66" t="s">
        <v>2100</v>
      </c>
      <c r="C566" s="68">
        <v>0</v>
      </c>
      <c r="D566" s="68">
        <v>0</v>
      </c>
      <c r="E566" s="68">
        <v>0</v>
      </c>
      <c r="F566" s="68">
        <v>0</v>
      </c>
      <c r="G566" s="68">
        <v>1087.32</v>
      </c>
      <c r="H566" s="68">
        <v>1087.32</v>
      </c>
      <c r="I566" s="68">
        <v>0</v>
      </c>
      <c r="J566" s="68">
        <v>0</v>
      </c>
    </row>
    <row r="567" spans="1:10">
      <c r="A567" s="66" t="s">
        <v>2101</v>
      </c>
      <c r="B567" s="66" t="s">
        <v>2102</v>
      </c>
      <c r="C567" s="68">
        <v>0</v>
      </c>
      <c r="D567" s="68">
        <v>0</v>
      </c>
      <c r="E567" s="68">
        <v>0</v>
      </c>
      <c r="F567" s="68">
        <v>0</v>
      </c>
      <c r="G567" s="68">
        <v>1832.7</v>
      </c>
      <c r="H567" s="68">
        <v>1832.7</v>
      </c>
      <c r="I567" s="68">
        <v>0</v>
      </c>
      <c r="J567" s="68">
        <v>0</v>
      </c>
    </row>
    <row r="568" spans="1:10">
      <c r="A568" s="66" t="s">
        <v>2103</v>
      </c>
      <c r="B568" s="66" t="s">
        <v>2104</v>
      </c>
      <c r="C568" s="68">
        <v>0</v>
      </c>
      <c r="D568" s="68">
        <v>0</v>
      </c>
      <c r="E568" s="68">
        <v>0</v>
      </c>
      <c r="F568" s="68">
        <v>0</v>
      </c>
      <c r="G568" s="68">
        <v>32908.65</v>
      </c>
      <c r="H568" s="68">
        <v>32908.65</v>
      </c>
      <c r="I568" s="68">
        <v>0</v>
      </c>
      <c r="J568" s="68">
        <v>0</v>
      </c>
    </row>
    <row r="569" spans="1:10">
      <c r="A569" s="66" t="s">
        <v>2105</v>
      </c>
      <c r="B569" s="66" t="s">
        <v>2106</v>
      </c>
      <c r="C569" s="68">
        <v>0</v>
      </c>
      <c r="D569" s="68">
        <v>0</v>
      </c>
      <c r="E569" s="68">
        <v>0</v>
      </c>
      <c r="F569" s="68">
        <v>0</v>
      </c>
      <c r="G569" s="68">
        <v>4460.8700000000008</v>
      </c>
      <c r="H569" s="68">
        <v>4460.8700000000008</v>
      </c>
      <c r="I569" s="68">
        <v>0</v>
      </c>
      <c r="J569" s="68">
        <v>0</v>
      </c>
    </row>
    <row r="570" spans="1:10">
      <c r="A570" s="66" t="s">
        <v>2107</v>
      </c>
      <c r="B570" s="66" t="s">
        <v>2108</v>
      </c>
      <c r="C570" s="68">
        <v>0</v>
      </c>
      <c r="D570" s="68">
        <v>0</v>
      </c>
      <c r="E570" s="68">
        <v>0</v>
      </c>
      <c r="F570" s="68">
        <v>0</v>
      </c>
      <c r="G570" s="68">
        <v>18015.34</v>
      </c>
      <c r="H570" s="68">
        <v>18015.34</v>
      </c>
      <c r="I570" s="68">
        <v>0</v>
      </c>
      <c r="J570" s="68">
        <v>0</v>
      </c>
    </row>
    <row r="571" spans="1:10">
      <c r="A571" s="66" t="s">
        <v>2109</v>
      </c>
      <c r="B571" s="66" t="s">
        <v>2110</v>
      </c>
      <c r="C571" s="68">
        <v>0</v>
      </c>
      <c r="D571" s="68">
        <v>0</v>
      </c>
      <c r="E571" s="68">
        <v>253.79999999999927</v>
      </c>
      <c r="F571" s="68">
        <v>716.04000000000087</v>
      </c>
      <c r="G571" s="68">
        <v>9343.5999999999985</v>
      </c>
      <c r="H571" s="68">
        <v>10059.64</v>
      </c>
      <c r="I571" s="68">
        <v>0</v>
      </c>
      <c r="J571" s="68">
        <v>716.04000000000087</v>
      </c>
    </row>
    <row r="572" spans="1:10">
      <c r="A572" s="66" t="s">
        <v>2111</v>
      </c>
      <c r="B572" s="66" t="s">
        <v>2112</v>
      </c>
      <c r="C572" s="68">
        <v>0</v>
      </c>
      <c r="D572" s="68">
        <v>0</v>
      </c>
      <c r="E572" s="68">
        <v>0</v>
      </c>
      <c r="F572" s="68">
        <v>0</v>
      </c>
      <c r="G572" s="68">
        <v>968.72</v>
      </c>
      <c r="H572" s="68">
        <v>968.72</v>
      </c>
      <c r="I572" s="68">
        <v>0</v>
      </c>
      <c r="J572" s="68">
        <v>0</v>
      </c>
    </row>
    <row r="573" spans="1:10">
      <c r="A573" s="66" t="s">
        <v>2113</v>
      </c>
      <c r="B573" s="66" t="s">
        <v>2114</v>
      </c>
      <c r="C573" s="68">
        <v>0</v>
      </c>
      <c r="D573" s="68">
        <v>0</v>
      </c>
      <c r="E573" s="68">
        <v>0</v>
      </c>
      <c r="F573" s="68">
        <v>0</v>
      </c>
      <c r="G573" s="68">
        <v>329.64</v>
      </c>
      <c r="H573" s="68">
        <v>329.64</v>
      </c>
      <c r="I573" s="68">
        <v>0</v>
      </c>
      <c r="J573" s="68">
        <v>0</v>
      </c>
    </row>
    <row r="574" spans="1:10">
      <c r="A574" s="66" t="s">
        <v>2115</v>
      </c>
      <c r="B574" s="66" t="s">
        <v>2116</v>
      </c>
      <c r="C574" s="68">
        <v>0</v>
      </c>
      <c r="D574" s="68">
        <v>0</v>
      </c>
      <c r="E574" s="68">
        <v>0</v>
      </c>
      <c r="F574" s="68">
        <v>0</v>
      </c>
      <c r="G574" s="68">
        <v>1180</v>
      </c>
      <c r="H574" s="68">
        <v>1180</v>
      </c>
      <c r="I574" s="68">
        <v>0</v>
      </c>
      <c r="J574" s="68">
        <v>0</v>
      </c>
    </row>
    <row r="575" spans="1:10">
      <c r="A575" s="66" t="s">
        <v>2117</v>
      </c>
      <c r="B575" s="66" t="s">
        <v>2118</v>
      </c>
      <c r="C575" s="68">
        <v>0</v>
      </c>
      <c r="D575" s="68">
        <v>0</v>
      </c>
      <c r="E575" s="68">
        <v>82143.730000000098</v>
      </c>
      <c r="F575" s="68">
        <v>0</v>
      </c>
      <c r="G575" s="68">
        <v>1111076.6000000001</v>
      </c>
      <c r="H575" s="68">
        <v>1111076.6000000001</v>
      </c>
      <c r="I575" s="68">
        <v>0</v>
      </c>
      <c r="J575" s="68">
        <v>0</v>
      </c>
    </row>
    <row r="576" spans="1:10">
      <c r="A576" s="66" t="s">
        <v>2119</v>
      </c>
      <c r="B576" s="66" t="s">
        <v>2120</v>
      </c>
      <c r="C576" s="68">
        <v>0</v>
      </c>
      <c r="D576" s="68">
        <v>0</v>
      </c>
      <c r="E576" s="68">
        <v>0</v>
      </c>
      <c r="F576" s="68">
        <v>0</v>
      </c>
      <c r="G576" s="68">
        <v>1226.93</v>
      </c>
      <c r="H576" s="68">
        <v>1226.93</v>
      </c>
      <c r="I576" s="68">
        <v>0</v>
      </c>
      <c r="J576" s="68">
        <v>0</v>
      </c>
    </row>
    <row r="577" spans="1:10">
      <c r="A577" s="66" t="s">
        <v>2121</v>
      </c>
      <c r="B577" s="66" t="s">
        <v>2122</v>
      </c>
      <c r="C577" s="68">
        <v>0</v>
      </c>
      <c r="D577" s="68">
        <v>0</v>
      </c>
      <c r="E577" s="68">
        <v>0</v>
      </c>
      <c r="F577" s="68">
        <v>0</v>
      </c>
      <c r="G577" s="68">
        <v>956.08</v>
      </c>
      <c r="H577" s="68">
        <v>956.08</v>
      </c>
      <c r="I577" s="68">
        <v>0</v>
      </c>
      <c r="J577" s="68">
        <v>0</v>
      </c>
    </row>
    <row r="578" spans="1:10">
      <c r="A578" s="66" t="s">
        <v>2123</v>
      </c>
      <c r="B578" s="66" t="s">
        <v>2124</v>
      </c>
      <c r="C578" s="68">
        <v>0</v>
      </c>
      <c r="D578" s="68">
        <v>0</v>
      </c>
      <c r="E578" s="68">
        <v>0</v>
      </c>
      <c r="F578" s="68">
        <v>0</v>
      </c>
      <c r="G578" s="68">
        <v>1133.8499999999999</v>
      </c>
      <c r="H578" s="68">
        <v>1133.8499999999999</v>
      </c>
      <c r="I578" s="68">
        <v>0</v>
      </c>
      <c r="J578" s="68">
        <v>0</v>
      </c>
    </row>
    <row r="579" spans="1:10">
      <c r="A579" s="66" t="s">
        <v>2125</v>
      </c>
      <c r="B579" s="66" t="s">
        <v>2126</v>
      </c>
      <c r="C579" s="68">
        <v>0</v>
      </c>
      <c r="D579" s="68">
        <v>0</v>
      </c>
      <c r="E579" s="68">
        <v>0</v>
      </c>
      <c r="F579" s="68">
        <v>0</v>
      </c>
      <c r="G579" s="68">
        <v>25971.09</v>
      </c>
      <c r="H579" s="68">
        <v>25971.09</v>
      </c>
      <c r="I579" s="68">
        <v>0</v>
      </c>
      <c r="J579" s="68">
        <v>0</v>
      </c>
    </row>
    <row r="580" spans="1:10">
      <c r="A580" s="66" t="s">
        <v>2127</v>
      </c>
      <c r="B580" s="66" t="s">
        <v>2128</v>
      </c>
      <c r="C580" s="68">
        <v>0</v>
      </c>
      <c r="D580" s="68">
        <v>0</v>
      </c>
      <c r="E580" s="68">
        <v>0</v>
      </c>
      <c r="F580" s="68">
        <v>0</v>
      </c>
      <c r="G580" s="68">
        <v>13130.25</v>
      </c>
      <c r="H580" s="68">
        <v>13130.25</v>
      </c>
      <c r="I580" s="68">
        <v>0</v>
      </c>
      <c r="J580" s="68">
        <v>0</v>
      </c>
    </row>
    <row r="581" spans="1:10">
      <c r="A581" s="66" t="s">
        <v>2129</v>
      </c>
      <c r="B581" s="66" t="s">
        <v>2130</v>
      </c>
      <c r="C581" s="68">
        <v>0</v>
      </c>
      <c r="D581" s="68">
        <v>0</v>
      </c>
      <c r="E581" s="68">
        <v>0</v>
      </c>
      <c r="F581" s="68">
        <v>0</v>
      </c>
      <c r="G581" s="68">
        <v>2103.3000000000002</v>
      </c>
      <c r="H581" s="68">
        <v>2103.3000000000002</v>
      </c>
      <c r="I581" s="68">
        <v>0</v>
      </c>
      <c r="J581" s="68">
        <v>0</v>
      </c>
    </row>
    <row r="582" spans="1:10">
      <c r="A582" s="66" t="s">
        <v>2131</v>
      </c>
      <c r="B582" s="66" t="s">
        <v>2132</v>
      </c>
      <c r="C582" s="68">
        <v>0</v>
      </c>
      <c r="D582" s="68">
        <v>0</v>
      </c>
      <c r="E582" s="68">
        <v>0</v>
      </c>
      <c r="F582" s="68">
        <v>0</v>
      </c>
      <c r="G582" s="68">
        <v>266.47000000000003</v>
      </c>
      <c r="H582" s="68">
        <v>266.47000000000003</v>
      </c>
      <c r="I582" s="68">
        <v>0</v>
      </c>
      <c r="J582" s="68">
        <v>0</v>
      </c>
    </row>
    <row r="583" spans="1:10">
      <c r="A583" s="66" t="s">
        <v>2133</v>
      </c>
      <c r="B583" s="66" t="s">
        <v>2134</v>
      </c>
      <c r="C583" s="68">
        <v>0</v>
      </c>
      <c r="D583" s="68">
        <v>0</v>
      </c>
      <c r="E583" s="68">
        <v>0</v>
      </c>
      <c r="F583" s="68">
        <v>0</v>
      </c>
      <c r="G583" s="68">
        <v>276.01</v>
      </c>
      <c r="H583" s="68">
        <v>276.01</v>
      </c>
      <c r="I583" s="68">
        <v>0</v>
      </c>
      <c r="J583" s="68">
        <v>0</v>
      </c>
    </row>
    <row r="584" spans="1:10">
      <c r="A584" s="66" t="s">
        <v>2135</v>
      </c>
      <c r="B584" s="66" t="s">
        <v>2136</v>
      </c>
      <c r="C584" s="68">
        <v>0</v>
      </c>
      <c r="D584" s="68">
        <v>0</v>
      </c>
      <c r="E584" s="68">
        <v>0</v>
      </c>
      <c r="F584" s="68">
        <v>0</v>
      </c>
      <c r="G584" s="68">
        <v>1012.45</v>
      </c>
      <c r="H584" s="68">
        <v>1012.45</v>
      </c>
      <c r="I584" s="68">
        <v>0</v>
      </c>
      <c r="J584" s="68">
        <v>0</v>
      </c>
    </row>
    <row r="585" spans="1:10">
      <c r="A585" s="66" t="s">
        <v>2137</v>
      </c>
      <c r="B585" s="66" t="s">
        <v>2138</v>
      </c>
      <c r="C585" s="68">
        <v>0</v>
      </c>
      <c r="D585" s="68">
        <v>0</v>
      </c>
      <c r="E585" s="68">
        <v>0</v>
      </c>
      <c r="F585" s="68">
        <v>0</v>
      </c>
      <c r="G585" s="68">
        <v>117.49</v>
      </c>
      <c r="H585" s="68">
        <v>117.49</v>
      </c>
      <c r="I585" s="68">
        <v>0</v>
      </c>
      <c r="J585" s="68">
        <v>0</v>
      </c>
    </row>
    <row r="586" spans="1:10">
      <c r="A586" s="66" t="s">
        <v>2139</v>
      </c>
      <c r="B586" s="66" t="s">
        <v>2140</v>
      </c>
      <c r="C586" s="68">
        <v>0</v>
      </c>
      <c r="D586" s="68">
        <v>0</v>
      </c>
      <c r="E586" s="68">
        <v>0</v>
      </c>
      <c r="F586" s="68">
        <v>0</v>
      </c>
      <c r="G586" s="68">
        <v>22819.329999999998</v>
      </c>
      <c r="H586" s="68">
        <v>22819.329999999998</v>
      </c>
      <c r="I586" s="68">
        <v>0</v>
      </c>
      <c r="J586" s="68">
        <v>0</v>
      </c>
    </row>
    <row r="587" spans="1:10">
      <c r="A587" s="66" t="s">
        <v>2141</v>
      </c>
      <c r="B587" s="66" t="s">
        <v>2142</v>
      </c>
      <c r="C587" s="68">
        <v>0</v>
      </c>
      <c r="D587" s="68">
        <v>0</v>
      </c>
      <c r="E587" s="68">
        <v>49200</v>
      </c>
      <c r="F587" s="68">
        <v>49200</v>
      </c>
      <c r="G587" s="68">
        <v>132288.53</v>
      </c>
      <c r="H587" s="68">
        <v>132288.53</v>
      </c>
      <c r="I587" s="68">
        <v>0</v>
      </c>
      <c r="J587" s="68">
        <v>0</v>
      </c>
    </row>
    <row r="588" spans="1:10">
      <c r="A588" s="66" t="s">
        <v>2143</v>
      </c>
      <c r="B588" s="66" t="s">
        <v>2144</v>
      </c>
      <c r="C588" s="68">
        <v>0</v>
      </c>
      <c r="D588" s="68">
        <v>0</v>
      </c>
      <c r="E588" s="68">
        <v>14391</v>
      </c>
      <c r="F588" s="68">
        <v>0</v>
      </c>
      <c r="G588" s="68">
        <v>26937</v>
      </c>
      <c r="H588" s="68">
        <v>26937</v>
      </c>
      <c r="I588" s="68">
        <v>0</v>
      </c>
      <c r="J588" s="68">
        <v>0</v>
      </c>
    </row>
    <row r="589" spans="1:10">
      <c r="A589" s="66" t="s">
        <v>2145</v>
      </c>
      <c r="B589" s="66" t="s">
        <v>2146</v>
      </c>
      <c r="C589" s="68">
        <v>0</v>
      </c>
      <c r="D589" s="68">
        <v>0</v>
      </c>
      <c r="E589" s="68">
        <v>0</v>
      </c>
      <c r="F589" s="68">
        <v>0</v>
      </c>
      <c r="G589" s="68">
        <v>37564.89</v>
      </c>
      <c r="H589" s="68">
        <v>37564.89</v>
      </c>
      <c r="I589" s="68">
        <v>0</v>
      </c>
      <c r="J589" s="68">
        <v>0</v>
      </c>
    </row>
    <row r="590" spans="1:10">
      <c r="A590" s="66" t="s">
        <v>2147</v>
      </c>
      <c r="B590" s="66" t="s">
        <v>2148</v>
      </c>
      <c r="C590" s="68">
        <v>0</v>
      </c>
      <c r="D590" s="68">
        <v>0</v>
      </c>
      <c r="E590" s="68">
        <v>92314.69</v>
      </c>
      <c r="F590" s="68">
        <v>92314.69</v>
      </c>
      <c r="G590" s="68">
        <v>110149.69</v>
      </c>
      <c r="H590" s="68">
        <v>110149.69</v>
      </c>
      <c r="I590" s="68">
        <v>0</v>
      </c>
      <c r="J590" s="68">
        <v>0</v>
      </c>
    </row>
    <row r="591" spans="1:10">
      <c r="A591" s="66" t="s">
        <v>2149</v>
      </c>
      <c r="B591" s="66" t="s">
        <v>2150</v>
      </c>
      <c r="C591" s="68">
        <v>0</v>
      </c>
      <c r="D591" s="68">
        <v>0</v>
      </c>
      <c r="E591" s="68">
        <v>3099.6000000000004</v>
      </c>
      <c r="F591" s="68">
        <v>0</v>
      </c>
      <c r="G591" s="68">
        <v>13579.2</v>
      </c>
      <c r="H591" s="68">
        <v>13579.2</v>
      </c>
      <c r="I591" s="68">
        <v>0</v>
      </c>
      <c r="J591" s="68">
        <v>0</v>
      </c>
    </row>
    <row r="592" spans="1:10">
      <c r="A592" s="66" t="s">
        <v>2151</v>
      </c>
      <c r="B592" s="66" t="s">
        <v>2152</v>
      </c>
      <c r="C592" s="68">
        <v>0</v>
      </c>
      <c r="D592" s="68">
        <v>0</v>
      </c>
      <c r="E592" s="68">
        <v>0</v>
      </c>
      <c r="F592" s="68">
        <v>0</v>
      </c>
      <c r="G592" s="68">
        <v>3500</v>
      </c>
      <c r="H592" s="68">
        <v>3500</v>
      </c>
      <c r="I592" s="68">
        <v>0</v>
      </c>
      <c r="J592" s="68">
        <v>0</v>
      </c>
    </row>
    <row r="593" spans="1:10">
      <c r="A593" s="66" t="s">
        <v>2153</v>
      </c>
      <c r="B593" s="66" t="s">
        <v>2154</v>
      </c>
      <c r="C593" s="68">
        <v>0</v>
      </c>
      <c r="D593" s="68">
        <v>0</v>
      </c>
      <c r="E593" s="68">
        <v>0</v>
      </c>
      <c r="F593" s="68">
        <v>0</v>
      </c>
      <c r="G593" s="68">
        <v>12619.8</v>
      </c>
      <c r="H593" s="68">
        <v>12619.8</v>
      </c>
      <c r="I593" s="68">
        <v>0</v>
      </c>
      <c r="J593" s="68">
        <v>0</v>
      </c>
    </row>
    <row r="594" spans="1:10">
      <c r="A594" s="66" t="s">
        <v>2155</v>
      </c>
      <c r="B594" s="66" t="s">
        <v>2156</v>
      </c>
      <c r="C594" s="68">
        <v>0</v>
      </c>
      <c r="D594" s="68">
        <v>0</v>
      </c>
      <c r="E594" s="68">
        <v>0</v>
      </c>
      <c r="F594" s="68">
        <v>0</v>
      </c>
      <c r="G594" s="68">
        <v>4228.78</v>
      </c>
      <c r="H594" s="68">
        <v>4228.78</v>
      </c>
      <c r="I594" s="68">
        <v>0</v>
      </c>
      <c r="J594" s="68">
        <v>0</v>
      </c>
    </row>
    <row r="595" spans="1:10">
      <c r="A595" s="66" t="s">
        <v>2157</v>
      </c>
      <c r="B595" s="66" t="s">
        <v>2158</v>
      </c>
      <c r="C595" s="68">
        <v>0</v>
      </c>
      <c r="D595" s="68">
        <v>0</v>
      </c>
      <c r="E595" s="68">
        <v>0</v>
      </c>
      <c r="F595" s="68">
        <v>0</v>
      </c>
      <c r="G595" s="68">
        <v>10520.19</v>
      </c>
      <c r="H595" s="68">
        <v>10520.19</v>
      </c>
      <c r="I595" s="68">
        <v>0</v>
      </c>
      <c r="J595" s="68">
        <v>0</v>
      </c>
    </row>
    <row r="596" spans="1:10">
      <c r="A596" s="66" t="s">
        <v>2159</v>
      </c>
      <c r="B596" s="66" t="s">
        <v>2160</v>
      </c>
      <c r="C596" s="68">
        <v>0</v>
      </c>
      <c r="D596" s="68">
        <v>0</v>
      </c>
      <c r="E596" s="68">
        <v>0</v>
      </c>
      <c r="F596" s="68">
        <v>0</v>
      </c>
      <c r="G596" s="68">
        <v>2114.37</v>
      </c>
      <c r="H596" s="68">
        <v>2114.37</v>
      </c>
      <c r="I596" s="68">
        <v>0</v>
      </c>
      <c r="J596" s="68">
        <v>0</v>
      </c>
    </row>
    <row r="597" spans="1:10">
      <c r="A597" s="66" t="s">
        <v>2161</v>
      </c>
      <c r="B597" s="66" t="s">
        <v>2162</v>
      </c>
      <c r="C597" s="68">
        <v>0</v>
      </c>
      <c r="D597" s="68">
        <v>0</v>
      </c>
      <c r="E597" s="68">
        <v>0</v>
      </c>
      <c r="F597" s="68">
        <v>0</v>
      </c>
      <c r="G597" s="68">
        <v>10242.210000000001</v>
      </c>
      <c r="H597" s="68">
        <v>10242.210000000001</v>
      </c>
      <c r="I597" s="68">
        <v>0</v>
      </c>
      <c r="J597" s="68">
        <v>0</v>
      </c>
    </row>
    <row r="598" spans="1:10">
      <c r="A598" s="66" t="s">
        <v>2163</v>
      </c>
      <c r="B598" s="66" t="s">
        <v>2164</v>
      </c>
      <c r="C598" s="68">
        <v>0</v>
      </c>
      <c r="D598" s="68">
        <v>0</v>
      </c>
      <c r="E598" s="68">
        <v>0</v>
      </c>
      <c r="F598" s="68">
        <v>0</v>
      </c>
      <c r="G598" s="68">
        <v>36</v>
      </c>
      <c r="H598" s="68">
        <v>36</v>
      </c>
      <c r="I598" s="68">
        <v>0</v>
      </c>
      <c r="J598" s="68">
        <v>0</v>
      </c>
    </row>
    <row r="599" spans="1:10">
      <c r="A599" s="66" t="s">
        <v>2165</v>
      </c>
      <c r="B599" s="66" t="s">
        <v>2166</v>
      </c>
      <c r="C599" s="68">
        <v>0</v>
      </c>
      <c r="D599" s="68">
        <v>0</v>
      </c>
      <c r="E599" s="68">
        <v>0</v>
      </c>
      <c r="F599" s="68">
        <v>0</v>
      </c>
      <c r="G599" s="68">
        <v>231.08</v>
      </c>
      <c r="H599" s="68">
        <v>231.08</v>
      </c>
      <c r="I599" s="68">
        <v>0</v>
      </c>
      <c r="J599" s="68">
        <v>0</v>
      </c>
    </row>
    <row r="600" spans="1:10">
      <c r="A600" s="66" t="s">
        <v>2167</v>
      </c>
      <c r="B600" s="66" t="s">
        <v>2168</v>
      </c>
      <c r="C600" s="68">
        <v>0</v>
      </c>
      <c r="D600" s="68">
        <v>0</v>
      </c>
      <c r="E600" s="68">
        <v>0</v>
      </c>
      <c r="F600" s="68">
        <v>0</v>
      </c>
      <c r="G600" s="68">
        <v>1492.24</v>
      </c>
      <c r="H600" s="68">
        <v>1492.24</v>
      </c>
      <c r="I600" s="68">
        <v>0</v>
      </c>
      <c r="J600" s="68">
        <v>0</v>
      </c>
    </row>
    <row r="601" spans="1:10">
      <c r="A601" s="66" t="s">
        <v>2169</v>
      </c>
      <c r="B601" s="66" t="s">
        <v>2170</v>
      </c>
      <c r="C601" s="68">
        <v>0</v>
      </c>
      <c r="D601" s="68">
        <v>0</v>
      </c>
      <c r="E601" s="68">
        <v>0</v>
      </c>
      <c r="F601" s="68">
        <v>0</v>
      </c>
      <c r="G601" s="68">
        <v>25215</v>
      </c>
      <c r="H601" s="68">
        <v>25215</v>
      </c>
      <c r="I601" s="68">
        <v>0</v>
      </c>
      <c r="J601" s="68">
        <v>0</v>
      </c>
    </row>
    <row r="602" spans="1:10">
      <c r="A602" s="66" t="s">
        <v>2171</v>
      </c>
      <c r="B602" s="66" t="s">
        <v>2172</v>
      </c>
      <c r="C602" s="68">
        <v>0</v>
      </c>
      <c r="D602" s="68">
        <v>0</v>
      </c>
      <c r="E602" s="68">
        <v>0</v>
      </c>
      <c r="F602" s="68">
        <v>0</v>
      </c>
      <c r="G602" s="68">
        <v>148.82999999999998</v>
      </c>
      <c r="H602" s="68">
        <v>148.82999999999998</v>
      </c>
      <c r="I602" s="68">
        <v>0</v>
      </c>
      <c r="J602" s="68">
        <v>0</v>
      </c>
    </row>
    <row r="603" spans="1:10">
      <c r="A603" s="66" t="s">
        <v>2173</v>
      </c>
      <c r="B603" s="66" t="s">
        <v>2174</v>
      </c>
      <c r="C603" s="68">
        <v>0</v>
      </c>
      <c r="D603" s="68">
        <v>0</v>
      </c>
      <c r="E603" s="68">
        <v>0</v>
      </c>
      <c r="F603" s="68">
        <v>0</v>
      </c>
      <c r="G603" s="68">
        <v>1308.72</v>
      </c>
      <c r="H603" s="68">
        <v>1308.72</v>
      </c>
      <c r="I603" s="68">
        <v>0</v>
      </c>
      <c r="J603" s="68">
        <v>0</v>
      </c>
    </row>
    <row r="604" spans="1:10">
      <c r="A604" s="66" t="s">
        <v>2175</v>
      </c>
      <c r="B604" s="66" t="s">
        <v>2176</v>
      </c>
      <c r="C604" s="68">
        <v>0</v>
      </c>
      <c r="D604" s="68">
        <v>0</v>
      </c>
      <c r="E604" s="68">
        <v>0</v>
      </c>
      <c r="F604" s="68">
        <v>0</v>
      </c>
      <c r="G604" s="68">
        <v>81032.399999999994</v>
      </c>
      <c r="H604" s="68">
        <v>81032.399999999994</v>
      </c>
      <c r="I604" s="68">
        <v>0</v>
      </c>
      <c r="J604" s="68">
        <v>0</v>
      </c>
    </row>
    <row r="605" spans="1:10">
      <c r="A605" s="66" t="s">
        <v>2177</v>
      </c>
      <c r="B605" s="66" t="s">
        <v>2178</v>
      </c>
      <c r="C605" s="68">
        <v>0</v>
      </c>
      <c r="D605" s="68">
        <v>0</v>
      </c>
      <c r="E605" s="68">
        <v>0</v>
      </c>
      <c r="F605" s="68">
        <v>0</v>
      </c>
      <c r="G605" s="68">
        <v>1832.7</v>
      </c>
      <c r="H605" s="68">
        <v>1832.7</v>
      </c>
      <c r="I605" s="68">
        <v>0</v>
      </c>
      <c r="J605" s="68">
        <v>0</v>
      </c>
    </row>
    <row r="606" spans="1:10">
      <c r="A606" s="66" t="s">
        <v>2179</v>
      </c>
      <c r="B606" s="66" t="s">
        <v>2180</v>
      </c>
      <c r="C606" s="68">
        <v>0</v>
      </c>
      <c r="D606" s="68">
        <v>0</v>
      </c>
      <c r="E606" s="68">
        <v>0</v>
      </c>
      <c r="F606" s="68">
        <v>0</v>
      </c>
      <c r="G606" s="68">
        <v>1107</v>
      </c>
      <c r="H606" s="68">
        <v>1107</v>
      </c>
      <c r="I606" s="68">
        <v>0</v>
      </c>
      <c r="J606" s="68">
        <v>0</v>
      </c>
    </row>
    <row r="607" spans="1:10">
      <c r="A607" s="66" t="s">
        <v>2181</v>
      </c>
      <c r="B607" s="66" t="s">
        <v>2182</v>
      </c>
      <c r="C607" s="68">
        <v>0</v>
      </c>
      <c r="D607" s="68">
        <v>0</v>
      </c>
      <c r="E607" s="68">
        <v>0</v>
      </c>
      <c r="F607" s="68">
        <v>0</v>
      </c>
      <c r="G607" s="68">
        <v>3025.8</v>
      </c>
      <c r="H607" s="68">
        <v>3025.8</v>
      </c>
      <c r="I607" s="68">
        <v>0</v>
      </c>
      <c r="J607" s="68">
        <v>0</v>
      </c>
    </row>
    <row r="608" spans="1:10">
      <c r="A608" s="66" t="s">
        <v>2183</v>
      </c>
      <c r="B608" s="66" t="s">
        <v>2184</v>
      </c>
      <c r="C608" s="68">
        <v>0</v>
      </c>
      <c r="D608" s="68">
        <v>0</v>
      </c>
      <c r="E608" s="68">
        <v>0</v>
      </c>
      <c r="F608" s="68">
        <v>0</v>
      </c>
      <c r="G608" s="68">
        <v>984</v>
      </c>
      <c r="H608" s="68">
        <v>984</v>
      </c>
      <c r="I608" s="68">
        <v>0</v>
      </c>
      <c r="J608" s="68">
        <v>0</v>
      </c>
    </row>
    <row r="609" spans="1:10">
      <c r="A609" s="66" t="s">
        <v>2185</v>
      </c>
      <c r="B609" s="66" t="s">
        <v>2186</v>
      </c>
      <c r="C609" s="68">
        <v>0</v>
      </c>
      <c r="D609" s="68">
        <v>0</v>
      </c>
      <c r="E609" s="68">
        <v>0</v>
      </c>
      <c r="F609" s="68">
        <v>0</v>
      </c>
      <c r="G609" s="68">
        <v>738</v>
      </c>
      <c r="H609" s="68">
        <v>738</v>
      </c>
      <c r="I609" s="68">
        <v>0</v>
      </c>
      <c r="J609" s="68">
        <v>0</v>
      </c>
    </row>
    <row r="610" spans="1:10">
      <c r="A610" s="66" t="s">
        <v>2187</v>
      </c>
      <c r="B610" s="66" t="s">
        <v>2188</v>
      </c>
      <c r="C610" s="68">
        <v>0</v>
      </c>
      <c r="D610" s="68">
        <v>0</v>
      </c>
      <c r="E610" s="68">
        <v>984</v>
      </c>
      <c r="F610" s="68">
        <v>984</v>
      </c>
      <c r="G610" s="68">
        <v>3382.5</v>
      </c>
      <c r="H610" s="68">
        <v>3382.5</v>
      </c>
      <c r="I610" s="68">
        <v>0</v>
      </c>
      <c r="J610" s="68">
        <v>0</v>
      </c>
    </row>
    <row r="611" spans="1:10">
      <c r="A611" s="66" t="s">
        <v>2189</v>
      </c>
      <c r="B611" s="66" t="s">
        <v>2190</v>
      </c>
      <c r="C611" s="68">
        <v>0</v>
      </c>
      <c r="D611" s="68">
        <v>0</v>
      </c>
      <c r="E611" s="68">
        <v>0</v>
      </c>
      <c r="F611" s="68">
        <v>0</v>
      </c>
      <c r="G611" s="68">
        <v>2952</v>
      </c>
      <c r="H611" s="68">
        <v>2952</v>
      </c>
      <c r="I611" s="68">
        <v>0</v>
      </c>
      <c r="J611" s="68">
        <v>0</v>
      </c>
    </row>
    <row r="612" spans="1:10">
      <c r="A612" s="66" t="s">
        <v>2191</v>
      </c>
      <c r="B612" s="66" t="s">
        <v>2192</v>
      </c>
      <c r="C612" s="68">
        <v>0</v>
      </c>
      <c r="D612" s="68">
        <v>0</v>
      </c>
      <c r="E612" s="68">
        <v>0</v>
      </c>
      <c r="F612" s="68">
        <v>0</v>
      </c>
      <c r="G612" s="68">
        <v>18509.04</v>
      </c>
      <c r="H612" s="68">
        <v>18509.04</v>
      </c>
      <c r="I612" s="68">
        <v>0</v>
      </c>
      <c r="J612" s="68">
        <v>0</v>
      </c>
    </row>
    <row r="613" spans="1:10">
      <c r="A613" s="66" t="s">
        <v>2193</v>
      </c>
      <c r="B613" s="66" t="s">
        <v>2194</v>
      </c>
      <c r="C613" s="68">
        <v>0</v>
      </c>
      <c r="D613" s="68">
        <v>0</v>
      </c>
      <c r="E613" s="68">
        <v>0</v>
      </c>
      <c r="F613" s="68">
        <v>0</v>
      </c>
      <c r="G613" s="68">
        <v>861</v>
      </c>
      <c r="H613" s="68">
        <v>861</v>
      </c>
      <c r="I613" s="68">
        <v>0</v>
      </c>
      <c r="J613" s="68">
        <v>0</v>
      </c>
    </row>
    <row r="614" spans="1:10">
      <c r="A614" s="66" t="s">
        <v>2195</v>
      </c>
      <c r="B614" s="66" t="s">
        <v>2196</v>
      </c>
      <c r="C614" s="68">
        <v>0</v>
      </c>
      <c r="D614" s="68">
        <v>0</v>
      </c>
      <c r="E614" s="68">
        <v>0</v>
      </c>
      <c r="F614" s="68">
        <v>0</v>
      </c>
      <c r="G614" s="68">
        <v>197.29</v>
      </c>
      <c r="H614" s="68">
        <v>197.29</v>
      </c>
      <c r="I614" s="68">
        <v>0</v>
      </c>
      <c r="J614" s="68">
        <v>0</v>
      </c>
    </row>
    <row r="615" spans="1:10">
      <c r="A615" s="66" t="s">
        <v>2197</v>
      </c>
      <c r="B615" s="66" t="s">
        <v>2198</v>
      </c>
      <c r="C615" s="68">
        <v>0</v>
      </c>
      <c r="D615" s="68">
        <v>0</v>
      </c>
      <c r="E615" s="68">
        <v>0</v>
      </c>
      <c r="F615" s="68">
        <v>0</v>
      </c>
      <c r="G615" s="68">
        <v>369</v>
      </c>
      <c r="H615" s="68">
        <v>369</v>
      </c>
      <c r="I615" s="68">
        <v>0</v>
      </c>
      <c r="J615" s="68">
        <v>0</v>
      </c>
    </row>
    <row r="616" spans="1:10">
      <c r="A616" s="66" t="s">
        <v>2199</v>
      </c>
      <c r="B616" s="66" t="s">
        <v>2200</v>
      </c>
      <c r="C616" s="68">
        <v>0</v>
      </c>
      <c r="D616" s="68">
        <v>0</v>
      </c>
      <c r="E616" s="68">
        <v>0</v>
      </c>
      <c r="F616" s="68">
        <v>0</v>
      </c>
      <c r="G616" s="68">
        <v>51</v>
      </c>
      <c r="H616" s="68">
        <v>51</v>
      </c>
      <c r="I616" s="68">
        <v>0</v>
      </c>
      <c r="J616" s="68">
        <v>0</v>
      </c>
    </row>
    <row r="617" spans="1:10">
      <c r="A617" s="66" t="s">
        <v>2201</v>
      </c>
      <c r="B617" s="66" t="s">
        <v>2202</v>
      </c>
      <c r="C617" s="68">
        <v>0</v>
      </c>
      <c r="D617" s="68">
        <v>0</v>
      </c>
      <c r="E617" s="68">
        <v>2447.6999999999998</v>
      </c>
      <c r="F617" s="68">
        <v>0</v>
      </c>
      <c r="G617" s="68">
        <v>2447.6999999999998</v>
      </c>
      <c r="H617" s="68">
        <v>2447.6999999999998</v>
      </c>
      <c r="I617" s="68">
        <v>0</v>
      </c>
      <c r="J617" s="68">
        <v>0</v>
      </c>
    </row>
    <row r="618" spans="1:10">
      <c r="A618" s="66" t="s">
        <v>2203</v>
      </c>
      <c r="B618" s="66" t="s">
        <v>2204</v>
      </c>
      <c r="C618" s="68">
        <v>0</v>
      </c>
      <c r="D618" s="68">
        <v>0</v>
      </c>
      <c r="E618" s="68">
        <v>0</v>
      </c>
      <c r="F618" s="68">
        <v>0</v>
      </c>
      <c r="G618" s="68">
        <v>2150</v>
      </c>
      <c r="H618" s="68">
        <v>2150</v>
      </c>
      <c r="I618" s="68">
        <v>0</v>
      </c>
      <c r="J618" s="68">
        <v>0</v>
      </c>
    </row>
    <row r="619" spans="1:10">
      <c r="A619" s="66" t="s">
        <v>2205</v>
      </c>
      <c r="B619" s="66" t="s">
        <v>2206</v>
      </c>
      <c r="C619" s="68">
        <v>0</v>
      </c>
      <c r="D619" s="68">
        <v>0</v>
      </c>
      <c r="E619" s="68">
        <v>0</v>
      </c>
      <c r="F619" s="68">
        <v>0</v>
      </c>
      <c r="G619" s="68">
        <v>85977</v>
      </c>
      <c r="H619" s="68">
        <v>85977</v>
      </c>
      <c r="I619" s="68">
        <v>0</v>
      </c>
      <c r="J619" s="68">
        <v>0</v>
      </c>
    </row>
    <row r="620" spans="1:10">
      <c r="A620" s="66" t="s">
        <v>2207</v>
      </c>
      <c r="B620" s="66" t="s">
        <v>2208</v>
      </c>
      <c r="C620" s="68">
        <v>0</v>
      </c>
      <c r="D620" s="68">
        <v>0</v>
      </c>
      <c r="E620" s="68">
        <v>0</v>
      </c>
      <c r="F620" s="68">
        <v>0</v>
      </c>
      <c r="G620" s="68">
        <v>18412</v>
      </c>
      <c r="H620" s="68">
        <v>18412</v>
      </c>
      <c r="I620" s="68">
        <v>0</v>
      </c>
      <c r="J620" s="68">
        <v>0</v>
      </c>
    </row>
    <row r="621" spans="1:10">
      <c r="A621" s="66" t="s">
        <v>2209</v>
      </c>
      <c r="B621" s="66" t="s">
        <v>2210</v>
      </c>
      <c r="C621" s="68">
        <v>0</v>
      </c>
      <c r="D621" s="68">
        <v>0</v>
      </c>
      <c r="E621" s="68">
        <v>0</v>
      </c>
      <c r="F621" s="68">
        <v>0</v>
      </c>
      <c r="G621" s="68">
        <v>3025.8</v>
      </c>
      <c r="H621" s="68">
        <v>3025.8</v>
      </c>
      <c r="I621" s="68">
        <v>0</v>
      </c>
      <c r="J621" s="68">
        <v>0</v>
      </c>
    </row>
    <row r="622" spans="1:10">
      <c r="A622" s="66" t="s">
        <v>2211</v>
      </c>
      <c r="B622" s="66" t="s">
        <v>2212</v>
      </c>
      <c r="C622" s="68">
        <v>0</v>
      </c>
      <c r="D622" s="68">
        <v>0</v>
      </c>
      <c r="E622" s="68">
        <v>0</v>
      </c>
      <c r="F622" s="68">
        <v>0</v>
      </c>
      <c r="G622" s="68">
        <v>6150</v>
      </c>
      <c r="H622" s="68">
        <v>6150</v>
      </c>
      <c r="I622" s="68">
        <v>0</v>
      </c>
      <c r="J622" s="68">
        <v>0</v>
      </c>
    </row>
    <row r="623" spans="1:10">
      <c r="A623" s="66" t="s">
        <v>2213</v>
      </c>
      <c r="B623" s="66" t="s">
        <v>2214</v>
      </c>
      <c r="C623" s="68">
        <v>0</v>
      </c>
      <c r="D623" s="68">
        <v>0</v>
      </c>
      <c r="E623" s="68">
        <v>0</v>
      </c>
      <c r="F623" s="68">
        <v>0</v>
      </c>
      <c r="G623" s="68">
        <v>126886.8</v>
      </c>
      <c r="H623" s="68">
        <v>126886.8</v>
      </c>
      <c r="I623" s="68">
        <v>0</v>
      </c>
      <c r="J623" s="68">
        <v>0</v>
      </c>
    </row>
    <row r="624" spans="1:10">
      <c r="A624" s="66" t="s">
        <v>2215</v>
      </c>
      <c r="B624" s="66" t="s">
        <v>2216</v>
      </c>
      <c r="C624" s="68">
        <v>0</v>
      </c>
      <c r="D624" s="68">
        <v>0</v>
      </c>
      <c r="E624" s="68">
        <v>0</v>
      </c>
      <c r="F624" s="68">
        <v>0</v>
      </c>
      <c r="G624" s="68">
        <v>1970.46</v>
      </c>
      <c r="H624" s="68">
        <v>1970.46</v>
      </c>
      <c r="I624" s="68">
        <v>0</v>
      </c>
      <c r="J624" s="68">
        <v>0</v>
      </c>
    </row>
    <row r="625" spans="1:10">
      <c r="A625" s="66" t="s">
        <v>2217</v>
      </c>
      <c r="B625" s="66" t="s">
        <v>2218</v>
      </c>
      <c r="C625" s="68">
        <v>0</v>
      </c>
      <c r="D625" s="68">
        <v>0</v>
      </c>
      <c r="E625" s="68">
        <v>0</v>
      </c>
      <c r="F625" s="68">
        <v>0</v>
      </c>
      <c r="G625" s="68">
        <v>724.47</v>
      </c>
      <c r="H625" s="68">
        <v>724.47</v>
      </c>
      <c r="I625" s="68">
        <v>0</v>
      </c>
      <c r="J625" s="68">
        <v>0</v>
      </c>
    </row>
    <row r="626" spans="1:10">
      <c r="A626" s="66" t="s">
        <v>2219</v>
      </c>
      <c r="B626" s="66" t="s">
        <v>2220</v>
      </c>
      <c r="C626" s="68">
        <v>0</v>
      </c>
      <c r="D626" s="68">
        <v>0</v>
      </c>
      <c r="E626" s="68">
        <v>6522.760000000002</v>
      </c>
      <c r="F626" s="68">
        <v>9577</v>
      </c>
      <c r="G626" s="68">
        <v>41226.18</v>
      </c>
      <c r="H626" s="68">
        <v>46105.4</v>
      </c>
      <c r="I626" s="68">
        <v>0</v>
      </c>
      <c r="J626" s="68">
        <v>4879.2200000000012</v>
      </c>
    </row>
    <row r="627" spans="1:10">
      <c r="A627" s="66" t="s">
        <v>2221</v>
      </c>
      <c r="B627" s="66" t="s">
        <v>2222</v>
      </c>
      <c r="C627" s="68">
        <v>0</v>
      </c>
      <c r="D627" s="68">
        <v>0</v>
      </c>
      <c r="E627" s="68">
        <v>0</v>
      </c>
      <c r="F627" s="68">
        <v>0</v>
      </c>
      <c r="G627" s="68">
        <v>2656.8</v>
      </c>
      <c r="H627" s="68">
        <v>2656.8</v>
      </c>
      <c r="I627" s="68">
        <v>0</v>
      </c>
      <c r="J627" s="68">
        <v>0</v>
      </c>
    </row>
    <row r="628" spans="1:10">
      <c r="A628" s="66" t="s">
        <v>2223</v>
      </c>
      <c r="B628" s="66" t="s">
        <v>2224</v>
      </c>
      <c r="C628" s="68">
        <v>0</v>
      </c>
      <c r="D628" s="68">
        <v>0</v>
      </c>
      <c r="E628" s="68">
        <v>1763.21</v>
      </c>
      <c r="F628" s="68">
        <v>1351.1599999999999</v>
      </c>
      <c r="G628" s="68">
        <v>7323.0700000000006</v>
      </c>
      <c r="H628" s="68">
        <v>7323.0700000000006</v>
      </c>
      <c r="I628" s="68">
        <v>0</v>
      </c>
      <c r="J628" s="68">
        <v>0</v>
      </c>
    </row>
    <row r="629" spans="1:10">
      <c r="A629" s="66" t="s">
        <v>2225</v>
      </c>
      <c r="B629" s="66" t="s">
        <v>2226</v>
      </c>
      <c r="C629" s="68">
        <v>0</v>
      </c>
      <c r="D629" s="68">
        <v>0</v>
      </c>
      <c r="E629" s="68">
        <v>0</v>
      </c>
      <c r="F629" s="68">
        <v>0</v>
      </c>
      <c r="G629" s="68">
        <v>5910.15</v>
      </c>
      <c r="H629" s="68">
        <v>5910.15</v>
      </c>
      <c r="I629" s="68">
        <v>0</v>
      </c>
      <c r="J629" s="68">
        <v>0</v>
      </c>
    </row>
    <row r="630" spans="1:10">
      <c r="A630" s="66" t="s">
        <v>2227</v>
      </c>
      <c r="B630" s="66" t="s">
        <v>2228</v>
      </c>
      <c r="C630" s="68">
        <v>0</v>
      </c>
      <c r="D630" s="68">
        <v>0</v>
      </c>
      <c r="E630" s="68">
        <v>0</v>
      </c>
      <c r="F630" s="68">
        <v>0</v>
      </c>
      <c r="G630" s="68">
        <v>2091</v>
      </c>
      <c r="H630" s="68">
        <v>2091</v>
      </c>
      <c r="I630" s="68">
        <v>0</v>
      </c>
      <c r="J630" s="68">
        <v>0</v>
      </c>
    </row>
    <row r="631" spans="1:10">
      <c r="A631" s="66" t="s">
        <v>2229</v>
      </c>
      <c r="B631" s="66" t="s">
        <v>2230</v>
      </c>
      <c r="C631" s="68">
        <v>0</v>
      </c>
      <c r="D631" s="68">
        <v>0</v>
      </c>
      <c r="E631" s="68">
        <v>0</v>
      </c>
      <c r="F631" s="68">
        <v>0</v>
      </c>
      <c r="G631" s="68">
        <v>494.52</v>
      </c>
      <c r="H631" s="68">
        <v>494.52</v>
      </c>
      <c r="I631" s="68">
        <v>0</v>
      </c>
      <c r="J631" s="68">
        <v>0</v>
      </c>
    </row>
    <row r="632" spans="1:10">
      <c r="A632" s="66" t="s">
        <v>2231</v>
      </c>
      <c r="B632" s="66" t="s">
        <v>2232</v>
      </c>
      <c r="C632" s="68">
        <v>0</v>
      </c>
      <c r="D632" s="68">
        <v>0</v>
      </c>
      <c r="E632" s="68">
        <v>1660.5000000000002</v>
      </c>
      <c r="F632" s="68">
        <v>1660.5000000000002</v>
      </c>
      <c r="G632" s="68">
        <v>3333.3</v>
      </c>
      <c r="H632" s="68">
        <v>3333.3</v>
      </c>
      <c r="I632" s="68">
        <v>0</v>
      </c>
      <c r="J632" s="68">
        <v>0</v>
      </c>
    </row>
    <row r="633" spans="1:10">
      <c r="A633" s="66" t="s">
        <v>2233</v>
      </c>
      <c r="B633" s="66" t="s">
        <v>2234</v>
      </c>
      <c r="C633" s="68">
        <v>0</v>
      </c>
      <c r="D633" s="68">
        <v>0</v>
      </c>
      <c r="E633" s="68">
        <v>0</v>
      </c>
      <c r="F633" s="68">
        <v>0</v>
      </c>
      <c r="G633" s="68">
        <v>830</v>
      </c>
      <c r="H633" s="68">
        <v>830</v>
      </c>
      <c r="I633" s="68">
        <v>0</v>
      </c>
      <c r="J633" s="68">
        <v>0</v>
      </c>
    </row>
    <row r="634" spans="1:10">
      <c r="A634" s="66" t="s">
        <v>2235</v>
      </c>
      <c r="B634" s="71" t="s">
        <v>2236</v>
      </c>
      <c r="C634" s="68">
        <v>0</v>
      </c>
      <c r="D634" s="68">
        <v>0</v>
      </c>
      <c r="E634" s="68">
        <v>0</v>
      </c>
      <c r="F634" s="68">
        <v>0</v>
      </c>
      <c r="G634" s="68">
        <v>9987.84</v>
      </c>
      <c r="H634" s="68">
        <v>9987.84</v>
      </c>
      <c r="I634" s="68">
        <v>0</v>
      </c>
      <c r="J634" s="68">
        <v>0</v>
      </c>
    </row>
    <row r="635" spans="1:10">
      <c r="A635" s="66" t="s">
        <v>2237</v>
      </c>
      <c r="B635" s="66" t="s">
        <v>2238</v>
      </c>
      <c r="C635" s="68">
        <v>0</v>
      </c>
      <c r="D635" s="68">
        <v>0</v>
      </c>
      <c r="E635" s="68">
        <v>297</v>
      </c>
      <c r="F635" s="68">
        <v>0</v>
      </c>
      <c r="G635" s="68">
        <v>1500.78</v>
      </c>
      <c r="H635" s="68">
        <v>1500.78</v>
      </c>
      <c r="I635" s="68">
        <v>0</v>
      </c>
      <c r="J635" s="68">
        <v>0</v>
      </c>
    </row>
    <row r="636" spans="1:10">
      <c r="A636" s="66" t="s">
        <v>2239</v>
      </c>
      <c r="B636" s="66" t="s">
        <v>2240</v>
      </c>
      <c r="C636" s="68">
        <v>0</v>
      </c>
      <c r="D636" s="68">
        <v>0</v>
      </c>
      <c r="E636" s="68">
        <v>0</v>
      </c>
      <c r="F636" s="68">
        <v>0</v>
      </c>
      <c r="G636" s="68">
        <v>2138.4</v>
      </c>
      <c r="H636" s="68">
        <v>2138.4</v>
      </c>
      <c r="I636" s="68">
        <v>0</v>
      </c>
      <c r="J636" s="68">
        <v>0</v>
      </c>
    </row>
    <row r="637" spans="1:10">
      <c r="A637" s="66" t="s">
        <v>2241</v>
      </c>
      <c r="B637" s="66" t="s">
        <v>2242</v>
      </c>
      <c r="C637" s="68">
        <v>0</v>
      </c>
      <c r="D637" s="68">
        <v>0</v>
      </c>
      <c r="E637" s="68">
        <v>0</v>
      </c>
      <c r="F637" s="68">
        <v>0</v>
      </c>
      <c r="G637" s="68">
        <v>738</v>
      </c>
      <c r="H637" s="68">
        <v>738</v>
      </c>
      <c r="I637" s="68">
        <v>0</v>
      </c>
      <c r="J637" s="68">
        <v>0</v>
      </c>
    </row>
    <row r="638" spans="1:10">
      <c r="A638" s="66" t="s">
        <v>2243</v>
      </c>
      <c r="B638" s="66" t="s">
        <v>2244</v>
      </c>
      <c r="C638" s="68">
        <v>0</v>
      </c>
      <c r="D638" s="68">
        <v>0</v>
      </c>
      <c r="E638" s="68">
        <v>0</v>
      </c>
      <c r="F638" s="68">
        <v>0</v>
      </c>
      <c r="G638" s="68">
        <v>1968</v>
      </c>
      <c r="H638" s="68">
        <v>1968</v>
      </c>
      <c r="I638" s="68">
        <v>0</v>
      </c>
      <c r="J638" s="68">
        <v>0</v>
      </c>
    </row>
    <row r="639" spans="1:10">
      <c r="A639" s="66" t="s">
        <v>2245</v>
      </c>
      <c r="B639" s="66" t="s">
        <v>2246</v>
      </c>
      <c r="C639" s="68">
        <v>0</v>
      </c>
      <c r="D639" s="68">
        <v>0</v>
      </c>
      <c r="E639" s="68">
        <v>0</v>
      </c>
      <c r="F639" s="68">
        <v>0</v>
      </c>
      <c r="G639" s="68">
        <v>492</v>
      </c>
      <c r="H639" s="68">
        <v>492</v>
      </c>
      <c r="I639" s="68">
        <v>0</v>
      </c>
      <c r="J639" s="68">
        <v>0</v>
      </c>
    </row>
    <row r="640" spans="1:10">
      <c r="A640" s="66" t="s">
        <v>2247</v>
      </c>
      <c r="B640" s="66" t="s">
        <v>2248</v>
      </c>
      <c r="C640" s="68">
        <v>0</v>
      </c>
      <c r="D640" s="68">
        <v>0</v>
      </c>
      <c r="E640" s="68">
        <v>368.86000000000013</v>
      </c>
      <c r="F640" s="68">
        <v>368.86000000000013</v>
      </c>
      <c r="G640" s="68">
        <v>2936.01</v>
      </c>
      <c r="H640" s="68">
        <v>2936.01</v>
      </c>
      <c r="I640" s="68">
        <v>0</v>
      </c>
      <c r="J640" s="68">
        <v>0</v>
      </c>
    </row>
    <row r="641" spans="1:10">
      <c r="A641" s="66" t="s">
        <v>2249</v>
      </c>
      <c r="B641" s="66" t="s">
        <v>2250</v>
      </c>
      <c r="C641" s="68">
        <v>0</v>
      </c>
      <c r="D641" s="68">
        <v>0</v>
      </c>
      <c r="E641" s="68">
        <v>0</v>
      </c>
      <c r="F641" s="68">
        <v>0</v>
      </c>
      <c r="G641" s="68">
        <v>107993.39</v>
      </c>
      <c r="H641" s="68">
        <v>107993.39</v>
      </c>
      <c r="I641" s="68">
        <v>0</v>
      </c>
      <c r="J641" s="68">
        <v>0</v>
      </c>
    </row>
    <row r="642" spans="1:10">
      <c r="A642" s="66" t="s">
        <v>2251</v>
      </c>
      <c r="B642" s="66" t="s">
        <v>2252</v>
      </c>
      <c r="C642" s="68">
        <v>0</v>
      </c>
      <c r="D642" s="68">
        <v>0</v>
      </c>
      <c r="E642" s="68">
        <v>0</v>
      </c>
      <c r="F642" s="68">
        <v>1000</v>
      </c>
      <c r="G642" s="68">
        <v>900</v>
      </c>
      <c r="H642" s="68">
        <v>1900</v>
      </c>
      <c r="I642" s="68">
        <v>0</v>
      </c>
      <c r="J642" s="68">
        <v>1000</v>
      </c>
    </row>
    <row r="643" spans="1:10">
      <c r="A643" s="66" t="s">
        <v>2253</v>
      </c>
      <c r="B643" s="66" t="s">
        <v>2254</v>
      </c>
      <c r="C643" s="68">
        <v>0</v>
      </c>
      <c r="D643" s="68">
        <v>0</v>
      </c>
      <c r="E643" s="68">
        <v>0</v>
      </c>
      <c r="F643" s="68">
        <v>0</v>
      </c>
      <c r="G643" s="68">
        <v>8737.2100000000009</v>
      </c>
      <c r="H643" s="68">
        <v>8737.2100000000009</v>
      </c>
      <c r="I643" s="68">
        <v>0</v>
      </c>
      <c r="J643" s="68">
        <v>0</v>
      </c>
    </row>
    <row r="644" spans="1:10">
      <c r="A644" s="66" t="s">
        <v>2255</v>
      </c>
      <c r="B644" s="66" t="s">
        <v>2256</v>
      </c>
      <c r="C644" s="68">
        <v>0</v>
      </c>
      <c r="D644" s="68">
        <v>0</v>
      </c>
      <c r="E644" s="68">
        <v>0</v>
      </c>
      <c r="F644" s="68">
        <v>0</v>
      </c>
      <c r="G644" s="68">
        <v>66666</v>
      </c>
      <c r="H644" s="68">
        <v>66666</v>
      </c>
      <c r="I644" s="68">
        <v>0</v>
      </c>
      <c r="J644" s="68">
        <v>0</v>
      </c>
    </row>
    <row r="645" spans="1:10">
      <c r="A645" s="66" t="s">
        <v>2257</v>
      </c>
      <c r="B645" s="66" t="s">
        <v>2258</v>
      </c>
      <c r="C645" s="68">
        <v>0</v>
      </c>
      <c r="D645" s="68">
        <v>0</v>
      </c>
      <c r="E645" s="68">
        <v>553.5</v>
      </c>
      <c r="F645" s="68">
        <v>553.5</v>
      </c>
      <c r="G645" s="68">
        <v>1107</v>
      </c>
      <c r="H645" s="68">
        <v>1107</v>
      </c>
      <c r="I645" s="68">
        <v>0</v>
      </c>
      <c r="J645" s="68">
        <v>0</v>
      </c>
    </row>
    <row r="646" spans="1:10">
      <c r="A646" s="66" t="s">
        <v>2259</v>
      </c>
      <c r="B646" s="66" t="s">
        <v>2260</v>
      </c>
      <c r="C646" s="68">
        <v>0</v>
      </c>
      <c r="D646" s="68">
        <v>0</v>
      </c>
      <c r="E646" s="68">
        <v>0</v>
      </c>
      <c r="F646" s="68">
        <v>0</v>
      </c>
      <c r="G646" s="68">
        <v>5682.6</v>
      </c>
      <c r="H646" s="68">
        <v>5682.6</v>
      </c>
      <c r="I646" s="68">
        <v>0</v>
      </c>
      <c r="J646" s="68">
        <v>0</v>
      </c>
    </row>
    <row r="647" spans="1:10">
      <c r="A647" s="66" t="s">
        <v>2261</v>
      </c>
      <c r="B647" s="66" t="s">
        <v>2262</v>
      </c>
      <c r="C647" s="68">
        <v>0</v>
      </c>
      <c r="D647" s="68">
        <v>0</v>
      </c>
      <c r="E647" s="68">
        <v>1728</v>
      </c>
      <c r="F647" s="68">
        <v>0</v>
      </c>
      <c r="G647" s="68">
        <v>1728</v>
      </c>
      <c r="H647" s="68">
        <v>1728</v>
      </c>
      <c r="I647" s="68">
        <v>0</v>
      </c>
      <c r="J647" s="68">
        <v>0</v>
      </c>
    </row>
    <row r="648" spans="1:10">
      <c r="A648" s="66" t="s">
        <v>2263</v>
      </c>
      <c r="B648" s="66" t="s">
        <v>2264</v>
      </c>
      <c r="C648" s="68">
        <v>0</v>
      </c>
      <c r="D648" s="68">
        <v>0</v>
      </c>
      <c r="E648" s="68">
        <v>46942.740000000005</v>
      </c>
      <c r="F648" s="68">
        <v>0</v>
      </c>
      <c r="G648" s="68">
        <v>46942.740000000005</v>
      </c>
      <c r="H648" s="68">
        <v>46942.740000000005</v>
      </c>
      <c r="I648" s="68">
        <v>0</v>
      </c>
      <c r="J648" s="68">
        <v>0</v>
      </c>
    </row>
    <row r="649" spans="1:10">
      <c r="A649" s="66" t="s">
        <v>2265</v>
      </c>
      <c r="B649" s="66" t="s">
        <v>2266</v>
      </c>
      <c r="C649" s="68">
        <v>0</v>
      </c>
      <c r="D649" s="68">
        <v>0</v>
      </c>
      <c r="E649" s="68">
        <v>11042.94</v>
      </c>
      <c r="F649" s="68">
        <v>5521.47</v>
      </c>
      <c r="G649" s="68">
        <v>11042.94</v>
      </c>
      <c r="H649" s="68">
        <v>11042.94</v>
      </c>
      <c r="I649" s="68">
        <v>0</v>
      </c>
      <c r="J649" s="68">
        <v>0</v>
      </c>
    </row>
    <row r="650" spans="1:10">
      <c r="A650" s="66" t="s">
        <v>2267</v>
      </c>
      <c r="B650" s="66" t="s">
        <v>2268</v>
      </c>
      <c r="C650" s="68">
        <v>0</v>
      </c>
      <c r="D650" s="68">
        <v>0</v>
      </c>
      <c r="E650" s="68">
        <v>15482.01</v>
      </c>
      <c r="F650" s="68">
        <v>95995.930000000008</v>
      </c>
      <c r="G650" s="68">
        <v>15482.01</v>
      </c>
      <c r="H650" s="68">
        <v>111477.94</v>
      </c>
      <c r="I650" s="68">
        <v>0</v>
      </c>
      <c r="J650" s="68">
        <v>95995.930000000008</v>
      </c>
    </row>
    <row r="651" spans="1:10">
      <c r="A651" s="66" t="s">
        <v>2269</v>
      </c>
      <c r="B651" s="66" t="s">
        <v>2270</v>
      </c>
      <c r="C651" s="68">
        <v>0</v>
      </c>
      <c r="D651" s="68">
        <v>0</v>
      </c>
      <c r="E651" s="68">
        <v>348705</v>
      </c>
      <c r="F651" s="68">
        <v>348705</v>
      </c>
      <c r="G651" s="68">
        <v>348705</v>
      </c>
      <c r="H651" s="68">
        <v>348705</v>
      </c>
      <c r="I651" s="68">
        <v>0</v>
      </c>
      <c r="J651" s="68">
        <v>0</v>
      </c>
    </row>
    <row r="652" spans="1:10">
      <c r="A652" s="66" t="s">
        <v>2271</v>
      </c>
      <c r="B652" s="66" t="s">
        <v>2272</v>
      </c>
      <c r="C652" s="68">
        <v>0</v>
      </c>
      <c r="D652" s="68">
        <v>0</v>
      </c>
      <c r="E652" s="68">
        <v>7995</v>
      </c>
      <c r="F652" s="68">
        <v>0</v>
      </c>
      <c r="G652" s="68">
        <v>7995</v>
      </c>
      <c r="H652" s="68">
        <v>7995</v>
      </c>
      <c r="I652" s="68">
        <v>0</v>
      </c>
      <c r="J652" s="68">
        <v>0</v>
      </c>
    </row>
    <row r="653" spans="1:10">
      <c r="A653" s="66" t="s">
        <v>2273</v>
      </c>
      <c r="B653" s="66" t="s">
        <v>2274</v>
      </c>
      <c r="C653" s="68">
        <v>0</v>
      </c>
      <c r="D653" s="68">
        <v>0</v>
      </c>
      <c r="E653" s="68">
        <v>1162.3499999999999</v>
      </c>
      <c r="F653" s="68">
        <v>1162.3499999999999</v>
      </c>
      <c r="G653" s="68">
        <v>1162.3499999999999</v>
      </c>
      <c r="H653" s="68">
        <v>1162.3499999999999</v>
      </c>
      <c r="I653" s="68">
        <v>0</v>
      </c>
      <c r="J653" s="68">
        <v>0</v>
      </c>
    </row>
    <row r="654" spans="1:10">
      <c r="A654" s="66" t="s">
        <v>2275</v>
      </c>
      <c r="B654" s="66" t="s">
        <v>2276</v>
      </c>
      <c r="C654" s="68">
        <v>0</v>
      </c>
      <c r="D654" s="68">
        <v>0</v>
      </c>
      <c r="E654" s="68">
        <v>67630.320000000007</v>
      </c>
      <c r="F654" s="68">
        <v>61170.360000000015</v>
      </c>
      <c r="G654" s="68">
        <v>67630.320000000007</v>
      </c>
      <c r="H654" s="68">
        <v>72855.360000000015</v>
      </c>
      <c r="I654" s="68">
        <v>0</v>
      </c>
      <c r="J654" s="68">
        <v>5225.0400000000081</v>
      </c>
    </row>
    <row r="655" spans="1:10">
      <c r="A655" s="66" t="s">
        <v>2277</v>
      </c>
      <c r="B655" s="66" t="s">
        <v>2278</v>
      </c>
      <c r="C655" s="68">
        <v>0</v>
      </c>
      <c r="D655" s="68">
        <v>0</v>
      </c>
      <c r="E655" s="68">
        <v>319.8</v>
      </c>
      <c r="F655" s="68">
        <v>319.8</v>
      </c>
      <c r="G655" s="68">
        <v>319.8</v>
      </c>
      <c r="H655" s="68">
        <v>319.8</v>
      </c>
      <c r="I655" s="68">
        <v>0</v>
      </c>
      <c r="J655" s="68">
        <v>0</v>
      </c>
    </row>
    <row r="656" spans="1:10">
      <c r="A656" s="66" t="s">
        <v>2279</v>
      </c>
      <c r="B656" s="66" t="s">
        <v>2280</v>
      </c>
      <c r="C656" s="68">
        <v>0</v>
      </c>
      <c r="D656" s="68">
        <v>0</v>
      </c>
      <c r="E656" s="68">
        <v>9000</v>
      </c>
      <c r="F656" s="68">
        <v>9000</v>
      </c>
      <c r="G656" s="68">
        <v>9000</v>
      </c>
      <c r="H656" s="68">
        <v>9000</v>
      </c>
      <c r="I656" s="68">
        <v>0</v>
      </c>
      <c r="J656" s="68">
        <v>0</v>
      </c>
    </row>
    <row r="657" spans="1:10">
      <c r="A657" s="66" t="s">
        <v>2281</v>
      </c>
      <c r="B657" s="66" t="s">
        <v>2282</v>
      </c>
      <c r="C657" s="68">
        <v>0</v>
      </c>
      <c r="D657" s="68">
        <v>0</v>
      </c>
      <c r="E657" s="68">
        <v>0</v>
      </c>
      <c r="F657" s="68">
        <v>2681.52</v>
      </c>
      <c r="G657" s="68">
        <v>0</v>
      </c>
      <c r="H657" s="68">
        <v>2681.52</v>
      </c>
      <c r="I657" s="68">
        <v>0</v>
      </c>
      <c r="J657" s="68">
        <v>2681.52</v>
      </c>
    </row>
    <row r="658" spans="1:10">
      <c r="A658" s="66" t="s">
        <v>2283</v>
      </c>
      <c r="B658" s="66" t="s">
        <v>2284</v>
      </c>
      <c r="C658" s="68">
        <v>0</v>
      </c>
      <c r="D658" s="68">
        <v>0</v>
      </c>
      <c r="E658" s="68">
        <v>0</v>
      </c>
      <c r="F658" s="68">
        <v>3198</v>
      </c>
      <c r="G658" s="68">
        <v>0</v>
      </c>
      <c r="H658" s="68">
        <v>3198</v>
      </c>
      <c r="I658" s="68">
        <v>0</v>
      </c>
      <c r="J658" s="68">
        <v>3198</v>
      </c>
    </row>
    <row r="659" spans="1:10">
      <c r="A659" s="66" t="s">
        <v>2285</v>
      </c>
      <c r="B659" s="66" t="s">
        <v>2286</v>
      </c>
      <c r="C659" s="68">
        <v>0</v>
      </c>
      <c r="D659" s="68">
        <v>0</v>
      </c>
      <c r="E659" s="68">
        <v>3690</v>
      </c>
      <c r="F659" s="68">
        <v>3690</v>
      </c>
      <c r="G659" s="68">
        <v>3690</v>
      </c>
      <c r="H659" s="68">
        <v>3690</v>
      </c>
      <c r="I659" s="68">
        <v>0</v>
      </c>
      <c r="J659" s="68">
        <v>0</v>
      </c>
    </row>
    <row r="660" spans="1:10">
      <c r="A660" s="66" t="s">
        <v>2287</v>
      </c>
      <c r="B660" s="66" t="s">
        <v>2288</v>
      </c>
      <c r="C660" s="68">
        <v>0</v>
      </c>
      <c r="D660" s="68">
        <v>0</v>
      </c>
      <c r="E660" s="68">
        <v>26568</v>
      </c>
      <c r="F660" s="68">
        <v>26568</v>
      </c>
      <c r="G660" s="68">
        <v>26568</v>
      </c>
      <c r="H660" s="68">
        <v>26568</v>
      </c>
      <c r="I660" s="68">
        <v>0</v>
      </c>
      <c r="J660" s="68">
        <v>0</v>
      </c>
    </row>
    <row r="661" spans="1:10">
      <c r="A661" s="66" t="s">
        <v>2289</v>
      </c>
      <c r="B661" s="66" t="s">
        <v>2290</v>
      </c>
      <c r="C661" s="68">
        <v>0</v>
      </c>
      <c r="D661" s="68">
        <v>0</v>
      </c>
      <c r="E661" s="68">
        <v>0</v>
      </c>
      <c r="F661" s="68">
        <v>321472.8</v>
      </c>
      <c r="G661" s="68">
        <v>0</v>
      </c>
      <c r="H661" s="68">
        <v>321472.8</v>
      </c>
      <c r="I661" s="68">
        <v>0</v>
      </c>
      <c r="J661" s="68">
        <v>321472.8</v>
      </c>
    </row>
    <row r="662" spans="1:10">
      <c r="A662" s="66" t="s">
        <v>2291</v>
      </c>
      <c r="B662" s="66" t="s">
        <v>2292</v>
      </c>
      <c r="C662" s="68">
        <v>0</v>
      </c>
      <c r="D662" s="68">
        <v>0</v>
      </c>
      <c r="E662" s="68">
        <v>0</v>
      </c>
      <c r="F662" s="68">
        <v>24600</v>
      </c>
      <c r="G662" s="68">
        <v>0</v>
      </c>
      <c r="H662" s="68">
        <v>24600</v>
      </c>
      <c r="I662" s="68">
        <v>0</v>
      </c>
      <c r="J662" s="68">
        <v>24600</v>
      </c>
    </row>
    <row r="663" spans="1:10">
      <c r="A663" s="66" t="s">
        <v>2293</v>
      </c>
      <c r="B663" s="66" t="s">
        <v>2294</v>
      </c>
      <c r="C663" s="68">
        <v>0</v>
      </c>
      <c r="D663" s="68">
        <v>0</v>
      </c>
      <c r="E663" s="68">
        <v>0</v>
      </c>
      <c r="F663" s="68">
        <v>630.79</v>
      </c>
      <c r="G663" s="68">
        <v>0</v>
      </c>
      <c r="H663" s="68">
        <v>630.79</v>
      </c>
      <c r="I663" s="68">
        <v>0</v>
      </c>
      <c r="J663" s="68">
        <v>630.79</v>
      </c>
    </row>
    <row r="664" spans="1:10">
      <c r="A664" s="66" t="s">
        <v>2295</v>
      </c>
      <c r="B664" s="66" t="s">
        <v>2296</v>
      </c>
      <c r="C664" s="68">
        <v>0</v>
      </c>
      <c r="D664" s="68">
        <v>0</v>
      </c>
      <c r="E664" s="68">
        <v>0</v>
      </c>
      <c r="F664" s="68">
        <v>7858.16</v>
      </c>
      <c r="G664" s="68">
        <v>0</v>
      </c>
      <c r="H664" s="68">
        <v>7858.16</v>
      </c>
      <c r="I664" s="68">
        <v>0</v>
      </c>
      <c r="J664" s="68">
        <v>7858.16</v>
      </c>
    </row>
    <row r="665" spans="1:10">
      <c r="A665" s="66" t="s">
        <v>2297</v>
      </c>
      <c r="B665" s="66" t="s">
        <v>2298</v>
      </c>
      <c r="C665" s="68">
        <v>0</v>
      </c>
      <c r="D665" s="68">
        <v>0</v>
      </c>
      <c r="E665" s="68">
        <v>0</v>
      </c>
      <c r="F665" s="68">
        <v>7872</v>
      </c>
      <c r="G665" s="68">
        <v>0</v>
      </c>
      <c r="H665" s="68">
        <v>7872</v>
      </c>
      <c r="I665" s="68">
        <v>0</v>
      </c>
      <c r="J665" s="68">
        <v>7872</v>
      </c>
    </row>
    <row r="666" spans="1:10">
      <c r="A666" s="66" t="s">
        <v>2299</v>
      </c>
      <c r="B666" s="66" t="s">
        <v>2300</v>
      </c>
      <c r="C666" s="68">
        <v>0</v>
      </c>
      <c r="D666" s="68">
        <v>0</v>
      </c>
      <c r="E666" s="68">
        <v>0</v>
      </c>
      <c r="F666" s="68">
        <v>2361.6</v>
      </c>
      <c r="G666" s="68">
        <v>0</v>
      </c>
      <c r="H666" s="68">
        <v>2361.6</v>
      </c>
      <c r="I666" s="68">
        <v>0</v>
      </c>
      <c r="J666" s="68">
        <v>2361.6</v>
      </c>
    </row>
    <row r="667" spans="1:10">
      <c r="A667" s="66" t="s">
        <v>2301</v>
      </c>
      <c r="B667" s="66" t="s">
        <v>2302</v>
      </c>
      <c r="C667" s="68">
        <v>0</v>
      </c>
      <c r="D667" s="68">
        <v>0</v>
      </c>
      <c r="E667" s="68">
        <v>0</v>
      </c>
      <c r="F667" s="68">
        <v>12500</v>
      </c>
      <c r="G667" s="68">
        <v>0</v>
      </c>
      <c r="H667" s="68">
        <v>12500</v>
      </c>
      <c r="I667" s="68">
        <v>0</v>
      </c>
      <c r="J667" s="68">
        <v>12500</v>
      </c>
    </row>
    <row r="668" spans="1:10">
      <c r="A668" s="66" t="s">
        <v>2303</v>
      </c>
      <c r="B668" s="66" t="s">
        <v>2304</v>
      </c>
      <c r="C668" s="68">
        <v>0</v>
      </c>
      <c r="D668" s="68">
        <v>0</v>
      </c>
      <c r="E668" s="68">
        <v>0</v>
      </c>
      <c r="F668" s="68">
        <v>2337</v>
      </c>
      <c r="G668" s="68">
        <v>0</v>
      </c>
      <c r="H668" s="68">
        <v>2337</v>
      </c>
      <c r="I668" s="68">
        <v>0</v>
      </c>
      <c r="J668" s="68">
        <v>2337</v>
      </c>
    </row>
    <row r="669" spans="1:10">
      <c r="A669" s="66" t="s">
        <v>2305</v>
      </c>
      <c r="B669" s="66" t="s">
        <v>2306</v>
      </c>
      <c r="C669" s="68">
        <v>0</v>
      </c>
      <c r="D669" s="68">
        <v>0</v>
      </c>
      <c r="E669" s="68">
        <v>0</v>
      </c>
      <c r="F669" s="68">
        <v>3075</v>
      </c>
      <c r="G669" s="68">
        <v>0</v>
      </c>
      <c r="H669" s="68">
        <v>3075</v>
      </c>
      <c r="I669" s="68">
        <v>0</v>
      </c>
      <c r="J669" s="68">
        <v>3075</v>
      </c>
    </row>
    <row r="670" spans="1:10">
      <c r="A670" s="66" t="s">
        <v>2307</v>
      </c>
      <c r="B670" s="66" t="s">
        <v>2308</v>
      </c>
      <c r="C670" s="68">
        <v>2716031.41</v>
      </c>
      <c r="D670" s="68">
        <v>0</v>
      </c>
      <c r="E670" s="68">
        <v>7869823.9099999964</v>
      </c>
      <c r="F670" s="68">
        <v>10470336.37999998</v>
      </c>
      <c r="G670" s="68">
        <v>93250527.419999987</v>
      </c>
      <c r="H670" s="68">
        <v>85145904.70999983</v>
      </c>
      <c r="I670" s="68">
        <v>8104622.7100001574</v>
      </c>
      <c r="J670" s="68">
        <v>0</v>
      </c>
    </row>
    <row r="671" spans="1:10">
      <c r="A671" s="66" t="s">
        <v>2309</v>
      </c>
      <c r="B671" s="66" t="s">
        <v>1356</v>
      </c>
      <c r="C671" s="68">
        <v>0</v>
      </c>
      <c r="D671" s="68">
        <v>0</v>
      </c>
      <c r="E671" s="68">
        <v>0</v>
      </c>
      <c r="F671" s="68">
        <v>0</v>
      </c>
      <c r="G671" s="68">
        <v>208.11</v>
      </c>
      <c r="H671" s="68">
        <v>208.11</v>
      </c>
      <c r="I671" s="68">
        <v>0</v>
      </c>
      <c r="J671" s="68">
        <v>0</v>
      </c>
    </row>
    <row r="672" spans="1:10">
      <c r="A672" s="66" t="s">
        <v>2310</v>
      </c>
      <c r="B672" s="66" t="s">
        <v>2311</v>
      </c>
      <c r="C672" s="68">
        <v>2716031.41</v>
      </c>
      <c r="D672" s="68">
        <v>0</v>
      </c>
      <c r="E672" s="68">
        <v>7869823.9099999964</v>
      </c>
      <c r="F672" s="68">
        <v>10470336.37999998</v>
      </c>
      <c r="G672" s="68">
        <v>93102281.429999992</v>
      </c>
      <c r="H672" s="68">
        <v>84997822.389999837</v>
      </c>
      <c r="I672" s="68">
        <v>8104459.0400001556</v>
      </c>
      <c r="J672" s="68">
        <v>0</v>
      </c>
    </row>
    <row r="673" spans="1:10">
      <c r="A673" s="66" t="s">
        <v>2312</v>
      </c>
      <c r="B673" s="66" t="s">
        <v>1564</v>
      </c>
      <c r="C673" s="68">
        <v>0</v>
      </c>
      <c r="D673" s="68">
        <v>0</v>
      </c>
      <c r="E673" s="68">
        <v>0</v>
      </c>
      <c r="F673" s="68">
        <v>0</v>
      </c>
      <c r="G673" s="68">
        <v>300</v>
      </c>
      <c r="H673" s="68">
        <v>300</v>
      </c>
      <c r="I673" s="68">
        <v>0</v>
      </c>
      <c r="J673" s="68">
        <v>0</v>
      </c>
    </row>
    <row r="674" spans="1:10">
      <c r="A674" s="66" t="s">
        <v>2313</v>
      </c>
      <c r="B674" s="66" t="s">
        <v>2314</v>
      </c>
      <c r="C674" s="68">
        <v>0</v>
      </c>
      <c r="D674" s="68">
        <v>0</v>
      </c>
      <c r="E674" s="68">
        <v>0</v>
      </c>
      <c r="F674" s="68">
        <v>0</v>
      </c>
      <c r="G674" s="68">
        <v>20000</v>
      </c>
      <c r="H674" s="68">
        <v>20000</v>
      </c>
      <c r="I674" s="68">
        <v>0</v>
      </c>
      <c r="J674" s="68">
        <v>0</v>
      </c>
    </row>
    <row r="675" spans="1:10">
      <c r="A675" s="66" t="s">
        <v>2315</v>
      </c>
      <c r="B675" s="66" t="s">
        <v>1984</v>
      </c>
      <c r="C675" s="68">
        <v>0</v>
      </c>
      <c r="D675" s="68">
        <v>0</v>
      </c>
      <c r="E675" s="68">
        <v>0</v>
      </c>
      <c r="F675" s="68">
        <v>0</v>
      </c>
      <c r="G675" s="68">
        <v>107000</v>
      </c>
      <c r="H675" s="68">
        <v>107000</v>
      </c>
      <c r="I675" s="68">
        <v>0</v>
      </c>
      <c r="J675" s="68">
        <v>0</v>
      </c>
    </row>
    <row r="676" spans="1:10">
      <c r="A676" s="66" t="s">
        <v>2316</v>
      </c>
      <c r="B676" s="66" t="s">
        <v>2068</v>
      </c>
      <c r="C676" s="68">
        <v>0</v>
      </c>
      <c r="D676" s="68">
        <v>0</v>
      </c>
      <c r="E676" s="68">
        <v>0</v>
      </c>
      <c r="F676" s="68">
        <v>0</v>
      </c>
      <c r="G676" s="68">
        <v>163.66999999999999</v>
      </c>
      <c r="H676" s="68">
        <v>0</v>
      </c>
      <c r="I676" s="68">
        <v>163.66999999999999</v>
      </c>
      <c r="J676" s="68">
        <v>0</v>
      </c>
    </row>
    <row r="677" spans="1:10">
      <c r="A677" s="66" t="s">
        <v>2317</v>
      </c>
      <c r="B677" s="66" t="s">
        <v>2092</v>
      </c>
      <c r="C677" s="68">
        <v>0</v>
      </c>
      <c r="D677" s="68">
        <v>0</v>
      </c>
      <c r="E677" s="68">
        <v>0</v>
      </c>
      <c r="F677" s="68">
        <v>0</v>
      </c>
      <c r="G677" s="68">
        <v>20574.21</v>
      </c>
      <c r="H677" s="68">
        <v>20574.21</v>
      </c>
      <c r="I677" s="68">
        <v>0</v>
      </c>
      <c r="J677" s="68">
        <v>0</v>
      </c>
    </row>
    <row r="678" spans="1:10">
      <c r="A678" s="66" t="s">
        <v>2318</v>
      </c>
      <c r="B678" s="66" t="s">
        <v>2319</v>
      </c>
      <c r="C678" s="68">
        <v>0</v>
      </c>
      <c r="D678" s="68">
        <v>20516.400000000001</v>
      </c>
      <c r="E678" s="68">
        <v>0</v>
      </c>
      <c r="F678" s="68">
        <v>0</v>
      </c>
      <c r="G678" s="68">
        <v>6647800.6499999994</v>
      </c>
      <c r="H678" s="68">
        <v>6647800.6499999985</v>
      </c>
      <c r="I678" s="68">
        <v>9.3132257461547852E-10</v>
      </c>
      <c r="J678" s="68">
        <v>0</v>
      </c>
    </row>
    <row r="679" spans="1:10">
      <c r="A679" s="66" t="s">
        <v>2320</v>
      </c>
      <c r="B679" s="66" t="s">
        <v>1516</v>
      </c>
      <c r="C679" s="68">
        <v>0</v>
      </c>
      <c r="D679" s="68">
        <v>0</v>
      </c>
      <c r="E679" s="68">
        <v>0</v>
      </c>
      <c r="F679" s="68">
        <v>0</v>
      </c>
      <c r="G679" s="68">
        <v>36838.5</v>
      </c>
      <c r="H679" s="68">
        <v>36838.5</v>
      </c>
      <c r="I679" s="68">
        <v>0</v>
      </c>
      <c r="J679" s="68">
        <v>0</v>
      </c>
    </row>
    <row r="680" spans="1:10">
      <c r="A680" s="66" t="s">
        <v>2321</v>
      </c>
      <c r="B680" s="66" t="s">
        <v>1604</v>
      </c>
      <c r="C680" s="68">
        <v>0</v>
      </c>
      <c r="D680" s="68">
        <v>0</v>
      </c>
      <c r="E680" s="68">
        <v>0</v>
      </c>
      <c r="F680" s="68">
        <v>0</v>
      </c>
      <c r="G680" s="68">
        <v>4587900</v>
      </c>
      <c r="H680" s="68">
        <v>4587900</v>
      </c>
      <c r="I680" s="68">
        <v>0</v>
      </c>
      <c r="J680" s="68">
        <v>0</v>
      </c>
    </row>
    <row r="681" spans="1:10">
      <c r="A681" s="66" t="s">
        <v>2322</v>
      </c>
      <c r="B681" s="66" t="s">
        <v>1792</v>
      </c>
      <c r="C681" s="68">
        <v>0</v>
      </c>
      <c r="D681" s="68">
        <v>0</v>
      </c>
      <c r="E681" s="68">
        <v>0</v>
      </c>
      <c r="F681" s="68">
        <v>0</v>
      </c>
      <c r="G681" s="68">
        <v>76198.48</v>
      </c>
      <c r="H681" s="68">
        <v>76198.48</v>
      </c>
      <c r="I681" s="68">
        <v>0</v>
      </c>
      <c r="J681" s="68">
        <v>0</v>
      </c>
    </row>
    <row r="682" spans="1:10">
      <c r="A682" s="66" t="s">
        <v>2323</v>
      </c>
      <c r="B682" s="66" t="s">
        <v>2324</v>
      </c>
      <c r="C682" s="68">
        <v>0</v>
      </c>
      <c r="D682" s="68">
        <v>8979</v>
      </c>
      <c r="E682" s="68">
        <v>0</v>
      </c>
      <c r="F682" s="68">
        <v>0</v>
      </c>
      <c r="G682" s="68">
        <v>78474</v>
      </c>
      <c r="H682" s="68">
        <v>78474</v>
      </c>
      <c r="I682" s="68">
        <v>0</v>
      </c>
      <c r="J682" s="68">
        <v>0</v>
      </c>
    </row>
    <row r="683" spans="1:10">
      <c r="A683" s="66" t="s">
        <v>2325</v>
      </c>
      <c r="B683" s="66" t="s">
        <v>2326</v>
      </c>
      <c r="C683" s="68">
        <v>0</v>
      </c>
      <c r="D683" s="68">
        <v>11537.4</v>
      </c>
      <c r="E683" s="68">
        <v>0</v>
      </c>
      <c r="F683" s="68">
        <v>0</v>
      </c>
      <c r="G683" s="68">
        <v>28843.499999999996</v>
      </c>
      <c r="H683" s="68">
        <v>28843.499999999996</v>
      </c>
      <c r="I683" s="68">
        <v>0</v>
      </c>
      <c r="J683" s="68">
        <v>0</v>
      </c>
    </row>
    <row r="684" spans="1:10">
      <c r="A684" s="66" t="s">
        <v>2327</v>
      </c>
      <c r="B684" s="66" t="s">
        <v>2328</v>
      </c>
      <c r="C684" s="68">
        <v>0</v>
      </c>
      <c r="D684" s="68">
        <v>0</v>
      </c>
      <c r="E684" s="68">
        <v>0</v>
      </c>
      <c r="F684" s="68">
        <v>0</v>
      </c>
      <c r="G684" s="68">
        <v>126892.93</v>
      </c>
      <c r="H684" s="68">
        <v>126892.93000000002</v>
      </c>
      <c r="I684" s="68">
        <v>0</v>
      </c>
      <c r="J684" s="68">
        <v>2.9103830456733704E-11</v>
      </c>
    </row>
    <row r="685" spans="1:10">
      <c r="A685" s="66" t="s">
        <v>2329</v>
      </c>
      <c r="B685" s="66" t="s">
        <v>2048</v>
      </c>
      <c r="C685" s="68">
        <v>0</v>
      </c>
      <c r="D685" s="68">
        <v>0</v>
      </c>
      <c r="E685" s="68">
        <v>0</v>
      </c>
      <c r="F685" s="68">
        <v>0</v>
      </c>
      <c r="G685" s="68">
        <v>1712653.24</v>
      </c>
      <c r="H685" s="68">
        <v>1712653.24</v>
      </c>
      <c r="I685" s="68">
        <v>0</v>
      </c>
      <c r="J685" s="68">
        <v>0</v>
      </c>
    </row>
    <row r="686" spans="1:10">
      <c r="A686" s="66" t="s">
        <v>2330</v>
      </c>
      <c r="B686" s="66" t="s">
        <v>2331</v>
      </c>
      <c r="C686" s="68">
        <v>0</v>
      </c>
      <c r="D686" s="68">
        <v>205454</v>
      </c>
      <c r="E686" s="68">
        <v>110126</v>
      </c>
      <c r="F686" s="68">
        <v>120856</v>
      </c>
      <c r="G686" s="68">
        <v>1193381</v>
      </c>
      <c r="H686" s="68">
        <v>1423019</v>
      </c>
      <c r="I686" s="68">
        <v>0</v>
      </c>
      <c r="J686" s="68">
        <v>229638</v>
      </c>
    </row>
    <row r="687" spans="1:10">
      <c r="A687" s="66" t="s">
        <v>2332</v>
      </c>
      <c r="B687" s="66" t="s">
        <v>2333</v>
      </c>
      <c r="C687" s="68">
        <v>0</v>
      </c>
      <c r="D687" s="68">
        <v>205454</v>
      </c>
      <c r="E687" s="68">
        <v>110126</v>
      </c>
      <c r="F687" s="68">
        <v>120856</v>
      </c>
      <c r="G687" s="68">
        <v>1193381</v>
      </c>
      <c r="H687" s="68">
        <v>1423019</v>
      </c>
      <c r="I687" s="68">
        <v>0</v>
      </c>
      <c r="J687" s="68">
        <v>229638</v>
      </c>
    </row>
    <row r="688" spans="1:10">
      <c r="A688" s="66" t="s">
        <v>2334</v>
      </c>
      <c r="B688" s="66" t="s">
        <v>2335</v>
      </c>
      <c r="C688" s="68">
        <v>523209.81</v>
      </c>
      <c r="D688" s="68">
        <v>3209.8</v>
      </c>
      <c r="E688" s="68">
        <v>1335505.3299999982</v>
      </c>
      <c r="F688" s="68">
        <v>853261.8900000006</v>
      </c>
      <c r="G688" s="68">
        <v>11221088.140000001</v>
      </c>
      <c r="H688" s="68">
        <v>10878894.800000001</v>
      </c>
      <c r="I688" s="68">
        <v>342193.33999999985</v>
      </c>
      <c r="J688" s="68">
        <v>0</v>
      </c>
    </row>
    <row r="689" spans="1:10">
      <c r="A689" s="66" t="s">
        <v>2336</v>
      </c>
      <c r="B689" s="66" t="s">
        <v>2337</v>
      </c>
      <c r="C689" s="68">
        <v>229623.03</v>
      </c>
      <c r="D689" s="68">
        <v>0</v>
      </c>
      <c r="E689" s="68">
        <v>193758.1399999999</v>
      </c>
      <c r="F689" s="68">
        <v>0</v>
      </c>
      <c r="G689" s="68">
        <v>803212.4800000001</v>
      </c>
      <c r="H689" s="68">
        <v>609454.34</v>
      </c>
      <c r="I689" s="68">
        <v>193758.14000000013</v>
      </c>
      <c r="J689" s="68">
        <v>0</v>
      </c>
    </row>
    <row r="690" spans="1:10">
      <c r="A690" s="66" t="s">
        <v>2338</v>
      </c>
      <c r="B690" s="66" t="s">
        <v>2339</v>
      </c>
      <c r="C690" s="68">
        <v>36104.78</v>
      </c>
      <c r="D690" s="68">
        <v>0</v>
      </c>
      <c r="E690" s="68">
        <v>3</v>
      </c>
      <c r="F690" s="68">
        <v>0</v>
      </c>
      <c r="G690" s="68">
        <v>783843.37</v>
      </c>
      <c r="H690" s="68">
        <v>783843.36999999988</v>
      </c>
      <c r="I690" s="68">
        <v>1.1641532182693481E-10</v>
      </c>
      <c r="J690" s="68">
        <v>0</v>
      </c>
    </row>
    <row r="691" spans="1:10">
      <c r="A691" s="66" t="s">
        <v>2340</v>
      </c>
      <c r="B691" s="66" t="s">
        <v>2341</v>
      </c>
      <c r="C691" s="68">
        <v>0</v>
      </c>
      <c r="D691" s="68">
        <v>0</v>
      </c>
      <c r="E691" s="68">
        <v>575</v>
      </c>
      <c r="F691" s="68">
        <v>4.159999999916181</v>
      </c>
      <c r="G691" s="68">
        <v>1054279.08</v>
      </c>
      <c r="H691" s="68">
        <v>1053704.08</v>
      </c>
      <c r="I691" s="68">
        <v>575</v>
      </c>
      <c r="J691" s="68">
        <v>0</v>
      </c>
    </row>
    <row r="692" spans="1:10">
      <c r="A692" s="66" t="s">
        <v>2342</v>
      </c>
      <c r="B692" s="66" t="s">
        <v>2343</v>
      </c>
      <c r="C692" s="68">
        <v>0</v>
      </c>
      <c r="D692" s="68">
        <v>0</v>
      </c>
      <c r="E692" s="68">
        <v>0</v>
      </c>
      <c r="F692" s="68">
        <v>0.94999999995343387</v>
      </c>
      <c r="G692" s="68">
        <v>817109.47000000009</v>
      </c>
      <c r="H692" s="68">
        <v>817109.47</v>
      </c>
      <c r="I692" s="68">
        <v>1.1641532182693481E-10</v>
      </c>
      <c r="J692" s="68">
        <v>0</v>
      </c>
    </row>
    <row r="693" spans="1:10">
      <c r="A693" s="66" t="s">
        <v>2344</v>
      </c>
      <c r="B693" s="66" t="s">
        <v>2345</v>
      </c>
      <c r="C693" s="68">
        <v>0</v>
      </c>
      <c r="D693" s="68">
        <v>0</v>
      </c>
      <c r="E693" s="68">
        <v>0</v>
      </c>
      <c r="F693" s="68">
        <v>0</v>
      </c>
      <c r="G693" s="68">
        <v>1231199.6399999997</v>
      </c>
      <c r="H693" s="68">
        <v>1231199.6400000001</v>
      </c>
      <c r="I693" s="68">
        <v>0</v>
      </c>
      <c r="J693" s="68">
        <v>4.6566128730773926E-10</v>
      </c>
    </row>
    <row r="694" spans="1:10">
      <c r="A694" s="66" t="s">
        <v>2346</v>
      </c>
      <c r="B694" s="66" t="s">
        <v>2347</v>
      </c>
      <c r="C694" s="68">
        <v>0</v>
      </c>
      <c r="D694" s="68">
        <v>0</v>
      </c>
      <c r="E694" s="68">
        <v>8276.3299999999581</v>
      </c>
      <c r="F694" s="68">
        <v>1.0799999999580905</v>
      </c>
      <c r="G694" s="68">
        <v>768758.37</v>
      </c>
      <c r="H694" s="68">
        <v>768758.36999999988</v>
      </c>
      <c r="I694" s="68">
        <v>1.1641532182693481E-10</v>
      </c>
      <c r="J694" s="68">
        <v>0</v>
      </c>
    </row>
    <row r="695" spans="1:10">
      <c r="A695" s="66" t="s">
        <v>2348</v>
      </c>
      <c r="B695" s="66" t="s">
        <v>2349</v>
      </c>
      <c r="C695" s="68">
        <v>0</v>
      </c>
      <c r="D695" s="68">
        <v>1115.8</v>
      </c>
      <c r="E695" s="68">
        <v>10870.329999999958</v>
      </c>
      <c r="F695" s="68">
        <v>0.22999999998137355</v>
      </c>
      <c r="G695" s="68">
        <v>720723.17</v>
      </c>
      <c r="H695" s="68">
        <v>721838.97</v>
      </c>
      <c r="I695" s="68">
        <v>0</v>
      </c>
      <c r="J695" s="68">
        <v>1115.7999999999302</v>
      </c>
    </row>
    <row r="696" spans="1:10">
      <c r="A696" s="66" t="s">
        <v>2350</v>
      </c>
      <c r="B696" s="66" t="s">
        <v>2351</v>
      </c>
      <c r="C696" s="68">
        <v>0</v>
      </c>
      <c r="D696" s="68">
        <v>0</v>
      </c>
      <c r="E696" s="68">
        <v>176470.58000000002</v>
      </c>
      <c r="F696" s="68">
        <v>0</v>
      </c>
      <c r="G696" s="68">
        <v>650227.27000000014</v>
      </c>
      <c r="H696" s="68">
        <v>650227.27</v>
      </c>
      <c r="I696" s="68">
        <v>1.1641532182693481E-10</v>
      </c>
      <c r="J696" s="68">
        <v>0</v>
      </c>
    </row>
    <row r="697" spans="1:10">
      <c r="A697" s="72" t="s">
        <v>2352</v>
      </c>
      <c r="B697" s="72" t="s">
        <v>2353</v>
      </c>
      <c r="C697" s="73">
        <v>0</v>
      </c>
      <c r="D697" s="73">
        <v>0</v>
      </c>
      <c r="E697" s="73">
        <v>311834.06000000006</v>
      </c>
      <c r="F697" s="73">
        <v>435.06999999994878</v>
      </c>
      <c r="G697" s="73">
        <v>738044.84000000008</v>
      </c>
      <c r="H697" s="73">
        <v>738044.84</v>
      </c>
      <c r="I697" s="73">
        <v>1.1641532182693481E-10</v>
      </c>
      <c r="J697" s="73">
        <v>0</v>
      </c>
    </row>
    <row r="698" spans="1:10">
      <c r="A698" s="72" t="s">
        <v>2354</v>
      </c>
      <c r="B698" s="72" t="s">
        <v>2355</v>
      </c>
      <c r="C698" s="73">
        <v>0</v>
      </c>
      <c r="D698" s="73">
        <v>2094</v>
      </c>
      <c r="E698" s="73">
        <v>4961.0999999999767</v>
      </c>
      <c r="F698" s="73">
        <v>14.07999999995809</v>
      </c>
      <c r="G698" s="73">
        <v>571207.99999999988</v>
      </c>
      <c r="H698" s="73">
        <v>571207.99999999988</v>
      </c>
      <c r="I698" s="73">
        <v>0</v>
      </c>
      <c r="J698" s="73">
        <v>0</v>
      </c>
    </row>
    <row r="699" spans="1:10">
      <c r="A699" s="72" t="s">
        <v>2356</v>
      </c>
      <c r="B699" s="72" t="s">
        <v>2357</v>
      </c>
      <c r="C699" s="73">
        <v>126143</v>
      </c>
      <c r="D699" s="73">
        <v>0</v>
      </c>
      <c r="E699" s="73">
        <v>118219.42999999993</v>
      </c>
      <c r="F699" s="73">
        <v>265.89000000001397</v>
      </c>
      <c r="G699" s="73">
        <v>748880.27</v>
      </c>
      <c r="H699" s="73">
        <v>748880.27000000014</v>
      </c>
      <c r="I699" s="73">
        <v>0</v>
      </c>
      <c r="J699" s="73">
        <v>1.1641532182693481E-10</v>
      </c>
    </row>
    <row r="700" spans="1:10">
      <c r="A700" s="72" t="s">
        <v>2358</v>
      </c>
      <c r="B700" s="72" t="s">
        <v>2359</v>
      </c>
      <c r="C700" s="73">
        <v>131339</v>
      </c>
      <c r="D700" s="73">
        <v>0</v>
      </c>
      <c r="E700" s="73">
        <v>510537.3600000001</v>
      </c>
      <c r="F700" s="73">
        <v>340215.28</v>
      </c>
      <c r="G700" s="73">
        <v>1094353.9300000002</v>
      </c>
      <c r="H700" s="73">
        <v>945377.93</v>
      </c>
      <c r="I700" s="73">
        <v>148976.00000000012</v>
      </c>
      <c r="J700" s="73">
        <v>0</v>
      </c>
    </row>
    <row r="701" spans="1:10">
      <c r="A701" s="72" t="s">
        <v>2360</v>
      </c>
      <c r="B701" s="72" t="s">
        <v>2337</v>
      </c>
      <c r="C701" s="73">
        <v>0</v>
      </c>
      <c r="D701" s="73">
        <v>0</v>
      </c>
      <c r="E701" s="73">
        <v>0</v>
      </c>
      <c r="F701" s="73">
        <v>0</v>
      </c>
      <c r="G701" s="73">
        <v>1158.05</v>
      </c>
      <c r="H701" s="73">
        <v>1158.05</v>
      </c>
      <c r="I701" s="73">
        <v>0</v>
      </c>
      <c r="J701" s="73">
        <v>0</v>
      </c>
    </row>
    <row r="702" spans="1:10">
      <c r="A702" s="72" t="s">
        <v>2361</v>
      </c>
      <c r="B702" s="72" t="s">
        <v>2339</v>
      </c>
      <c r="C702" s="73">
        <v>0</v>
      </c>
      <c r="D702" s="73">
        <v>0</v>
      </c>
      <c r="E702" s="73">
        <v>0</v>
      </c>
      <c r="F702" s="73">
        <v>0</v>
      </c>
      <c r="G702" s="73">
        <v>53953.72</v>
      </c>
      <c r="H702" s="73">
        <v>53953.72</v>
      </c>
      <c r="I702" s="73">
        <v>0</v>
      </c>
      <c r="J702" s="73">
        <v>0</v>
      </c>
    </row>
    <row r="703" spans="1:10">
      <c r="A703" s="72" t="s">
        <v>2362</v>
      </c>
      <c r="B703" s="72" t="s">
        <v>2341</v>
      </c>
      <c r="C703" s="73">
        <v>0</v>
      </c>
      <c r="D703" s="73">
        <v>0</v>
      </c>
      <c r="E703" s="73">
        <v>0</v>
      </c>
      <c r="F703" s="73">
        <v>0</v>
      </c>
      <c r="G703" s="73">
        <v>132078.18</v>
      </c>
      <c r="H703" s="73">
        <v>132078.18</v>
      </c>
      <c r="I703" s="73">
        <v>0</v>
      </c>
      <c r="J703" s="73">
        <v>0</v>
      </c>
    </row>
    <row r="704" spans="1:10">
      <c r="A704" s="72" t="s">
        <v>2363</v>
      </c>
      <c r="B704" s="72" t="s">
        <v>2343</v>
      </c>
      <c r="C704" s="73">
        <v>0</v>
      </c>
      <c r="D704" s="73">
        <v>0</v>
      </c>
      <c r="E704" s="73">
        <v>0</v>
      </c>
      <c r="F704" s="73">
        <v>0</v>
      </c>
      <c r="G704" s="73">
        <v>147374.41999999998</v>
      </c>
      <c r="H704" s="73">
        <v>147374.42000000001</v>
      </c>
      <c r="I704" s="73">
        <v>0</v>
      </c>
      <c r="J704" s="73">
        <v>2.9103830456733704E-11</v>
      </c>
    </row>
    <row r="705" spans="1:10">
      <c r="A705" s="72" t="s">
        <v>2364</v>
      </c>
      <c r="B705" s="72" t="s">
        <v>2345</v>
      </c>
      <c r="C705" s="73">
        <v>0</v>
      </c>
      <c r="D705" s="73">
        <v>0</v>
      </c>
      <c r="E705" s="73">
        <v>0</v>
      </c>
      <c r="F705" s="73">
        <v>0</v>
      </c>
      <c r="G705" s="73">
        <v>392358.73</v>
      </c>
      <c r="H705" s="73">
        <v>392358.73</v>
      </c>
      <c r="I705" s="73">
        <v>0</v>
      </c>
      <c r="J705" s="73">
        <v>0</v>
      </c>
    </row>
    <row r="706" spans="1:10">
      <c r="A706" s="72" t="s">
        <v>2365</v>
      </c>
      <c r="B706" s="72" t="s">
        <v>2347</v>
      </c>
      <c r="C706" s="73">
        <v>0</v>
      </c>
      <c r="D706" s="73">
        <v>0</v>
      </c>
      <c r="E706" s="73">
        <v>0</v>
      </c>
      <c r="F706" s="73">
        <v>8248.33</v>
      </c>
      <c r="G706" s="73">
        <v>8248.33</v>
      </c>
      <c r="H706" s="73">
        <v>8248.33</v>
      </c>
      <c r="I706" s="73">
        <v>0</v>
      </c>
      <c r="J706" s="73">
        <v>0</v>
      </c>
    </row>
    <row r="707" spans="1:10">
      <c r="A707" s="72" t="s">
        <v>2366</v>
      </c>
      <c r="B707" s="72" t="s">
        <v>2349</v>
      </c>
      <c r="C707" s="73">
        <v>0</v>
      </c>
      <c r="D707" s="73">
        <v>0</v>
      </c>
      <c r="E707" s="73">
        <v>0</v>
      </c>
      <c r="F707" s="73">
        <v>10870.33</v>
      </c>
      <c r="G707" s="73">
        <v>10870.329999999998</v>
      </c>
      <c r="H707" s="73">
        <v>10870.33</v>
      </c>
      <c r="I707" s="73">
        <v>0</v>
      </c>
      <c r="J707" s="73">
        <v>1.8189894035458565E-12</v>
      </c>
    </row>
    <row r="708" spans="1:10">
      <c r="A708" s="72" t="s">
        <v>2367</v>
      </c>
      <c r="B708" s="72" t="s">
        <v>2351</v>
      </c>
      <c r="C708" s="73">
        <v>0</v>
      </c>
      <c r="D708" s="73">
        <v>0</v>
      </c>
      <c r="E708" s="73">
        <v>0</v>
      </c>
      <c r="F708" s="73">
        <v>176470.33</v>
      </c>
      <c r="G708" s="73">
        <v>176470.33</v>
      </c>
      <c r="H708" s="73">
        <v>176470.33</v>
      </c>
      <c r="I708" s="73">
        <v>0</v>
      </c>
      <c r="J708" s="73">
        <v>0</v>
      </c>
    </row>
    <row r="709" spans="1:10">
      <c r="A709" s="72" t="s">
        <v>2368</v>
      </c>
      <c r="B709" s="72" t="s">
        <v>2353</v>
      </c>
      <c r="C709" s="73">
        <v>0</v>
      </c>
      <c r="D709" s="73">
        <v>0</v>
      </c>
      <c r="E709" s="73">
        <v>0</v>
      </c>
      <c r="F709" s="73">
        <v>311775.06</v>
      </c>
      <c r="G709" s="73">
        <v>311775.06</v>
      </c>
      <c r="H709" s="73">
        <v>311775.06</v>
      </c>
      <c r="I709" s="73">
        <v>0</v>
      </c>
      <c r="J709" s="73">
        <v>0</v>
      </c>
    </row>
    <row r="710" spans="1:10">
      <c r="A710" s="72" t="s">
        <v>2369</v>
      </c>
      <c r="B710" s="72" t="s">
        <v>2355</v>
      </c>
      <c r="C710" s="73">
        <v>0</v>
      </c>
      <c r="D710" s="73">
        <v>0</v>
      </c>
      <c r="E710" s="73">
        <v>0</v>
      </c>
      <c r="F710" s="73">
        <v>4961.1000000000004</v>
      </c>
      <c r="G710" s="73">
        <v>4961.1000000000004</v>
      </c>
      <c r="H710" s="73">
        <v>4961.1000000000004</v>
      </c>
      <c r="I710" s="73">
        <v>0</v>
      </c>
      <c r="J710" s="73">
        <v>0</v>
      </c>
    </row>
    <row r="711" spans="1:10">
      <c r="A711" s="72" t="s">
        <v>2370</v>
      </c>
      <c r="B711" s="72" t="s">
        <v>2371</v>
      </c>
      <c r="C711" s="73">
        <v>0</v>
      </c>
      <c r="D711" s="73">
        <v>2162</v>
      </c>
      <c r="E711" s="73">
        <v>2172</v>
      </c>
      <c r="F711" s="73">
        <v>4467</v>
      </c>
      <c r="G711" s="73">
        <v>27323</v>
      </c>
      <c r="H711" s="73">
        <v>29612</v>
      </c>
      <c r="I711" s="73">
        <v>0</v>
      </c>
      <c r="J711" s="73">
        <v>2289</v>
      </c>
    </row>
    <row r="712" spans="1:10">
      <c r="A712" s="72" t="s">
        <v>2372</v>
      </c>
      <c r="B712" s="72" t="s">
        <v>2373</v>
      </c>
      <c r="C712" s="73">
        <v>10</v>
      </c>
      <c r="D712" s="73">
        <v>5195953.93</v>
      </c>
      <c r="E712" s="73">
        <v>167989</v>
      </c>
      <c r="F712" s="73">
        <v>674556.8900000006</v>
      </c>
      <c r="G712" s="73">
        <v>7360930.9299999988</v>
      </c>
      <c r="H712" s="73">
        <v>14853156.279999999</v>
      </c>
      <c r="I712" s="73">
        <v>0</v>
      </c>
      <c r="J712" s="73">
        <v>7492225.3500000006</v>
      </c>
    </row>
    <row r="713" spans="1:10">
      <c r="A713" s="72" t="s">
        <v>2374</v>
      </c>
      <c r="B713" s="72" t="s">
        <v>2375</v>
      </c>
      <c r="C713" s="73">
        <v>10</v>
      </c>
      <c r="D713" s="73">
        <v>0</v>
      </c>
      <c r="E713" s="73">
        <v>148408</v>
      </c>
      <c r="F713" s="73">
        <v>0</v>
      </c>
      <c r="G713" s="73">
        <v>1780960.52</v>
      </c>
      <c r="H713" s="73">
        <v>1780960.52</v>
      </c>
      <c r="I713" s="73">
        <v>0</v>
      </c>
      <c r="J713" s="73">
        <v>0</v>
      </c>
    </row>
    <row r="714" spans="1:10">
      <c r="A714" s="72" t="s">
        <v>2376</v>
      </c>
      <c r="B714" s="72" t="s">
        <v>2377</v>
      </c>
      <c r="C714" s="73">
        <v>0</v>
      </c>
      <c r="D714" s="73">
        <v>0</v>
      </c>
      <c r="E714" s="73">
        <v>0</v>
      </c>
      <c r="F714" s="73">
        <v>0</v>
      </c>
      <c r="G714" s="73">
        <v>3272</v>
      </c>
      <c r="H714" s="73">
        <v>3272</v>
      </c>
      <c r="I714" s="73">
        <v>0</v>
      </c>
      <c r="J714" s="73">
        <v>0</v>
      </c>
    </row>
    <row r="715" spans="1:10">
      <c r="A715" s="72" t="s">
        <v>2378</v>
      </c>
      <c r="B715" s="72" t="s">
        <v>1588</v>
      </c>
      <c r="C715" s="73">
        <v>0</v>
      </c>
      <c r="D715" s="73">
        <v>0</v>
      </c>
      <c r="E715" s="73">
        <v>0</v>
      </c>
      <c r="F715" s="73">
        <v>0</v>
      </c>
      <c r="G715" s="73">
        <v>1157</v>
      </c>
      <c r="H715" s="73">
        <v>1157</v>
      </c>
      <c r="I715" s="73">
        <v>0</v>
      </c>
      <c r="J715" s="73">
        <v>0</v>
      </c>
    </row>
    <row r="716" spans="1:10">
      <c r="A716" s="72" t="s">
        <v>2379</v>
      </c>
      <c r="B716" s="72" t="s">
        <v>2380</v>
      </c>
      <c r="C716" s="73">
        <v>0</v>
      </c>
      <c r="D716" s="73">
        <v>0</v>
      </c>
      <c r="E716" s="73">
        <v>0</v>
      </c>
      <c r="F716" s="73">
        <v>-864</v>
      </c>
      <c r="G716" s="73">
        <v>39223</v>
      </c>
      <c r="H716" s="73">
        <v>38359</v>
      </c>
      <c r="I716" s="73">
        <v>864</v>
      </c>
      <c r="J716" s="73">
        <v>0</v>
      </c>
    </row>
    <row r="717" spans="1:10">
      <c r="A717" s="72" t="s">
        <v>2381</v>
      </c>
      <c r="B717" s="72" t="s">
        <v>2382</v>
      </c>
      <c r="C717" s="73">
        <v>0</v>
      </c>
      <c r="D717" s="73">
        <v>19735</v>
      </c>
      <c r="E717" s="73">
        <v>19581</v>
      </c>
      <c r="F717" s="73">
        <v>37399</v>
      </c>
      <c r="G717" s="73">
        <v>252867</v>
      </c>
      <c r="H717" s="73">
        <v>270685</v>
      </c>
      <c r="I717" s="73">
        <v>0</v>
      </c>
      <c r="J717" s="73">
        <v>17818</v>
      </c>
    </row>
    <row r="718" spans="1:10">
      <c r="A718" s="72" t="s">
        <v>2383</v>
      </c>
      <c r="B718" s="72" t="s">
        <v>2384</v>
      </c>
      <c r="C718" s="73">
        <v>0</v>
      </c>
      <c r="D718" s="73">
        <v>0</v>
      </c>
      <c r="E718" s="73">
        <v>0</v>
      </c>
      <c r="F718" s="73">
        <v>0</v>
      </c>
      <c r="G718" s="73">
        <v>11964.54</v>
      </c>
      <c r="H718" s="73">
        <v>11964.54</v>
      </c>
      <c r="I718" s="73">
        <v>0</v>
      </c>
      <c r="J718" s="73">
        <v>0</v>
      </c>
    </row>
    <row r="719" spans="1:10">
      <c r="A719" s="72" t="s">
        <v>2385</v>
      </c>
      <c r="B719" s="72" t="s">
        <v>2386</v>
      </c>
      <c r="C719" s="73">
        <v>0</v>
      </c>
      <c r="D719" s="73">
        <v>5176218.93</v>
      </c>
      <c r="E719" s="73">
        <v>0</v>
      </c>
      <c r="F719" s="73">
        <v>634996.8900000006</v>
      </c>
      <c r="G719" s="73">
        <v>5242111.5199999996</v>
      </c>
      <c r="H719" s="73">
        <v>12714357.870000001</v>
      </c>
      <c r="I719" s="73">
        <v>0</v>
      </c>
      <c r="J719" s="73">
        <v>7472246.3500000015</v>
      </c>
    </row>
    <row r="720" spans="1:10">
      <c r="A720" s="72" t="s">
        <v>2387</v>
      </c>
      <c r="B720" s="72" t="s">
        <v>2388</v>
      </c>
      <c r="C720" s="73">
        <v>0</v>
      </c>
      <c r="D720" s="73">
        <v>0</v>
      </c>
      <c r="E720" s="73">
        <v>0</v>
      </c>
      <c r="F720" s="73">
        <v>0</v>
      </c>
      <c r="G720" s="73">
        <v>9829.7999999999993</v>
      </c>
      <c r="H720" s="73">
        <v>9829.7999999999993</v>
      </c>
      <c r="I720" s="73">
        <v>0</v>
      </c>
      <c r="J720" s="73">
        <v>0</v>
      </c>
    </row>
    <row r="721" spans="1:10">
      <c r="A721" s="72" t="s">
        <v>2389</v>
      </c>
      <c r="B721" s="72" t="s">
        <v>2390</v>
      </c>
      <c r="C721" s="73">
        <v>0</v>
      </c>
      <c r="D721" s="73">
        <v>0</v>
      </c>
      <c r="E721" s="73">
        <v>0</v>
      </c>
      <c r="F721" s="73">
        <v>3025</v>
      </c>
      <c r="G721" s="73">
        <v>19545.55</v>
      </c>
      <c r="H721" s="73">
        <v>22570.55</v>
      </c>
      <c r="I721" s="73">
        <v>0</v>
      </c>
      <c r="J721" s="73">
        <v>3025</v>
      </c>
    </row>
    <row r="722" spans="1:10">
      <c r="A722" s="72" t="s">
        <v>2391</v>
      </c>
      <c r="B722" s="72" t="s">
        <v>2392</v>
      </c>
      <c r="C722" s="73">
        <v>0</v>
      </c>
      <c r="D722" s="73">
        <v>1142548.3999999999</v>
      </c>
      <c r="E722" s="73">
        <v>534209.66000000015</v>
      </c>
      <c r="F722" s="73">
        <v>663444.58999999985</v>
      </c>
      <c r="G722" s="73">
        <v>6592362.5700000003</v>
      </c>
      <c r="H722" s="73">
        <v>7668177.9499999993</v>
      </c>
      <c r="I722" s="73">
        <v>0</v>
      </c>
      <c r="J722" s="73">
        <v>1075815.379999999</v>
      </c>
    </row>
    <row r="723" spans="1:10">
      <c r="A723" s="72" t="s">
        <v>2393</v>
      </c>
      <c r="B723" s="72" t="s">
        <v>2394</v>
      </c>
      <c r="C723" s="73">
        <v>0</v>
      </c>
      <c r="D723" s="73">
        <v>832336.24</v>
      </c>
      <c r="E723" s="73">
        <v>395585.12999999989</v>
      </c>
      <c r="F723" s="73">
        <v>497351.41999999993</v>
      </c>
      <c r="G723" s="73">
        <v>4928758.04</v>
      </c>
      <c r="H723" s="73">
        <v>5676182.3800000008</v>
      </c>
      <c r="I723" s="73">
        <v>0</v>
      </c>
      <c r="J723" s="73">
        <v>747424.34000000078</v>
      </c>
    </row>
    <row r="724" spans="1:10">
      <c r="A724" s="72" t="s">
        <v>2395</v>
      </c>
      <c r="B724" s="72" t="s">
        <v>2396</v>
      </c>
      <c r="C724" s="73">
        <v>0</v>
      </c>
      <c r="D724" s="73">
        <v>70454.33</v>
      </c>
      <c r="E724" s="73">
        <v>29225.900000000023</v>
      </c>
      <c r="F724" s="73">
        <v>36075.910000000033</v>
      </c>
      <c r="G724" s="73">
        <v>355011.53</v>
      </c>
      <c r="H724" s="73">
        <v>430331.95000000007</v>
      </c>
      <c r="I724" s="73">
        <v>0</v>
      </c>
      <c r="J724" s="73">
        <v>75320.420000000042</v>
      </c>
    </row>
    <row r="725" spans="1:10">
      <c r="A725" s="72" t="s">
        <v>2397</v>
      </c>
      <c r="B725" s="72" t="s">
        <v>2398</v>
      </c>
      <c r="C725" s="73">
        <v>0</v>
      </c>
      <c r="D725" s="73">
        <v>239757.83</v>
      </c>
      <c r="E725" s="73">
        <v>109398.62999999989</v>
      </c>
      <c r="F725" s="73">
        <v>130017.26000000001</v>
      </c>
      <c r="G725" s="73">
        <v>1308593</v>
      </c>
      <c r="H725" s="73">
        <v>1561663.6199999999</v>
      </c>
      <c r="I725" s="73">
        <v>0</v>
      </c>
      <c r="J725" s="73">
        <v>253070.61999999988</v>
      </c>
    </row>
    <row r="726" spans="1:10" hidden="1">
      <c r="A726" s="72" t="s">
        <v>2399</v>
      </c>
      <c r="B726" s="72" t="s">
        <v>2400</v>
      </c>
      <c r="C726" s="73">
        <v>0</v>
      </c>
      <c r="D726" s="73">
        <v>943026.35</v>
      </c>
      <c r="E726" s="73">
        <v>1599779.3899999987</v>
      </c>
      <c r="F726" s="73">
        <v>1704293.9200000018</v>
      </c>
      <c r="G726" s="73">
        <v>16974651.780000042</v>
      </c>
      <c r="H726" s="73">
        <v>18038161.830000002</v>
      </c>
      <c r="I726" s="73">
        <v>0</v>
      </c>
      <c r="J726" s="73">
        <v>1063510.0499999598</v>
      </c>
    </row>
    <row r="727" spans="1:10" hidden="1">
      <c r="A727" s="72" t="s">
        <v>2401</v>
      </c>
      <c r="B727" s="72" t="s">
        <v>2402</v>
      </c>
      <c r="C727" s="73">
        <v>0</v>
      </c>
      <c r="D727" s="73">
        <v>20376.919999999998</v>
      </c>
      <c r="E727" s="73">
        <v>48426.790000000037</v>
      </c>
      <c r="F727" s="73">
        <v>20062.369999999995</v>
      </c>
      <c r="G727" s="73">
        <v>360742.05000000005</v>
      </c>
      <c r="H727" s="73">
        <v>374057.1100000001</v>
      </c>
      <c r="I727" s="73">
        <v>0</v>
      </c>
      <c r="J727" s="73">
        <v>13315.060000000056</v>
      </c>
    </row>
    <row r="728" spans="1:10" hidden="1">
      <c r="A728" s="72" t="s">
        <v>2403</v>
      </c>
      <c r="B728" s="72" t="s">
        <v>2404</v>
      </c>
      <c r="C728" s="73">
        <v>0</v>
      </c>
      <c r="D728" s="73">
        <v>210214.75</v>
      </c>
      <c r="E728" s="73">
        <v>248481.89000000013</v>
      </c>
      <c r="F728" s="73">
        <v>279831.70000000019</v>
      </c>
      <c r="G728" s="73">
        <v>3216560.4600000018</v>
      </c>
      <c r="H728" s="73">
        <v>3397002.2800000003</v>
      </c>
      <c r="I728" s="73">
        <v>0</v>
      </c>
      <c r="J728" s="73">
        <v>180441.81999999844</v>
      </c>
    </row>
    <row r="729" spans="1:10" hidden="1">
      <c r="A729" s="72" t="s">
        <v>2405</v>
      </c>
      <c r="B729" s="72" t="s">
        <v>2406</v>
      </c>
      <c r="C729" s="73">
        <v>0</v>
      </c>
      <c r="D729" s="73">
        <v>51481.39</v>
      </c>
      <c r="E729" s="73">
        <v>175326.30999999994</v>
      </c>
      <c r="F729" s="73">
        <v>181704.92999999993</v>
      </c>
      <c r="G729" s="73">
        <v>1131638.6199999999</v>
      </c>
      <c r="H729" s="73">
        <v>1250774.76</v>
      </c>
      <c r="I729" s="73">
        <v>0</v>
      </c>
      <c r="J729" s="73">
        <v>119136.14000000013</v>
      </c>
    </row>
    <row r="730" spans="1:10" hidden="1">
      <c r="A730" s="72" t="s">
        <v>2407</v>
      </c>
      <c r="B730" s="72" t="s">
        <v>2408</v>
      </c>
      <c r="C730" s="73">
        <v>0</v>
      </c>
      <c r="D730" s="73">
        <v>28372.74</v>
      </c>
      <c r="E730" s="73">
        <v>41847.390000000014</v>
      </c>
      <c r="F730" s="73">
        <v>41261.599999999977</v>
      </c>
      <c r="G730" s="73">
        <v>488032.07</v>
      </c>
      <c r="H730" s="73">
        <v>514921.90999999992</v>
      </c>
      <c r="I730" s="73">
        <v>0</v>
      </c>
      <c r="J730" s="73">
        <v>26889.839999999909</v>
      </c>
    </row>
    <row r="731" spans="1:10" hidden="1">
      <c r="A731" s="72" t="s">
        <v>2409</v>
      </c>
      <c r="B731" s="72" t="s">
        <v>2402</v>
      </c>
      <c r="C731" s="73">
        <v>0</v>
      </c>
      <c r="D731" s="73">
        <v>7871.66</v>
      </c>
      <c r="E731" s="73">
        <v>15362.890000000014</v>
      </c>
      <c r="F731" s="73">
        <v>16105.059999999998</v>
      </c>
      <c r="G731" s="73">
        <v>150954.77000000002</v>
      </c>
      <c r="H731" s="73">
        <v>161437.49</v>
      </c>
      <c r="I731" s="73">
        <v>0</v>
      </c>
      <c r="J731" s="73">
        <v>10482.719999999972</v>
      </c>
    </row>
    <row r="732" spans="1:10" hidden="1">
      <c r="A732" s="72" t="s">
        <v>2410</v>
      </c>
      <c r="B732" s="72" t="s">
        <v>2411</v>
      </c>
      <c r="C732" s="73">
        <v>0</v>
      </c>
      <c r="D732" s="73">
        <v>86553.8</v>
      </c>
      <c r="E732" s="73">
        <v>140659.83000000007</v>
      </c>
      <c r="F732" s="73">
        <v>148530.69999999995</v>
      </c>
      <c r="G732" s="73">
        <v>1581227.84</v>
      </c>
      <c r="H732" s="73">
        <v>1678922.8099999998</v>
      </c>
      <c r="I732" s="73">
        <v>0</v>
      </c>
      <c r="J732" s="73">
        <v>97694.969999999739</v>
      </c>
    </row>
    <row r="733" spans="1:10" hidden="1">
      <c r="A733" s="72" t="s">
        <v>2412</v>
      </c>
      <c r="B733" s="72" t="s">
        <v>2413</v>
      </c>
      <c r="C733" s="73">
        <v>0</v>
      </c>
      <c r="D733" s="73">
        <v>14222.69</v>
      </c>
      <c r="E733" s="73">
        <v>23250.950000000012</v>
      </c>
      <c r="F733" s="73">
        <v>25212.010000000009</v>
      </c>
      <c r="G733" s="73">
        <v>232829.74000000002</v>
      </c>
      <c r="H733" s="73">
        <v>249500.18</v>
      </c>
      <c r="I733" s="73">
        <v>0</v>
      </c>
      <c r="J733" s="73">
        <v>16670.439999999973</v>
      </c>
    </row>
    <row r="734" spans="1:10" hidden="1">
      <c r="A734" s="72" t="s">
        <v>2414</v>
      </c>
      <c r="B734" s="72" t="s">
        <v>2402</v>
      </c>
      <c r="C734" s="73">
        <v>0</v>
      </c>
      <c r="D734" s="73">
        <v>21418.9</v>
      </c>
      <c r="E734" s="73">
        <v>20518.690000000002</v>
      </c>
      <c r="F734" s="73">
        <v>23248.549999999988</v>
      </c>
      <c r="G734" s="73">
        <v>337142.70999999996</v>
      </c>
      <c r="H734" s="73">
        <v>352916.24</v>
      </c>
      <c r="I734" s="73">
        <v>0</v>
      </c>
      <c r="J734" s="73">
        <v>15773.530000000028</v>
      </c>
    </row>
    <row r="735" spans="1:10" hidden="1">
      <c r="A735" s="72" t="s">
        <v>2415</v>
      </c>
      <c r="B735" s="72" t="s">
        <v>2416</v>
      </c>
      <c r="C735" s="73">
        <v>0</v>
      </c>
      <c r="D735" s="73">
        <v>10356.68</v>
      </c>
      <c r="E735" s="73">
        <v>21219.75</v>
      </c>
      <c r="F735" s="73">
        <v>24419.010000000009</v>
      </c>
      <c r="G735" s="73">
        <v>210619.37999999998</v>
      </c>
      <c r="H735" s="73">
        <v>227400.83</v>
      </c>
      <c r="I735" s="73">
        <v>0</v>
      </c>
      <c r="J735" s="73">
        <v>16781.450000000012</v>
      </c>
    </row>
    <row r="736" spans="1:10" hidden="1">
      <c r="A736" s="72" t="s">
        <v>2417</v>
      </c>
      <c r="B736" s="72" t="s">
        <v>2418</v>
      </c>
      <c r="C736" s="73">
        <v>0</v>
      </c>
      <c r="D736" s="73">
        <v>20446.25</v>
      </c>
      <c r="E736" s="73">
        <v>38695.609999999986</v>
      </c>
      <c r="F736" s="73">
        <v>49351.119999999995</v>
      </c>
      <c r="G736" s="73">
        <v>352079.31999999995</v>
      </c>
      <c r="H736" s="73">
        <v>386005.18999999994</v>
      </c>
      <c r="I736" s="73">
        <v>0</v>
      </c>
      <c r="J736" s="73">
        <v>33925.869999999995</v>
      </c>
    </row>
    <row r="737" spans="1:10" hidden="1">
      <c r="A737" s="72" t="s">
        <v>2419</v>
      </c>
      <c r="B737" s="72" t="s">
        <v>2420</v>
      </c>
      <c r="C737" s="73">
        <v>0</v>
      </c>
      <c r="D737" s="73">
        <v>28531.18</v>
      </c>
      <c r="E737" s="73">
        <v>54379.520000000019</v>
      </c>
      <c r="F737" s="73">
        <v>53925.490000000049</v>
      </c>
      <c r="G737" s="73">
        <v>509898.13</v>
      </c>
      <c r="H737" s="73">
        <v>544485.57999999996</v>
      </c>
      <c r="I737" s="73">
        <v>0</v>
      </c>
      <c r="J737" s="73">
        <v>34587.449999999953</v>
      </c>
    </row>
    <row r="738" spans="1:10" hidden="1">
      <c r="A738" s="72" t="s">
        <v>2421</v>
      </c>
      <c r="B738" s="72" t="s">
        <v>2422</v>
      </c>
      <c r="C738" s="73">
        <v>0</v>
      </c>
      <c r="D738" s="73">
        <v>141452.35999999999</v>
      </c>
      <c r="E738" s="73">
        <v>228079.42999999993</v>
      </c>
      <c r="F738" s="73">
        <v>251606.5</v>
      </c>
      <c r="G738" s="73">
        <v>2235101.649999999</v>
      </c>
      <c r="H738" s="73">
        <v>2398293.6199999996</v>
      </c>
      <c r="I738" s="73">
        <v>0</v>
      </c>
      <c r="J738" s="73">
        <v>163191.97000000067</v>
      </c>
    </row>
    <row r="739" spans="1:10" hidden="1">
      <c r="A739" s="72" t="s">
        <v>2423</v>
      </c>
      <c r="B739" s="72" t="s">
        <v>2424</v>
      </c>
      <c r="C739" s="73">
        <v>0</v>
      </c>
      <c r="D739" s="73">
        <v>111406.08</v>
      </c>
      <c r="E739" s="73">
        <v>175319.74</v>
      </c>
      <c r="F739" s="73">
        <v>196796.30000000005</v>
      </c>
      <c r="G739" s="73">
        <v>1816183.8299999998</v>
      </c>
      <c r="H739" s="73">
        <v>1935799.62</v>
      </c>
      <c r="I739" s="73">
        <v>0</v>
      </c>
      <c r="J739" s="73">
        <v>119615.79000000027</v>
      </c>
    </row>
    <row r="740" spans="1:10" hidden="1">
      <c r="A740" s="72" t="s">
        <v>2425</v>
      </c>
      <c r="B740" s="72" t="s">
        <v>2426</v>
      </c>
      <c r="C740" s="73">
        <v>0</v>
      </c>
      <c r="D740" s="73">
        <v>15499.27</v>
      </c>
      <c r="E740" s="73">
        <v>32146.960000000021</v>
      </c>
      <c r="F740" s="73">
        <v>39346.049999999988</v>
      </c>
      <c r="G740" s="73">
        <v>297342.86000000004</v>
      </c>
      <c r="H740" s="73">
        <v>323749.62000000005</v>
      </c>
      <c r="I740" s="73">
        <v>0</v>
      </c>
      <c r="J740" s="73">
        <v>26406.760000000009</v>
      </c>
    </row>
    <row r="741" spans="1:10" hidden="1">
      <c r="A741" s="72" t="s">
        <v>2427</v>
      </c>
      <c r="B741" s="72" t="s">
        <v>2408</v>
      </c>
      <c r="C741" s="73">
        <v>0</v>
      </c>
      <c r="D741" s="73">
        <v>42469.33</v>
      </c>
      <c r="E741" s="73">
        <v>56556.989999999991</v>
      </c>
      <c r="F741" s="73">
        <v>59495.569999999949</v>
      </c>
      <c r="G741" s="73">
        <v>672073.87999999989</v>
      </c>
      <c r="H741" s="73">
        <v>710907.65</v>
      </c>
      <c r="I741" s="73">
        <v>0</v>
      </c>
      <c r="J741" s="73">
        <v>38833.770000000135</v>
      </c>
    </row>
    <row r="742" spans="1:10" hidden="1">
      <c r="A742" s="72" t="s">
        <v>2428</v>
      </c>
      <c r="B742" s="72" t="s">
        <v>2429</v>
      </c>
      <c r="C742" s="73">
        <v>0</v>
      </c>
      <c r="D742" s="73">
        <v>4312.3999999999996</v>
      </c>
      <c r="E742" s="73">
        <v>6315.1899999999951</v>
      </c>
      <c r="F742" s="73">
        <v>7167.1599999999962</v>
      </c>
      <c r="G742" s="73">
        <v>66333.789999999994</v>
      </c>
      <c r="H742" s="73">
        <v>71089</v>
      </c>
      <c r="I742" s="73">
        <v>0</v>
      </c>
      <c r="J742" s="73">
        <v>4755.2100000000064</v>
      </c>
    </row>
    <row r="743" spans="1:10" hidden="1">
      <c r="A743" s="72" t="s">
        <v>2430</v>
      </c>
      <c r="B743" s="72" t="s">
        <v>2402</v>
      </c>
      <c r="C743" s="73">
        <v>0</v>
      </c>
      <c r="D743" s="73">
        <v>25878.49</v>
      </c>
      <c r="E743" s="73">
        <v>42307.630000000005</v>
      </c>
      <c r="F743" s="73">
        <v>5400</v>
      </c>
      <c r="G743" s="73">
        <v>494748.18999999994</v>
      </c>
      <c r="H743" s="73">
        <v>497133.01000000013</v>
      </c>
      <c r="I743" s="73">
        <v>0</v>
      </c>
      <c r="J743" s="73">
        <v>2384.8200000001816</v>
      </c>
    </row>
    <row r="744" spans="1:10" hidden="1">
      <c r="A744" s="72" t="s">
        <v>2431</v>
      </c>
      <c r="B744" s="72" t="s">
        <v>2408</v>
      </c>
      <c r="C744" s="73">
        <v>0</v>
      </c>
      <c r="D744" s="73">
        <v>65614.820000000007</v>
      </c>
      <c r="E744" s="73">
        <v>98649.679999999935</v>
      </c>
      <c r="F744" s="73">
        <v>153613.25</v>
      </c>
      <c r="G744" s="73">
        <v>1094567.6499999999</v>
      </c>
      <c r="H744" s="73">
        <v>1198912.21</v>
      </c>
      <c r="I744" s="73">
        <v>0</v>
      </c>
      <c r="J744" s="73">
        <v>104344.56000000006</v>
      </c>
    </row>
    <row r="745" spans="1:10" hidden="1">
      <c r="A745" s="72" t="s">
        <v>2432</v>
      </c>
      <c r="B745" s="72" t="s">
        <v>2433</v>
      </c>
      <c r="C745" s="73">
        <v>0</v>
      </c>
      <c r="D745" s="73">
        <v>36546.639999999999</v>
      </c>
      <c r="E745" s="73">
        <v>58694.699999999953</v>
      </c>
      <c r="F745" s="73">
        <v>53677.099999999977</v>
      </c>
      <c r="G745" s="73">
        <v>945868.96</v>
      </c>
      <c r="H745" s="73">
        <v>984146.83999999985</v>
      </c>
      <c r="I745" s="73">
        <v>0</v>
      </c>
      <c r="J745" s="73">
        <v>38277.879999999888</v>
      </c>
    </row>
    <row r="746" spans="1:10" hidden="1">
      <c r="A746" s="72" t="s">
        <v>2434</v>
      </c>
      <c r="B746" s="72" t="s">
        <v>2435</v>
      </c>
      <c r="C746" s="73">
        <v>0</v>
      </c>
      <c r="D746" s="73">
        <v>0</v>
      </c>
      <c r="E746" s="73">
        <v>38337.960000000021</v>
      </c>
      <c r="F746" s="73">
        <v>38337.960000000021</v>
      </c>
      <c r="G746" s="73">
        <v>437589.76999999996</v>
      </c>
      <c r="H746" s="73">
        <v>437589.77</v>
      </c>
      <c r="I746" s="73">
        <v>0</v>
      </c>
      <c r="J746" s="73">
        <v>5.8207660913467407E-11</v>
      </c>
    </row>
    <row r="747" spans="1:10" hidden="1">
      <c r="A747" s="72" t="s">
        <v>2436</v>
      </c>
      <c r="B747" s="72" t="s">
        <v>2437</v>
      </c>
      <c r="C747" s="73">
        <v>0</v>
      </c>
      <c r="D747" s="73">
        <v>0</v>
      </c>
      <c r="E747" s="73">
        <v>35201.489999999991</v>
      </c>
      <c r="F747" s="73">
        <v>35201.489999999991</v>
      </c>
      <c r="G747" s="73">
        <v>343116.11</v>
      </c>
      <c r="H747" s="73">
        <v>343116.11</v>
      </c>
      <c r="I747" s="73">
        <v>0</v>
      </c>
      <c r="J747" s="73">
        <v>0</v>
      </c>
    </row>
    <row r="748" spans="1:10" hidden="1">
      <c r="A748" s="72" t="s">
        <v>2438</v>
      </c>
      <c r="B748" s="72" t="s">
        <v>2439</v>
      </c>
      <c r="C748" s="73">
        <v>0</v>
      </c>
      <c r="D748" s="73">
        <v>3011.22</v>
      </c>
      <c r="E748" s="73">
        <v>7016.0099999999948</v>
      </c>
      <c r="F748" s="73">
        <v>6189.2299999999959</v>
      </c>
      <c r="G748" s="73">
        <v>104060.06999999999</v>
      </c>
      <c r="H748" s="73">
        <v>104229.86999999998</v>
      </c>
      <c r="I748" s="73">
        <v>0</v>
      </c>
      <c r="J748" s="73">
        <v>169.79999999998836</v>
      </c>
    </row>
    <row r="749" spans="1:10" hidden="1">
      <c r="A749" s="72" t="s">
        <v>2440</v>
      </c>
      <c r="B749" s="72" t="s">
        <v>2441</v>
      </c>
      <c r="C749" s="73">
        <v>0</v>
      </c>
      <c r="D749" s="73">
        <v>0</v>
      </c>
      <c r="E749" s="73">
        <v>0</v>
      </c>
      <c r="F749" s="73">
        <v>0</v>
      </c>
      <c r="G749" s="73">
        <v>2204</v>
      </c>
      <c r="H749" s="73">
        <v>2204</v>
      </c>
      <c r="I749" s="73">
        <v>0</v>
      </c>
      <c r="J749" s="73">
        <v>0</v>
      </c>
    </row>
    <row r="750" spans="1:10" hidden="1">
      <c r="A750" s="72" t="s">
        <v>2442</v>
      </c>
      <c r="B750" s="72" t="s">
        <v>2443</v>
      </c>
      <c r="C750" s="73">
        <v>0</v>
      </c>
      <c r="D750" s="73">
        <v>0</v>
      </c>
      <c r="E750" s="73">
        <v>2003.33</v>
      </c>
      <c r="F750" s="73">
        <v>2003.33</v>
      </c>
      <c r="G750" s="73">
        <v>2503.33</v>
      </c>
      <c r="H750" s="73">
        <v>2503.33</v>
      </c>
      <c r="I750" s="73">
        <v>0</v>
      </c>
      <c r="J750" s="73">
        <v>0</v>
      </c>
    </row>
    <row r="751" spans="1:10" hidden="1">
      <c r="A751" s="72" t="s">
        <v>2444</v>
      </c>
      <c r="B751" s="72" t="s">
        <v>2445</v>
      </c>
      <c r="C751" s="73">
        <v>0</v>
      </c>
      <c r="D751" s="73">
        <v>0</v>
      </c>
      <c r="E751" s="73">
        <v>0</v>
      </c>
      <c r="F751" s="73">
        <v>0</v>
      </c>
      <c r="G751" s="73">
        <v>4576.3999999999996</v>
      </c>
      <c r="H751" s="73">
        <v>4576.3999999999987</v>
      </c>
      <c r="I751" s="73">
        <v>9.0949470177292824E-13</v>
      </c>
      <c r="J751" s="73">
        <v>0</v>
      </c>
    </row>
    <row r="752" spans="1:10" hidden="1">
      <c r="A752" s="72" t="s">
        <v>2446</v>
      </c>
      <c r="B752" s="72" t="s">
        <v>2447</v>
      </c>
      <c r="C752" s="73">
        <v>0</v>
      </c>
      <c r="D752" s="73">
        <v>0</v>
      </c>
      <c r="E752" s="73">
        <v>17.009999999999991</v>
      </c>
      <c r="F752" s="73">
        <v>97.259999999999991</v>
      </c>
      <c r="G752" s="73">
        <v>1017.01</v>
      </c>
      <c r="H752" s="73">
        <v>1017.01</v>
      </c>
      <c r="I752" s="73">
        <v>0</v>
      </c>
      <c r="J752" s="73">
        <v>0</v>
      </c>
    </row>
    <row r="753" spans="1:10" hidden="1">
      <c r="A753" s="72" t="s">
        <v>2448</v>
      </c>
      <c r="B753" s="72" t="s">
        <v>2449</v>
      </c>
      <c r="C753" s="73">
        <v>0</v>
      </c>
      <c r="D753" s="73">
        <v>0</v>
      </c>
      <c r="E753" s="73">
        <v>0</v>
      </c>
      <c r="F753" s="73">
        <v>0</v>
      </c>
      <c r="G753" s="73">
        <v>605.57000000000005</v>
      </c>
      <c r="H753" s="73">
        <v>605.57000000000005</v>
      </c>
      <c r="I753" s="73">
        <v>0</v>
      </c>
      <c r="J753" s="73">
        <v>0</v>
      </c>
    </row>
    <row r="754" spans="1:10" hidden="1">
      <c r="A754" s="72" t="s">
        <v>2450</v>
      </c>
      <c r="B754" s="72" t="s">
        <v>2451</v>
      </c>
      <c r="C754" s="73">
        <v>0</v>
      </c>
      <c r="D754" s="73">
        <v>0</v>
      </c>
      <c r="E754" s="73">
        <v>400</v>
      </c>
      <c r="F754" s="73">
        <v>400</v>
      </c>
      <c r="G754" s="73">
        <v>3350.2</v>
      </c>
      <c r="H754" s="73">
        <v>3350.2</v>
      </c>
      <c r="I754" s="73">
        <v>0</v>
      </c>
      <c r="J754" s="73">
        <v>0</v>
      </c>
    </row>
    <row r="755" spans="1:10" hidden="1">
      <c r="A755" s="72" t="s">
        <v>2452</v>
      </c>
      <c r="B755" s="72" t="s">
        <v>2453</v>
      </c>
      <c r="C755" s="73">
        <v>0</v>
      </c>
      <c r="D755" s="73">
        <v>0</v>
      </c>
      <c r="E755" s="73">
        <v>0</v>
      </c>
      <c r="F755" s="73">
        <v>0</v>
      </c>
      <c r="G755" s="73">
        <v>191.5</v>
      </c>
      <c r="H755" s="73">
        <v>191.5</v>
      </c>
      <c r="I755" s="73">
        <v>0</v>
      </c>
      <c r="J755" s="73">
        <v>0</v>
      </c>
    </row>
    <row r="756" spans="1:10" hidden="1">
      <c r="A756" s="72" t="s">
        <v>2454</v>
      </c>
      <c r="B756" s="72" t="s">
        <v>2455</v>
      </c>
      <c r="C756" s="73">
        <v>0</v>
      </c>
      <c r="D756" s="73">
        <v>0</v>
      </c>
      <c r="E756" s="73">
        <v>0</v>
      </c>
      <c r="F756" s="73">
        <v>0</v>
      </c>
      <c r="G756" s="73">
        <v>72.930000000000007</v>
      </c>
      <c r="H756" s="73">
        <v>72.930000000000007</v>
      </c>
      <c r="I756" s="73">
        <v>0</v>
      </c>
      <c r="J756" s="73">
        <v>0</v>
      </c>
    </row>
    <row r="757" spans="1:10" hidden="1">
      <c r="A757" s="72" t="s">
        <v>2456</v>
      </c>
      <c r="B757" s="72" t="s">
        <v>2457</v>
      </c>
      <c r="C757" s="73">
        <v>0</v>
      </c>
      <c r="D757" s="73">
        <v>872.02</v>
      </c>
      <c r="E757" s="73">
        <v>0</v>
      </c>
      <c r="F757" s="73">
        <v>0</v>
      </c>
      <c r="G757" s="73">
        <v>4878.3900000000003</v>
      </c>
      <c r="H757" s="73">
        <v>4878.3900000000003</v>
      </c>
      <c r="I757" s="73">
        <v>0</v>
      </c>
      <c r="J757" s="73">
        <v>0</v>
      </c>
    </row>
    <row r="758" spans="1:10" hidden="1">
      <c r="A758" s="72" t="s">
        <v>2458</v>
      </c>
      <c r="B758" s="72" t="s">
        <v>2459</v>
      </c>
      <c r="C758" s="73">
        <v>0</v>
      </c>
      <c r="D758" s="73">
        <v>0</v>
      </c>
      <c r="E758" s="73">
        <v>500</v>
      </c>
      <c r="F758" s="73">
        <v>500</v>
      </c>
      <c r="G758" s="73">
        <v>5320.46</v>
      </c>
      <c r="H758" s="73">
        <v>5320.46</v>
      </c>
      <c r="I758" s="73">
        <v>0</v>
      </c>
      <c r="J758" s="73">
        <v>0</v>
      </c>
    </row>
    <row r="759" spans="1:10" hidden="1">
      <c r="A759" s="72" t="s">
        <v>2460</v>
      </c>
      <c r="B759" s="72" t="s">
        <v>2461</v>
      </c>
      <c r="C759" s="73">
        <v>0</v>
      </c>
      <c r="D759" s="73">
        <v>0</v>
      </c>
      <c r="E759" s="73">
        <v>0</v>
      </c>
      <c r="F759" s="73">
        <v>0</v>
      </c>
      <c r="G759" s="73">
        <v>500</v>
      </c>
      <c r="H759" s="73">
        <v>500</v>
      </c>
      <c r="I759" s="73">
        <v>0</v>
      </c>
      <c r="J759" s="73">
        <v>0</v>
      </c>
    </row>
    <row r="760" spans="1:10" hidden="1">
      <c r="A760" s="72" t="s">
        <v>2462</v>
      </c>
      <c r="B760" s="72" t="s">
        <v>2463</v>
      </c>
      <c r="C760" s="73">
        <v>0</v>
      </c>
      <c r="D760" s="73">
        <v>0</v>
      </c>
      <c r="E760" s="73">
        <v>0</v>
      </c>
      <c r="F760" s="73">
        <v>0</v>
      </c>
      <c r="G760" s="73">
        <v>67.650000000000006</v>
      </c>
      <c r="H760" s="73">
        <v>67.650000000000006</v>
      </c>
      <c r="I760" s="73">
        <v>0</v>
      </c>
      <c r="J760" s="73">
        <v>0</v>
      </c>
    </row>
    <row r="761" spans="1:10" hidden="1">
      <c r="A761" s="72" t="s">
        <v>2464</v>
      </c>
      <c r="B761" s="72" t="s">
        <v>2465</v>
      </c>
      <c r="C761" s="73">
        <v>0</v>
      </c>
      <c r="D761" s="73">
        <v>0</v>
      </c>
      <c r="E761" s="73">
        <v>0</v>
      </c>
      <c r="F761" s="73">
        <v>0</v>
      </c>
      <c r="G761" s="73">
        <v>2017.03</v>
      </c>
      <c r="H761" s="73">
        <v>2017.0299999999997</v>
      </c>
      <c r="I761" s="73">
        <v>2.2737367544323206E-13</v>
      </c>
      <c r="J761" s="73">
        <v>0</v>
      </c>
    </row>
    <row r="762" spans="1:10" hidden="1">
      <c r="A762" s="72" t="s">
        <v>2466</v>
      </c>
      <c r="B762" s="72" t="s">
        <v>2467</v>
      </c>
      <c r="C762" s="73">
        <v>0</v>
      </c>
      <c r="D762" s="73">
        <v>0</v>
      </c>
      <c r="E762" s="73">
        <v>0</v>
      </c>
      <c r="F762" s="73">
        <v>169.8</v>
      </c>
      <c r="G762" s="73">
        <v>120.23</v>
      </c>
      <c r="H762" s="73">
        <v>290.03000000000003</v>
      </c>
      <c r="I762" s="73">
        <v>0</v>
      </c>
      <c r="J762" s="73">
        <v>169.8</v>
      </c>
    </row>
    <row r="763" spans="1:10" hidden="1">
      <c r="A763" s="72" t="s">
        <v>2468</v>
      </c>
      <c r="B763" s="72" t="s">
        <v>2469</v>
      </c>
      <c r="C763" s="73">
        <v>0</v>
      </c>
      <c r="D763" s="73">
        <v>0</v>
      </c>
      <c r="E763" s="73">
        <v>154.96000000000004</v>
      </c>
      <c r="F763" s="73">
        <v>154.96000000000004</v>
      </c>
      <c r="G763" s="73">
        <v>532.18000000000006</v>
      </c>
      <c r="H763" s="73">
        <v>532.18000000000006</v>
      </c>
      <c r="I763" s="73">
        <v>0</v>
      </c>
      <c r="J763" s="73">
        <v>0</v>
      </c>
    </row>
    <row r="764" spans="1:10" hidden="1">
      <c r="A764" s="72" t="s">
        <v>2470</v>
      </c>
      <c r="B764" s="72" t="s">
        <v>2471</v>
      </c>
      <c r="C764" s="73">
        <v>0</v>
      </c>
      <c r="D764" s="73">
        <v>0</v>
      </c>
      <c r="E764" s="73">
        <v>1000</v>
      </c>
      <c r="F764" s="73">
        <v>846.09000000000015</v>
      </c>
      <c r="G764" s="73">
        <v>18109.93</v>
      </c>
      <c r="H764" s="73">
        <v>18109.93</v>
      </c>
      <c r="I764" s="73">
        <v>0</v>
      </c>
      <c r="J764" s="73">
        <v>0</v>
      </c>
    </row>
    <row r="765" spans="1:10" hidden="1">
      <c r="A765" s="72" t="s">
        <v>2472</v>
      </c>
      <c r="B765" s="72" t="s">
        <v>2473</v>
      </c>
      <c r="C765" s="73">
        <v>0</v>
      </c>
      <c r="D765" s="73">
        <v>0</v>
      </c>
      <c r="E765" s="73">
        <v>0</v>
      </c>
      <c r="F765" s="73">
        <v>0</v>
      </c>
      <c r="G765" s="73">
        <v>1059.01</v>
      </c>
      <c r="H765" s="73">
        <v>1059.01</v>
      </c>
      <c r="I765" s="73">
        <v>0</v>
      </c>
      <c r="J765" s="73">
        <v>0</v>
      </c>
    </row>
    <row r="766" spans="1:10" hidden="1">
      <c r="A766" s="72" t="s">
        <v>2474</v>
      </c>
      <c r="B766" s="72" t="s">
        <v>2475</v>
      </c>
      <c r="C766" s="73">
        <v>0</v>
      </c>
      <c r="D766" s="73">
        <v>0</v>
      </c>
      <c r="E766" s="73">
        <v>0</v>
      </c>
      <c r="F766" s="73">
        <v>0</v>
      </c>
      <c r="G766" s="73">
        <v>726.39</v>
      </c>
      <c r="H766" s="73">
        <v>726.39</v>
      </c>
      <c r="I766" s="73">
        <v>0</v>
      </c>
      <c r="J766" s="73">
        <v>0</v>
      </c>
    </row>
    <row r="767" spans="1:10" hidden="1">
      <c r="A767" s="72" t="s">
        <v>2476</v>
      </c>
      <c r="B767" s="72" t="s">
        <v>2477</v>
      </c>
      <c r="C767" s="73">
        <v>0</v>
      </c>
      <c r="D767" s="73">
        <v>0</v>
      </c>
      <c r="E767" s="73">
        <v>0</v>
      </c>
      <c r="F767" s="73">
        <v>1291.1100000000006</v>
      </c>
      <c r="G767" s="73">
        <v>18098.34</v>
      </c>
      <c r="H767" s="73">
        <v>18098.34</v>
      </c>
      <c r="I767" s="73">
        <v>0</v>
      </c>
      <c r="J767" s="73">
        <v>0</v>
      </c>
    </row>
    <row r="768" spans="1:10" hidden="1">
      <c r="A768" s="72" t="s">
        <v>2478</v>
      </c>
      <c r="B768" s="72" t="s">
        <v>2479</v>
      </c>
      <c r="C768" s="73">
        <v>0</v>
      </c>
      <c r="D768" s="73">
        <v>0</v>
      </c>
      <c r="E768" s="73">
        <v>0</v>
      </c>
      <c r="F768" s="73">
        <v>0</v>
      </c>
      <c r="G768" s="73">
        <v>338.16</v>
      </c>
      <c r="H768" s="73">
        <v>338.16</v>
      </c>
      <c r="I768" s="73">
        <v>0</v>
      </c>
      <c r="J768" s="73">
        <v>0</v>
      </c>
    </row>
    <row r="769" spans="1:10" hidden="1">
      <c r="A769" s="72" t="s">
        <v>2480</v>
      </c>
      <c r="B769" s="72" t="s">
        <v>2441</v>
      </c>
      <c r="C769" s="73">
        <v>0</v>
      </c>
      <c r="D769" s="73">
        <v>0</v>
      </c>
      <c r="E769" s="73">
        <v>0</v>
      </c>
      <c r="F769" s="73">
        <v>0</v>
      </c>
      <c r="G769" s="73">
        <v>186.88</v>
      </c>
      <c r="H769" s="73">
        <v>186.88</v>
      </c>
      <c r="I769" s="73">
        <v>0</v>
      </c>
      <c r="J769" s="73">
        <v>0</v>
      </c>
    </row>
    <row r="770" spans="1:10" hidden="1">
      <c r="A770" s="72" t="s">
        <v>2481</v>
      </c>
      <c r="B770" s="72" t="s">
        <v>2482</v>
      </c>
      <c r="C770" s="73">
        <v>0</v>
      </c>
      <c r="D770" s="73">
        <v>0</v>
      </c>
      <c r="E770" s="73">
        <v>0</v>
      </c>
      <c r="F770" s="73">
        <v>0</v>
      </c>
      <c r="G770" s="73">
        <v>30</v>
      </c>
      <c r="H770" s="73">
        <v>30</v>
      </c>
      <c r="I770" s="73">
        <v>0</v>
      </c>
      <c r="J770" s="73">
        <v>0</v>
      </c>
    </row>
    <row r="771" spans="1:10" hidden="1">
      <c r="A771" s="72" t="s">
        <v>2483</v>
      </c>
      <c r="B771" s="72" t="s">
        <v>2443</v>
      </c>
      <c r="C771" s="73">
        <v>0</v>
      </c>
      <c r="D771" s="73">
        <v>0</v>
      </c>
      <c r="E771" s="73">
        <v>129.51999999999998</v>
      </c>
      <c r="F771" s="73">
        <v>129.51999999999998</v>
      </c>
      <c r="G771" s="73">
        <v>722.62</v>
      </c>
      <c r="H771" s="73">
        <v>722.62</v>
      </c>
      <c r="I771" s="73">
        <v>0</v>
      </c>
      <c r="J771" s="73">
        <v>0</v>
      </c>
    </row>
    <row r="772" spans="1:10" hidden="1">
      <c r="A772" s="72" t="s">
        <v>2484</v>
      </c>
      <c r="B772" s="72" t="s">
        <v>2445</v>
      </c>
      <c r="C772" s="73">
        <v>0</v>
      </c>
      <c r="D772" s="73">
        <v>0</v>
      </c>
      <c r="E772" s="73">
        <v>30.090000000000003</v>
      </c>
      <c r="F772" s="73">
        <v>30.090000000000003</v>
      </c>
      <c r="G772" s="73">
        <v>127.04</v>
      </c>
      <c r="H772" s="73">
        <v>127.04</v>
      </c>
      <c r="I772" s="73">
        <v>0</v>
      </c>
      <c r="J772" s="73">
        <v>0</v>
      </c>
    </row>
    <row r="773" spans="1:10" hidden="1">
      <c r="A773" s="72" t="s">
        <v>2485</v>
      </c>
      <c r="B773" s="72" t="s">
        <v>2486</v>
      </c>
      <c r="C773" s="73">
        <v>0</v>
      </c>
      <c r="D773" s="73">
        <v>0</v>
      </c>
      <c r="E773" s="73">
        <v>15</v>
      </c>
      <c r="F773" s="73">
        <v>15</v>
      </c>
      <c r="G773" s="73">
        <v>2232.08</v>
      </c>
      <c r="H773" s="73">
        <v>2232.0800000000004</v>
      </c>
      <c r="I773" s="73">
        <v>0</v>
      </c>
      <c r="J773" s="73">
        <v>4.5474735088646412E-13</v>
      </c>
    </row>
    <row r="774" spans="1:10" hidden="1">
      <c r="A774" s="72" t="s">
        <v>2487</v>
      </c>
      <c r="B774" s="72" t="s">
        <v>2447</v>
      </c>
      <c r="C774" s="73">
        <v>0</v>
      </c>
      <c r="D774" s="73">
        <v>0</v>
      </c>
      <c r="E774" s="73">
        <v>30.089999999999918</v>
      </c>
      <c r="F774" s="73">
        <v>30.089999999999918</v>
      </c>
      <c r="G774" s="73">
        <v>1213.4499999999998</v>
      </c>
      <c r="H774" s="73">
        <v>1213.4499999999998</v>
      </c>
      <c r="I774" s="73">
        <v>0</v>
      </c>
      <c r="J774" s="73">
        <v>0</v>
      </c>
    </row>
    <row r="775" spans="1:10" hidden="1">
      <c r="A775" s="72" t="s">
        <v>2488</v>
      </c>
      <c r="B775" s="72" t="s">
        <v>2489</v>
      </c>
      <c r="C775" s="73">
        <v>0</v>
      </c>
      <c r="D775" s="73">
        <v>0</v>
      </c>
      <c r="E775" s="73">
        <v>0</v>
      </c>
      <c r="F775" s="73">
        <v>0</v>
      </c>
      <c r="G775" s="73">
        <v>125.37</v>
      </c>
      <c r="H775" s="73">
        <v>125.37</v>
      </c>
      <c r="I775" s="73">
        <v>0</v>
      </c>
      <c r="J775" s="73">
        <v>0</v>
      </c>
    </row>
    <row r="776" spans="1:10" hidden="1">
      <c r="A776" s="72" t="s">
        <v>2490</v>
      </c>
      <c r="B776" s="72" t="s">
        <v>2451</v>
      </c>
      <c r="C776" s="73">
        <v>0</v>
      </c>
      <c r="D776" s="73">
        <v>0</v>
      </c>
      <c r="E776" s="73">
        <v>0</v>
      </c>
      <c r="F776" s="73">
        <v>0</v>
      </c>
      <c r="G776" s="73">
        <v>1093.43</v>
      </c>
      <c r="H776" s="73">
        <v>1093.43</v>
      </c>
      <c r="I776" s="73">
        <v>0</v>
      </c>
      <c r="J776" s="73">
        <v>0</v>
      </c>
    </row>
    <row r="777" spans="1:10" hidden="1">
      <c r="A777" s="72" t="s">
        <v>2491</v>
      </c>
      <c r="B777" s="72" t="s">
        <v>2453</v>
      </c>
      <c r="C777" s="73">
        <v>0</v>
      </c>
      <c r="D777" s="73">
        <v>0</v>
      </c>
      <c r="E777" s="73">
        <v>124.53999999999996</v>
      </c>
      <c r="F777" s="73">
        <v>124.53999999999996</v>
      </c>
      <c r="G777" s="73">
        <v>552.46999999999991</v>
      </c>
      <c r="H777" s="73">
        <v>552.46999999999991</v>
      </c>
      <c r="I777" s="73">
        <v>0</v>
      </c>
      <c r="J777" s="73">
        <v>0</v>
      </c>
    </row>
    <row r="778" spans="1:10" hidden="1">
      <c r="A778" s="72" t="s">
        <v>2492</v>
      </c>
      <c r="B778" s="72" t="s">
        <v>2493</v>
      </c>
      <c r="C778" s="73">
        <v>0</v>
      </c>
      <c r="D778" s="73">
        <v>0</v>
      </c>
      <c r="E778" s="73">
        <v>15</v>
      </c>
      <c r="F778" s="73">
        <v>15</v>
      </c>
      <c r="G778" s="73">
        <v>15</v>
      </c>
      <c r="H778" s="73">
        <v>15</v>
      </c>
      <c r="I778" s="73">
        <v>0</v>
      </c>
      <c r="J778" s="73">
        <v>0</v>
      </c>
    </row>
    <row r="779" spans="1:10" hidden="1">
      <c r="A779" s="72" t="s">
        <v>2494</v>
      </c>
      <c r="B779" s="72" t="s">
        <v>2495</v>
      </c>
      <c r="C779" s="73">
        <v>0</v>
      </c>
      <c r="D779" s="73">
        <v>0</v>
      </c>
      <c r="E779" s="73">
        <v>0</v>
      </c>
      <c r="F779" s="73">
        <v>0</v>
      </c>
      <c r="G779" s="73">
        <v>60.18</v>
      </c>
      <c r="H779" s="73">
        <v>60.18</v>
      </c>
      <c r="I779" s="73">
        <v>0</v>
      </c>
      <c r="J779" s="73">
        <v>0</v>
      </c>
    </row>
    <row r="780" spans="1:10" hidden="1">
      <c r="A780" s="72" t="s">
        <v>2496</v>
      </c>
      <c r="B780" s="72" t="s">
        <v>2455</v>
      </c>
      <c r="C780" s="73">
        <v>0</v>
      </c>
      <c r="D780" s="73">
        <v>0</v>
      </c>
      <c r="E780" s="73">
        <v>15</v>
      </c>
      <c r="F780" s="73">
        <v>15</v>
      </c>
      <c r="G780" s="73">
        <v>105</v>
      </c>
      <c r="H780" s="73">
        <v>105</v>
      </c>
      <c r="I780" s="73">
        <v>0</v>
      </c>
      <c r="J780" s="73">
        <v>0</v>
      </c>
    </row>
    <row r="781" spans="1:10" hidden="1">
      <c r="A781" s="72" t="s">
        <v>2497</v>
      </c>
      <c r="B781" s="72" t="s">
        <v>2498</v>
      </c>
      <c r="C781" s="73">
        <v>0</v>
      </c>
      <c r="D781" s="73">
        <v>0</v>
      </c>
      <c r="E781" s="73">
        <v>0</v>
      </c>
      <c r="F781" s="73">
        <v>0</v>
      </c>
      <c r="G781" s="73">
        <v>30</v>
      </c>
      <c r="H781" s="73">
        <v>30</v>
      </c>
      <c r="I781" s="73">
        <v>0</v>
      </c>
      <c r="J781" s="73">
        <v>0</v>
      </c>
    </row>
    <row r="782" spans="1:10" hidden="1">
      <c r="A782" s="72" t="s">
        <v>2499</v>
      </c>
      <c r="B782" s="72" t="s">
        <v>2457</v>
      </c>
      <c r="C782" s="73">
        <v>0</v>
      </c>
      <c r="D782" s="73">
        <v>0</v>
      </c>
      <c r="E782" s="73">
        <v>0</v>
      </c>
      <c r="F782" s="73">
        <v>0</v>
      </c>
      <c r="G782" s="73">
        <v>143.13999999999999</v>
      </c>
      <c r="H782" s="73">
        <v>143.13999999999999</v>
      </c>
      <c r="I782" s="73">
        <v>0</v>
      </c>
      <c r="J782" s="73">
        <v>0</v>
      </c>
    </row>
    <row r="783" spans="1:10" hidden="1">
      <c r="A783" s="72" t="s">
        <v>2500</v>
      </c>
      <c r="B783" s="72" t="s">
        <v>2459</v>
      </c>
      <c r="C783" s="73">
        <v>0</v>
      </c>
      <c r="D783" s="73">
        <v>0</v>
      </c>
      <c r="E783" s="73">
        <v>0</v>
      </c>
      <c r="F783" s="73">
        <v>0</v>
      </c>
      <c r="G783" s="73">
        <v>38.44</v>
      </c>
      <c r="H783" s="73">
        <v>38.44</v>
      </c>
      <c r="I783" s="73">
        <v>0</v>
      </c>
      <c r="J783" s="73">
        <v>0</v>
      </c>
    </row>
    <row r="784" spans="1:10" hidden="1">
      <c r="A784" s="72" t="s">
        <v>2501</v>
      </c>
      <c r="B784" s="72" t="s">
        <v>2502</v>
      </c>
      <c r="C784" s="73">
        <v>0</v>
      </c>
      <c r="D784" s="73">
        <v>0</v>
      </c>
      <c r="E784" s="73">
        <v>0</v>
      </c>
      <c r="F784" s="73">
        <v>0</v>
      </c>
      <c r="G784" s="73">
        <v>15</v>
      </c>
      <c r="H784" s="73">
        <v>15</v>
      </c>
      <c r="I784" s="73">
        <v>0</v>
      </c>
      <c r="J784" s="73">
        <v>0</v>
      </c>
    </row>
    <row r="785" spans="1:10" hidden="1">
      <c r="A785" s="72" t="s">
        <v>2503</v>
      </c>
      <c r="B785" s="72" t="s">
        <v>2504</v>
      </c>
      <c r="C785" s="73">
        <v>0</v>
      </c>
      <c r="D785" s="73">
        <v>0</v>
      </c>
      <c r="E785" s="73">
        <v>0</v>
      </c>
      <c r="F785" s="73">
        <v>0</v>
      </c>
      <c r="G785" s="73">
        <v>163.82</v>
      </c>
      <c r="H785" s="73">
        <v>163.82</v>
      </c>
      <c r="I785" s="73">
        <v>0</v>
      </c>
      <c r="J785" s="73">
        <v>0</v>
      </c>
    </row>
    <row r="786" spans="1:10" hidden="1">
      <c r="A786" s="72" t="s">
        <v>2505</v>
      </c>
      <c r="B786" s="72" t="s">
        <v>2506</v>
      </c>
      <c r="C786" s="73">
        <v>0</v>
      </c>
      <c r="D786" s="73">
        <v>0</v>
      </c>
      <c r="E786" s="73">
        <v>0</v>
      </c>
      <c r="F786" s="73">
        <v>0</v>
      </c>
      <c r="G786" s="73">
        <v>13.200000000000001</v>
      </c>
      <c r="H786" s="73">
        <v>13.200000000000001</v>
      </c>
      <c r="I786" s="73">
        <v>0</v>
      </c>
      <c r="J786" s="73">
        <v>0</v>
      </c>
    </row>
    <row r="787" spans="1:10" hidden="1">
      <c r="A787" s="72" t="s">
        <v>2507</v>
      </c>
      <c r="B787" s="72" t="s">
        <v>2508</v>
      </c>
      <c r="C787" s="73">
        <v>0</v>
      </c>
      <c r="D787" s="73">
        <v>0</v>
      </c>
      <c r="E787" s="73">
        <v>0</v>
      </c>
      <c r="F787" s="73">
        <v>0</v>
      </c>
      <c r="G787" s="73">
        <v>67.5</v>
      </c>
      <c r="H787" s="73">
        <v>67.5</v>
      </c>
      <c r="I787" s="73">
        <v>0</v>
      </c>
      <c r="J787" s="73">
        <v>0</v>
      </c>
    </row>
    <row r="788" spans="1:10" hidden="1">
      <c r="A788" s="72" t="s">
        <v>2509</v>
      </c>
      <c r="B788" s="72" t="s">
        <v>2510</v>
      </c>
      <c r="C788" s="73">
        <v>0</v>
      </c>
      <c r="D788" s="73">
        <v>0</v>
      </c>
      <c r="E788" s="73">
        <v>0</v>
      </c>
      <c r="F788" s="73">
        <v>0</v>
      </c>
      <c r="G788" s="73">
        <v>228.97</v>
      </c>
      <c r="H788" s="73">
        <v>228.97</v>
      </c>
      <c r="I788" s="73">
        <v>0</v>
      </c>
      <c r="J788" s="73">
        <v>0</v>
      </c>
    </row>
    <row r="789" spans="1:10" hidden="1">
      <c r="A789" s="72" t="s">
        <v>2511</v>
      </c>
      <c r="B789" s="72" t="s">
        <v>2465</v>
      </c>
      <c r="C789" s="73">
        <v>0</v>
      </c>
      <c r="D789" s="73">
        <v>0</v>
      </c>
      <c r="E789" s="73">
        <v>242.78999999999996</v>
      </c>
      <c r="F789" s="73">
        <v>242.78999999999996</v>
      </c>
      <c r="G789" s="73">
        <v>1065.72</v>
      </c>
      <c r="H789" s="73">
        <v>1065.72</v>
      </c>
      <c r="I789" s="73">
        <v>0</v>
      </c>
      <c r="J789" s="73">
        <v>0</v>
      </c>
    </row>
    <row r="790" spans="1:10" hidden="1">
      <c r="A790" s="72" t="s">
        <v>2512</v>
      </c>
      <c r="B790" s="72" t="s">
        <v>2467</v>
      </c>
      <c r="C790" s="73">
        <v>0</v>
      </c>
      <c r="D790" s="73">
        <v>0</v>
      </c>
      <c r="E790" s="73">
        <v>32.770000000000003</v>
      </c>
      <c r="F790" s="73">
        <v>32.770000000000003</v>
      </c>
      <c r="G790" s="73">
        <v>32.770000000000003</v>
      </c>
      <c r="H790" s="73">
        <v>32.770000000000003</v>
      </c>
      <c r="I790" s="73">
        <v>0</v>
      </c>
      <c r="J790" s="73">
        <v>0</v>
      </c>
    </row>
    <row r="791" spans="1:10" hidden="1">
      <c r="A791" s="72" t="s">
        <v>2513</v>
      </c>
      <c r="B791" s="72" t="s">
        <v>2471</v>
      </c>
      <c r="C791" s="73">
        <v>0</v>
      </c>
      <c r="D791" s="73">
        <v>0</v>
      </c>
      <c r="E791" s="73">
        <v>76.880000000000109</v>
      </c>
      <c r="F791" s="73">
        <v>76.879999999999882</v>
      </c>
      <c r="G791" s="73">
        <v>1102.2800000000002</v>
      </c>
      <c r="H791" s="73">
        <v>1102.2799999999997</v>
      </c>
      <c r="I791" s="73">
        <v>4.5474735088646412E-13</v>
      </c>
      <c r="J791" s="73">
        <v>0</v>
      </c>
    </row>
    <row r="792" spans="1:10" hidden="1">
      <c r="A792" s="72" t="s">
        <v>2514</v>
      </c>
      <c r="B792" s="72" t="s">
        <v>2515</v>
      </c>
      <c r="C792" s="73">
        <v>0</v>
      </c>
      <c r="D792" s="73">
        <v>0</v>
      </c>
      <c r="E792" s="73">
        <v>15</v>
      </c>
      <c r="F792" s="73">
        <v>15</v>
      </c>
      <c r="G792" s="73">
        <v>67.5</v>
      </c>
      <c r="H792" s="73">
        <v>67.5</v>
      </c>
      <c r="I792" s="73">
        <v>0</v>
      </c>
      <c r="J792" s="73">
        <v>0</v>
      </c>
    </row>
    <row r="793" spans="1:10" hidden="1">
      <c r="A793" s="72" t="s">
        <v>2516</v>
      </c>
      <c r="B793" s="72" t="s">
        <v>2473</v>
      </c>
      <c r="C793" s="73">
        <v>0</v>
      </c>
      <c r="D793" s="73">
        <v>0</v>
      </c>
      <c r="E793" s="73">
        <v>0</v>
      </c>
      <c r="F793" s="73">
        <v>0</v>
      </c>
      <c r="G793" s="73">
        <v>123.60999999999999</v>
      </c>
      <c r="H793" s="73">
        <v>123.60999999999999</v>
      </c>
      <c r="I793" s="73">
        <v>0</v>
      </c>
      <c r="J793" s="73">
        <v>0</v>
      </c>
    </row>
    <row r="794" spans="1:10" hidden="1">
      <c r="A794" s="72" t="s">
        <v>2517</v>
      </c>
      <c r="B794" s="72" t="s">
        <v>2518</v>
      </c>
      <c r="C794" s="73">
        <v>0</v>
      </c>
      <c r="D794" s="73">
        <v>0</v>
      </c>
      <c r="E794" s="73">
        <v>0</v>
      </c>
      <c r="F794" s="73">
        <v>0</v>
      </c>
      <c r="G794" s="73">
        <v>1157.3000000000002</v>
      </c>
      <c r="H794" s="73">
        <v>1157.3000000000002</v>
      </c>
      <c r="I794" s="73">
        <v>0</v>
      </c>
      <c r="J794" s="73">
        <v>0</v>
      </c>
    </row>
    <row r="795" spans="1:10" hidden="1">
      <c r="A795" s="72" t="s">
        <v>2519</v>
      </c>
      <c r="B795" s="72" t="s">
        <v>2475</v>
      </c>
      <c r="C795" s="73">
        <v>0</v>
      </c>
      <c r="D795" s="73">
        <v>0</v>
      </c>
      <c r="E795" s="73">
        <v>0</v>
      </c>
      <c r="F795" s="73">
        <v>0</v>
      </c>
      <c r="G795" s="73">
        <v>56.83</v>
      </c>
      <c r="H795" s="73">
        <v>56.83</v>
      </c>
      <c r="I795" s="73">
        <v>0</v>
      </c>
      <c r="J795" s="73">
        <v>0</v>
      </c>
    </row>
    <row r="796" spans="1:10" hidden="1">
      <c r="A796" s="72" t="s">
        <v>2520</v>
      </c>
      <c r="B796" s="72" t="s">
        <v>2521</v>
      </c>
      <c r="C796" s="73">
        <v>0</v>
      </c>
      <c r="D796" s="73">
        <v>0</v>
      </c>
      <c r="E796" s="73">
        <v>0</v>
      </c>
      <c r="F796" s="73">
        <v>0</v>
      </c>
      <c r="G796" s="73">
        <v>279.58000000000004</v>
      </c>
      <c r="H796" s="73">
        <v>279.58000000000004</v>
      </c>
      <c r="I796" s="73">
        <v>0</v>
      </c>
      <c r="J796" s="73">
        <v>0</v>
      </c>
    </row>
    <row r="797" spans="1:10" hidden="1">
      <c r="A797" s="72" t="s">
        <v>2522</v>
      </c>
      <c r="B797" s="72" t="s">
        <v>2477</v>
      </c>
      <c r="C797" s="73">
        <v>0</v>
      </c>
      <c r="D797" s="73">
        <v>0</v>
      </c>
      <c r="E797" s="73">
        <v>0</v>
      </c>
      <c r="F797" s="73">
        <v>0</v>
      </c>
      <c r="G797" s="73">
        <v>143.78</v>
      </c>
      <c r="H797" s="73">
        <v>143.78</v>
      </c>
      <c r="I797" s="73">
        <v>0</v>
      </c>
      <c r="J797" s="73">
        <v>0</v>
      </c>
    </row>
    <row r="798" spans="1:10" hidden="1">
      <c r="A798" s="72" t="s">
        <v>2523</v>
      </c>
      <c r="B798" s="72" t="s">
        <v>2524</v>
      </c>
      <c r="C798" s="73">
        <v>0</v>
      </c>
      <c r="D798" s="73">
        <v>0</v>
      </c>
      <c r="E798" s="73">
        <v>0</v>
      </c>
      <c r="F798" s="73">
        <v>0</v>
      </c>
      <c r="G798" s="73">
        <v>212.71</v>
      </c>
      <c r="H798" s="73">
        <v>212.71</v>
      </c>
      <c r="I798" s="73">
        <v>0</v>
      </c>
      <c r="J798" s="73">
        <v>0</v>
      </c>
    </row>
    <row r="799" spans="1:10" hidden="1">
      <c r="A799" s="72" t="s">
        <v>2525</v>
      </c>
      <c r="B799" s="72" t="s">
        <v>2526</v>
      </c>
      <c r="C799" s="73">
        <v>0</v>
      </c>
      <c r="D799" s="73">
        <v>0</v>
      </c>
      <c r="E799" s="73">
        <v>0</v>
      </c>
      <c r="F799" s="73">
        <v>0</v>
      </c>
      <c r="G799" s="73">
        <v>268.29000000000002</v>
      </c>
      <c r="H799" s="73">
        <v>268.29000000000002</v>
      </c>
      <c r="I799" s="73">
        <v>0</v>
      </c>
      <c r="J799" s="73">
        <v>0</v>
      </c>
    </row>
    <row r="800" spans="1:10" hidden="1">
      <c r="A800" s="72" t="s">
        <v>2527</v>
      </c>
      <c r="B800" s="72" t="s">
        <v>2528</v>
      </c>
      <c r="C800" s="73">
        <v>0</v>
      </c>
      <c r="D800" s="73">
        <v>0</v>
      </c>
      <c r="E800" s="73">
        <v>0</v>
      </c>
      <c r="F800" s="73">
        <v>0</v>
      </c>
      <c r="G800" s="73">
        <v>108.65</v>
      </c>
      <c r="H800" s="73">
        <v>108.65</v>
      </c>
      <c r="I800" s="73">
        <v>0</v>
      </c>
      <c r="J800" s="73">
        <v>0</v>
      </c>
    </row>
    <row r="801" spans="1:10" hidden="1">
      <c r="A801" s="72" t="s">
        <v>2529</v>
      </c>
      <c r="B801" s="72" t="s">
        <v>2530</v>
      </c>
      <c r="C801" s="73">
        <v>0</v>
      </c>
      <c r="D801" s="73">
        <v>0</v>
      </c>
      <c r="E801" s="73">
        <v>0</v>
      </c>
      <c r="F801" s="73">
        <v>0</v>
      </c>
      <c r="G801" s="73">
        <v>30</v>
      </c>
      <c r="H801" s="73">
        <v>30</v>
      </c>
      <c r="I801" s="73">
        <v>0</v>
      </c>
      <c r="J801" s="73">
        <v>0</v>
      </c>
    </row>
    <row r="802" spans="1:10" hidden="1">
      <c r="A802" s="72" t="s">
        <v>2531</v>
      </c>
      <c r="B802" s="72" t="s">
        <v>2532</v>
      </c>
      <c r="C802" s="73">
        <v>0</v>
      </c>
      <c r="D802" s="73">
        <v>0</v>
      </c>
      <c r="E802" s="73">
        <v>0</v>
      </c>
      <c r="F802" s="73">
        <v>0</v>
      </c>
      <c r="G802" s="73">
        <v>30</v>
      </c>
      <c r="H802" s="73">
        <v>30</v>
      </c>
      <c r="I802" s="73">
        <v>0</v>
      </c>
      <c r="J802" s="73">
        <v>0</v>
      </c>
    </row>
    <row r="803" spans="1:10" hidden="1">
      <c r="A803" s="72" t="s">
        <v>2533</v>
      </c>
      <c r="B803" s="72" t="s">
        <v>2441</v>
      </c>
      <c r="C803" s="73">
        <v>0</v>
      </c>
      <c r="D803" s="73">
        <v>0</v>
      </c>
      <c r="E803" s="73">
        <v>0</v>
      </c>
      <c r="F803" s="73">
        <v>0</v>
      </c>
      <c r="G803" s="73">
        <v>438.97</v>
      </c>
      <c r="H803" s="73">
        <v>438.97</v>
      </c>
      <c r="I803" s="73">
        <v>0</v>
      </c>
      <c r="J803" s="73">
        <v>0</v>
      </c>
    </row>
    <row r="804" spans="1:10" hidden="1">
      <c r="A804" s="72" t="s">
        <v>2534</v>
      </c>
      <c r="B804" s="72" t="s">
        <v>2535</v>
      </c>
      <c r="C804" s="73">
        <v>0</v>
      </c>
      <c r="D804" s="73">
        <v>0</v>
      </c>
      <c r="E804" s="73">
        <v>94.97</v>
      </c>
      <c r="F804" s="73">
        <v>0</v>
      </c>
      <c r="G804" s="73">
        <v>94.97</v>
      </c>
      <c r="H804" s="73">
        <v>94.97</v>
      </c>
      <c r="I804" s="73">
        <v>0</v>
      </c>
      <c r="J804" s="73">
        <v>0</v>
      </c>
    </row>
    <row r="805" spans="1:10" hidden="1">
      <c r="A805" s="72" t="s">
        <v>2536</v>
      </c>
      <c r="B805" s="72" t="s">
        <v>2443</v>
      </c>
      <c r="C805" s="73">
        <v>0</v>
      </c>
      <c r="D805" s="73">
        <v>207.74</v>
      </c>
      <c r="E805" s="73">
        <v>151.36000000000013</v>
      </c>
      <c r="F805" s="73">
        <v>0</v>
      </c>
      <c r="G805" s="73">
        <v>2270.3500000000004</v>
      </c>
      <c r="H805" s="73">
        <v>2270.3500000000004</v>
      </c>
      <c r="I805" s="73">
        <v>0</v>
      </c>
      <c r="J805" s="73">
        <v>0</v>
      </c>
    </row>
    <row r="806" spans="1:10" hidden="1">
      <c r="A806" s="72" t="s">
        <v>2537</v>
      </c>
      <c r="B806" s="72" t="s">
        <v>2445</v>
      </c>
      <c r="C806" s="73">
        <v>0</v>
      </c>
      <c r="D806" s="73">
        <v>139.16</v>
      </c>
      <c r="E806" s="73">
        <v>132.55999999999995</v>
      </c>
      <c r="F806" s="73">
        <v>0</v>
      </c>
      <c r="G806" s="73">
        <v>1507.9599999999998</v>
      </c>
      <c r="H806" s="73">
        <v>1507.9599999999998</v>
      </c>
      <c r="I806" s="73">
        <v>0</v>
      </c>
      <c r="J806" s="73">
        <v>0</v>
      </c>
    </row>
    <row r="807" spans="1:10" hidden="1">
      <c r="A807" s="72" t="s">
        <v>2538</v>
      </c>
      <c r="B807" s="72" t="s">
        <v>2447</v>
      </c>
      <c r="C807" s="73">
        <v>0</v>
      </c>
      <c r="D807" s="73">
        <v>231.23</v>
      </c>
      <c r="E807" s="73">
        <v>220.94000000000005</v>
      </c>
      <c r="F807" s="73">
        <v>0</v>
      </c>
      <c r="G807" s="73">
        <v>2725.3100000000004</v>
      </c>
      <c r="H807" s="73">
        <v>2725.3100000000004</v>
      </c>
      <c r="I807" s="73">
        <v>0</v>
      </c>
      <c r="J807" s="73">
        <v>0</v>
      </c>
    </row>
    <row r="808" spans="1:10" hidden="1">
      <c r="A808" s="72" t="s">
        <v>2539</v>
      </c>
      <c r="B808" s="72" t="s">
        <v>2540</v>
      </c>
      <c r="C808" s="73">
        <v>0</v>
      </c>
      <c r="D808" s="73">
        <v>0</v>
      </c>
      <c r="E808" s="73">
        <v>0</v>
      </c>
      <c r="F808" s="73">
        <v>0</v>
      </c>
      <c r="G808" s="73">
        <v>65.78</v>
      </c>
      <c r="H808" s="73">
        <v>65.78</v>
      </c>
      <c r="I808" s="73">
        <v>0</v>
      </c>
      <c r="J808" s="73">
        <v>0</v>
      </c>
    </row>
    <row r="809" spans="1:10" hidden="1">
      <c r="A809" s="72" t="s">
        <v>2541</v>
      </c>
      <c r="B809" s="72" t="s">
        <v>2542</v>
      </c>
      <c r="C809" s="73">
        <v>0</v>
      </c>
      <c r="D809" s="73">
        <v>141.96</v>
      </c>
      <c r="E809" s="73">
        <v>165.45000000000005</v>
      </c>
      <c r="F809" s="73">
        <v>0</v>
      </c>
      <c r="G809" s="73">
        <v>1882.9500000000003</v>
      </c>
      <c r="H809" s="73">
        <v>1882.9500000000003</v>
      </c>
      <c r="I809" s="73">
        <v>0</v>
      </c>
      <c r="J809" s="73">
        <v>0</v>
      </c>
    </row>
    <row r="810" spans="1:10" hidden="1">
      <c r="A810" s="72" t="s">
        <v>2543</v>
      </c>
      <c r="B810" s="72" t="s">
        <v>2451</v>
      </c>
      <c r="C810" s="73">
        <v>0</v>
      </c>
      <c r="D810" s="73">
        <v>149.46</v>
      </c>
      <c r="E810" s="73">
        <v>165.45000000000005</v>
      </c>
      <c r="F810" s="73">
        <v>0</v>
      </c>
      <c r="G810" s="73">
        <v>1848.9500000000003</v>
      </c>
      <c r="H810" s="73">
        <v>1848.9500000000003</v>
      </c>
      <c r="I810" s="73">
        <v>0</v>
      </c>
      <c r="J810" s="73">
        <v>0</v>
      </c>
    </row>
    <row r="811" spans="1:10" hidden="1">
      <c r="A811" s="72" t="s">
        <v>2544</v>
      </c>
      <c r="B811" s="72" t="s">
        <v>2453</v>
      </c>
      <c r="C811" s="73">
        <v>0</v>
      </c>
      <c r="D811" s="73">
        <v>119.37</v>
      </c>
      <c r="E811" s="73">
        <v>50.789999999999964</v>
      </c>
      <c r="F811" s="73">
        <v>0</v>
      </c>
      <c r="G811" s="73">
        <v>1349.02</v>
      </c>
      <c r="H811" s="73">
        <v>1349.02</v>
      </c>
      <c r="I811" s="73">
        <v>0</v>
      </c>
      <c r="J811" s="73">
        <v>0</v>
      </c>
    </row>
    <row r="812" spans="1:10" hidden="1">
      <c r="A812" s="72" t="s">
        <v>2545</v>
      </c>
      <c r="B812" s="72" t="s">
        <v>2546</v>
      </c>
      <c r="C812" s="73">
        <v>0</v>
      </c>
      <c r="D812" s="73">
        <v>157.94999999999999</v>
      </c>
      <c r="E812" s="73">
        <v>166.45000000000005</v>
      </c>
      <c r="F812" s="73">
        <v>0</v>
      </c>
      <c r="G812" s="73">
        <v>1858.0400000000002</v>
      </c>
      <c r="H812" s="73">
        <v>1858.0400000000002</v>
      </c>
      <c r="I812" s="73">
        <v>0</v>
      </c>
      <c r="J812" s="73">
        <v>0</v>
      </c>
    </row>
    <row r="813" spans="1:10" hidden="1">
      <c r="A813" s="72" t="s">
        <v>2547</v>
      </c>
      <c r="B813" s="72" t="s">
        <v>2457</v>
      </c>
      <c r="C813" s="73">
        <v>0</v>
      </c>
      <c r="D813" s="73">
        <v>84.58</v>
      </c>
      <c r="E813" s="73">
        <v>0</v>
      </c>
      <c r="F813" s="73">
        <v>0</v>
      </c>
      <c r="G813" s="73">
        <v>269.83</v>
      </c>
      <c r="H813" s="73">
        <v>269.83</v>
      </c>
      <c r="I813" s="73">
        <v>0</v>
      </c>
      <c r="J813" s="73">
        <v>0</v>
      </c>
    </row>
    <row r="814" spans="1:10" hidden="1">
      <c r="A814" s="72" t="s">
        <v>2548</v>
      </c>
      <c r="B814" s="72" t="s">
        <v>2459</v>
      </c>
      <c r="C814" s="73">
        <v>0</v>
      </c>
      <c r="D814" s="73">
        <v>90.27</v>
      </c>
      <c r="E814" s="73">
        <v>77.969999999999914</v>
      </c>
      <c r="F814" s="73">
        <v>0</v>
      </c>
      <c r="G814" s="73">
        <v>1078.3799999999999</v>
      </c>
      <c r="H814" s="73">
        <v>1078.3799999999999</v>
      </c>
      <c r="I814" s="73">
        <v>0</v>
      </c>
      <c r="J814" s="73">
        <v>0</v>
      </c>
    </row>
    <row r="815" spans="1:10" hidden="1">
      <c r="A815" s="72" t="s">
        <v>2549</v>
      </c>
      <c r="B815" s="72" t="s">
        <v>2461</v>
      </c>
      <c r="C815" s="73">
        <v>0</v>
      </c>
      <c r="D815" s="73">
        <v>251.93</v>
      </c>
      <c r="E815" s="73">
        <v>217.11999999999989</v>
      </c>
      <c r="F815" s="73">
        <v>0</v>
      </c>
      <c r="G815" s="73">
        <v>2733.7299999999996</v>
      </c>
      <c r="H815" s="73">
        <v>2733.7299999999996</v>
      </c>
      <c r="I815" s="73">
        <v>0</v>
      </c>
      <c r="J815" s="73">
        <v>0</v>
      </c>
    </row>
    <row r="816" spans="1:10" hidden="1">
      <c r="A816" s="72" t="s">
        <v>2550</v>
      </c>
      <c r="B816" s="72" t="s">
        <v>2506</v>
      </c>
      <c r="C816" s="73">
        <v>0</v>
      </c>
      <c r="D816" s="73">
        <v>119.67</v>
      </c>
      <c r="E816" s="73">
        <v>113.97000000000003</v>
      </c>
      <c r="F816" s="73">
        <v>0</v>
      </c>
      <c r="G816" s="73">
        <v>1361.98</v>
      </c>
      <c r="H816" s="73">
        <v>1361.98</v>
      </c>
      <c r="I816" s="73">
        <v>0</v>
      </c>
      <c r="J816" s="73">
        <v>0</v>
      </c>
    </row>
    <row r="817" spans="1:10" hidden="1">
      <c r="A817" s="72" t="s">
        <v>2551</v>
      </c>
      <c r="B817" s="72" t="s">
        <v>2465</v>
      </c>
      <c r="C817" s="73">
        <v>0</v>
      </c>
      <c r="D817" s="73">
        <v>188.95</v>
      </c>
      <c r="E817" s="73">
        <v>188.94999999999982</v>
      </c>
      <c r="F817" s="73">
        <v>0</v>
      </c>
      <c r="G817" s="73">
        <v>2267.3599999999997</v>
      </c>
      <c r="H817" s="73">
        <v>2267.3599999999997</v>
      </c>
      <c r="I817" s="73">
        <v>0</v>
      </c>
      <c r="J817" s="73">
        <v>0</v>
      </c>
    </row>
    <row r="818" spans="1:10" hidden="1">
      <c r="A818" s="72" t="s">
        <v>2552</v>
      </c>
      <c r="B818" s="72" t="s">
        <v>2467</v>
      </c>
      <c r="C818" s="73">
        <v>0</v>
      </c>
      <c r="D818" s="73">
        <v>125.37</v>
      </c>
      <c r="E818" s="73">
        <v>99.559999999999945</v>
      </c>
      <c r="F818" s="73">
        <v>0</v>
      </c>
      <c r="G818" s="73">
        <v>1250.44</v>
      </c>
      <c r="H818" s="73">
        <v>1250.44</v>
      </c>
      <c r="I818" s="73">
        <v>0</v>
      </c>
      <c r="J818" s="73">
        <v>0</v>
      </c>
    </row>
    <row r="819" spans="1:10" hidden="1">
      <c r="A819" s="72" t="s">
        <v>2553</v>
      </c>
      <c r="B819" s="72" t="s">
        <v>2471</v>
      </c>
      <c r="C819" s="73">
        <v>0</v>
      </c>
      <c r="D819" s="73">
        <v>131.56</v>
      </c>
      <c r="E819" s="73">
        <v>199.34000000000015</v>
      </c>
      <c r="F819" s="73">
        <v>0</v>
      </c>
      <c r="G819" s="73">
        <v>2161.56</v>
      </c>
      <c r="H819" s="73">
        <v>2161.56</v>
      </c>
      <c r="I819" s="73">
        <v>0</v>
      </c>
      <c r="J819" s="73">
        <v>0</v>
      </c>
    </row>
    <row r="820" spans="1:10" hidden="1">
      <c r="A820" s="72" t="s">
        <v>2554</v>
      </c>
      <c r="B820" s="72" t="s">
        <v>2477</v>
      </c>
      <c r="C820" s="73">
        <v>0</v>
      </c>
      <c r="D820" s="73">
        <v>0</v>
      </c>
      <c r="E820" s="73">
        <v>93.970000000000027</v>
      </c>
      <c r="F820" s="73">
        <v>0</v>
      </c>
      <c r="G820" s="73">
        <v>631.61</v>
      </c>
      <c r="H820" s="73">
        <v>631.61</v>
      </c>
      <c r="I820" s="73">
        <v>0</v>
      </c>
      <c r="J820" s="73">
        <v>0</v>
      </c>
    </row>
    <row r="821" spans="1:10" hidden="1">
      <c r="A821" s="72" t="s">
        <v>2555</v>
      </c>
      <c r="B821" s="72" t="s">
        <v>2528</v>
      </c>
      <c r="C821" s="73">
        <v>0</v>
      </c>
      <c r="D821" s="73">
        <v>0</v>
      </c>
      <c r="E821" s="73">
        <v>0</v>
      </c>
      <c r="F821" s="73">
        <v>0</v>
      </c>
      <c r="G821" s="73">
        <v>56.38</v>
      </c>
      <c r="H821" s="73">
        <v>56.38</v>
      </c>
      <c r="I821" s="73">
        <v>0</v>
      </c>
      <c r="J821" s="73">
        <v>0</v>
      </c>
    </row>
    <row r="822" spans="1:10" hidden="1">
      <c r="A822" s="72" t="s">
        <v>2556</v>
      </c>
      <c r="B822" s="72" t="s">
        <v>2557</v>
      </c>
      <c r="C822" s="73">
        <v>0</v>
      </c>
      <c r="D822" s="73">
        <v>0</v>
      </c>
      <c r="E822" s="73">
        <v>75.180000000000007</v>
      </c>
      <c r="F822" s="73">
        <v>0</v>
      </c>
      <c r="G822" s="73">
        <v>75.180000000000007</v>
      </c>
      <c r="H822" s="73">
        <v>75.180000000000007</v>
      </c>
      <c r="I822" s="73">
        <v>0</v>
      </c>
      <c r="J822" s="73">
        <v>0</v>
      </c>
    </row>
    <row r="823" spans="1:10" hidden="1">
      <c r="A823" s="72" t="s">
        <v>2558</v>
      </c>
      <c r="B823" s="72" t="s">
        <v>2559</v>
      </c>
      <c r="C823" s="73">
        <v>7713.2000000000007</v>
      </c>
      <c r="D823" s="73">
        <v>0</v>
      </c>
      <c r="E823" s="73">
        <v>0</v>
      </c>
      <c r="F823" s="73">
        <v>311.11999999999989</v>
      </c>
      <c r="G823" s="73">
        <v>7713.2000000000007</v>
      </c>
      <c r="H823" s="73">
        <v>4563.4399999999996</v>
      </c>
      <c r="I823" s="73">
        <v>3149.7600000000011</v>
      </c>
      <c r="J823" s="73">
        <v>0</v>
      </c>
    </row>
    <row r="824" spans="1:10" hidden="1">
      <c r="A824" s="72" t="s">
        <v>2560</v>
      </c>
      <c r="B824" s="72" t="s">
        <v>2540</v>
      </c>
      <c r="C824" s="73">
        <v>2250</v>
      </c>
      <c r="D824" s="73">
        <v>0</v>
      </c>
      <c r="E824" s="73">
        <v>0</v>
      </c>
      <c r="F824" s="73">
        <v>50</v>
      </c>
      <c r="G824" s="73">
        <v>2250</v>
      </c>
      <c r="H824" s="73">
        <v>600</v>
      </c>
      <c r="I824" s="73">
        <v>1650</v>
      </c>
      <c r="J824" s="73">
        <v>0</v>
      </c>
    </row>
    <row r="825" spans="1:10" hidden="1">
      <c r="A825" s="72" t="s">
        <v>2561</v>
      </c>
      <c r="B825" s="72" t="s">
        <v>2493</v>
      </c>
      <c r="C825" s="73">
        <v>1944.42</v>
      </c>
      <c r="D825" s="73">
        <v>0</v>
      </c>
      <c r="E825" s="73">
        <v>0</v>
      </c>
      <c r="F825" s="73">
        <v>138.88999999999987</v>
      </c>
      <c r="G825" s="73">
        <v>1944.42</v>
      </c>
      <c r="H825" s="73">
        <v>1666.6799999999994</v>
      </c>
      <c r="I825" s="73">
        <v>277.74000000000069</v>
      </c>
      <c r="J825" s="73">
        <v>0</v>
      </c>
    </row>
    <row r="826" spans="1:10" hidden="1">
      <c r="A826" s="72" t="s">
        <v>2562</v>
      </c>
      <c r="B826" s="72" t="s">
        <v>2563</v>
      </c>
      <c r="C826" s="73">
        <v>830</v>
      </c>
      <c r="D826" s="73">
        <v>0</v>
      </c>
      <c r="E826" s="73">
        <v>0</v>
      </c>
      <c r="F826" s="73">
        <v>0</v>
      </c>
      <c r="G826" s="73">
        <v>830</v>
      </c>
      <c r="H826" s="73">
        <v>830</v>
      </c>
      <c r="I826" s="73">
        <v>0</v>
      </c>
      <c r="J826" s="73">
        <v>0</v>
      </c>
    </row>
    <row r="827" spans="1:10" hidden="1">
      <c r="A827" s="72" t="s">
        <v>2564</v>
      </c>
      <c r="B827" s="72" t="s">
        <v>2565</v>
      </c>
      <c r="C827" s="73">
        <v>2688.78</v>
      </c>
      <c r="D827" s="73">
        <v>0</v>
      </c>
      <c r="E827" s="73">
        <v>0</v>
      </c>
      <c r="F827" s="73">
        <v>122.23000000000002</v>
      </c>
      <c r="G827" s="73">
        <v>2688.78</v>
      </c>
      <c r="H827" s="73">
        <v>1466.76</v>
      </c>
      <c r="I827" s="73">
        <v>1222.0200000000002</v>
      </c>
      <c r="J827" s="73">
        <v>0</v>
      </c>
    </row>
    <row r="828" spans="1:10" hidden="1">
      <c r="A828" s="72" t="s">
        <v>2566</v>
      </c>
      <c r="B828" s="72" t="s">
        <v>2567</v>
      </c>
      <c r="C828" s="73">
        <v>438353.24</v>
      </c>
      <c r="D828" s="73">
        <v>562.32000000000005</v>
      </c>
      <c r="E828" s="73">
        <v>19949.880000000005</v>
      </c>
      <c r="F828" s="73">
        <v>0</v>
      </c>
      <c r="G828" s="73">
        <v>458303.12</v>
      </c>
      <c r="H828" s="73">
        <v>3801.17</v>
      </c>
      <c r="I828" s="73">
        <v>454501.95</v>
      </c>
      <c r="J828" s="73">
        <v>0</v>
      </c>
    </row>
    <row r="829" spans="1:10" hidden="1">
      <c r="A829" s="72" t="s">
        <v>2568</v>
      </c>
      <c r="B829" s="72" t="s">
        <v>2569</v>
      </c>
      <c r="C829" s="73">
        <v>45286.6</v>
      </c>
      <c r="D829" s="73">
        <v>0</v>
      </c>
      <c r="E829" s="73">
        <v>0</v>
      </c>
      <c r="F829" s="73">
        <v>0</v>
      </c>
      <c r="G829" s="73">
        <v>45286.6</v>
      </c>
      <c r="H829" s="73">
        <v>0</v>
      </c>
      <c r="I829" s="73">
        <v>45286.6</v>
      </c>
      <c r="J829" s="73">
        <v>0</v>
      </c>
    </row>
    <row r="830" spans="1:10" hidden="1">
      <c r="A830" s="72" t="s">
        <v>2570</v>
      </c>
      <c r="B830" s="72" t="s">
        <v>2571</v>
      </c>
      <c r="C830" s="73">
        <v>0</v>
      </c>
      <c r="D830" s="73">
        <v>562.32000000000005</v>
      </c>
      <c r="E830" s="73">
        <v>0</v>
      </c>
      <c r="F830" s="73">
        <v>0</v>
      </c>
      <c r="G830" s="73">
        <v>0</v>
      </c>
      <c r="H830" s="73">
        <v>562.32000000000005</v>
      </c>
      <c r="I830" s="73">
        <v>0</v>
      </c>
      <c r="J830" s="73">
        <v>562.32000000000005</v>
      </c>
    </row>
    <row r="831" spans="1:10" hidden="1">
      <c r="A831" s="72" t="s">
        <v>2572</v>
      </c>
      <c r="B831" s="72" t="s">
        <v>2311</v>
      </c>
      <c r="C831" s="73">
        <v>393066.64</v>
      </c>
      <c r="D831" s="73">
        <v>0</v>
      </c>
      <c r="E831" s="73">
        <v>19949.880000000005</v>
      </c>
      <c r="F831" s="73">
        <v>0</v>
      </c>
      <c r="G831" s="73">
        <v>413016.52</v>
      </c>
      <c r="H831" s="73">
        <v>3238.85</v>
      </c>
      <c r="I831" s="73">
        <v>409777.67000000004</v>
      </c>
      <c r="J831" s="73">
        <v>0</v>
      </c>
    </row>
    <row r="832" spans="1:10">
      <c r="A832" s="72" t="s">
        <v>2573</v>
      </c>
      <c r="B832" s="72" t="s">
        <v>2574</v>
      </c>
      <c r="C832" s="73">
        <v>0</v>
      </c>
      <c r="D832" s="73">
        <v>2945769.8600000003</v>
      </c>
      <c r="E832" s="73">
        <v>181867.6100000001</v>
      </c>
      <c r="F832" s="73">
        <v>410535.86000000034</v>
      </c>
      <c r="G832" s="73">
        <v>1853324.6600000001</v>
      </c>
      <c r="H832" s="73">
        <v>5072700.71</v>
      </c>
      <c r="I832" s="73">
        <v>0</v>
      </c>
      <c r="J832" s="73">
        <v>3219376.05</v>
      </c>
    </row>
    <row r="833" spans="1:14">
      <c r="A833" s="72" t="s">
        <v>2575</v>
      </c>
      <c r="B833" s="72" t="s">
        <v>2576</v>
      </c>
      <c r="C833" s="73">
        <v>0</v>
      </c>
      <c r="D833" s="73">
        <v>33730.36</v>
      </c>
      <c r="E833" s="73">
        <v>0</v>
      </c>
      <c r="F833" s="73">
        <v>0</v>
      </c>
      <c r="G833" s="73">
        <v>33730.36</v>
      </c>
      <c r="H833" s="73">
        <v>33730.36</v>
      </c>
      <c r="I833" s="73">
        <v>0</v>
      </c>
      <c r="J833" s="73">
        <v>0</v>
      </c>
    </row>
    <row r="834" spans="1:14">
      <c r="A834" s="72" t="s">
        <v>2577</v>
      </c>
      <c r="B834" s="72" t="s">
        <v>2578</v>
      </c>
      <c r="C834" s="73">
        <v>0</v>
      </c>
      <c r="D834" s="73">
        <v>0</v>
      </c>
      <c r="E834" s="73">
        <v>0</v>
      </c>
      <c r="F834" s="73">
        <v>0</v>
      </c>
      <c r="G834" s="73">
        <v>32873.399999999994</v>
      </c>
      <c r="H834" s="73">
        <v>32873.399999999994</v>
      </c>
      <c r="I834" s="73">
        <v>0</v>
      </c>
      <c r="J834" s="73">
        <v>0</v>
      </c>
    </row>
    <row r="835" spans="1:14">
      <c r="A835" s="72" t="s">
        <v>2579</v>
      </c>
      <c r="B835" s="72" t="s">
        <v>2580</v>
      </c>
      <c r="C835" s="73">
        <v>0</v>
      </c>
      <c r="D835" s="73">
        <v>314533.40000000002</v>
      </c>
      <c r="E835" s="73">
        <v>9588.3500000000058</v>
      </c>
      <c r="F835" s="73">
        <v>0</v>
      </c>
      <c r="G835" s="73">
        <v>113345.58000000002</v>
      </c>
      <c r="H835" s="73">
        <v>314533.40000000002</v>
      </c>
      <c r="I835" s="73">
        <v>0</v>
      </c>
      <c r="J835" s="73">
        <v>201187.82</v>
      </c>
    </row>
    <row r="836" spans="1:14">
      <c r="A836" s="72" t="s">
        <v>2581</v>
      </c>
      <c r="B836" s="72" t="s">
        <v>2582</v>
      </c>
      <c r="C836" s="73">
        <v>0</v>
      </c>
      <c r="D836" s="73">
        <v>0</v>
      </c>
      <c r="E836" s="73">
        <v>9913.3000000000029</v>
      </c>
      <c r="F836" s="73">
        <v>9913.3000000000029</v>
      </c>
      <c r="G836" s="73">
        <v>120986.77</v>
      </c>
      <c r="H836" s="73">
        <v>120986.77000000003</v>
      </c>
      <c r="I836" s="73">
        <v>0</v>
      </c>
      <c r="J836" s="73">
        <v>2.9103830456733704E-11</v>
      </c>
    </row>
    <row r="837" spans="1:14">
      <c r="A837" s="72" t="s">
        <v>2583</v>
      </c>
      <c r="B837" s="72" t="s">
        <v>2584</v>
      </c>
      <c r="C837" s="73">
        <v>0</v>
      </c>
      <c r="D837" s="73">
        <v>0</v>
      </c>
      <c r="E837" s="73">
        <v>5007.5299999999988</v>
      </c>
      <c r="F837" s="73">
        <v>0</v>
      </c>
      <c r="G837" s="73">
        <v>51582.74</v>
      </c>
      <c r="H837" s="73">
        <v>165125</v>
      </c>
      <c r="I837" s="73">
        <v>0</v>
      </c>
      <c r="J837" s="73">
        <v>113542.26000000001</v>
      </c>
    </row>
    <row r="838" spans="1:14">
      <c r="A838" s="66" t="s">
        <v>2585</v>
      </c>
      <c r="B838" s="66" t="s">
        <v>2586</v>
      </c>
      <c r="C838" s="68">
        <v>0</v>
      </c>
      <c r="D838" s="68">
        <v>0</v>
      </c>
      <c r="E838" s="68">
        <v>5224.8799999999974</v>
      </c>
      <c r="F838" s="68">
        <v>5224.8799999999974</v>
      </c>
      <c r="G838" s="68">
        <v>54330.239999999998</v>
      </c>
      <c r="H838" s="68">
        <v>54330.239999999998</v>
      </c>
      <c r="I838" s="68">
        <v>0</v>
      </c>
      <c r="J838" s="68">
        <v>0</v>
      </c>
    </row>
    <row r="839" spans="1:14">
      <c r="A839" s="66" t="s">
        <v>2587</v>
      </c>
      <c r="B839" s="66" t="s">
        <v>2588</v>
      </c>
      <c r="C839" s="68">
        <v>0</v>
      </c>
      <c r="D839" s="68">
        <v>0</v>
      </c>
      <c r="E839" s="68">
        <v>10284.970000000001</v>
      </c>
      <c r="F839" s="68">
        <v>0</v>
      </c>
      <c r="G839" s="68">
        <v>125663.40000000001</v>
      </c>
      <c r="H839" s="68">
        <v>642900</v>
      </c>
      <c r="I839" s="68">
        <v>0</v>
      </c>
      <c r="J839" s="68">
        <v>517236.6</v>
      </c>
    </row>
    <row r="840" spans="1:14">
      <c r="A840" s="66" t="s">
        <v>2589</v>
      </c>
      <c r="B840" s="66" t="s">
        <v>2590</v>
      </c>
      <c r="C840" s="68">
        <v>0</v>
      </c>
      <c r="D840" s="68">
        <v>0</v>
      </c>
      <c r="E840" s="68">
        <v>11441.119999999995</v>
      </c>
      <c r="F840" s="68">
        <v>11441.119999999995</v>
      </c>
      <c r="G840" s="68">
        <v>132936.71999999997</v>
      </c>
      <c r="H840" s="68">
        <v>132936.71999999997</v>
      </c>
      <c r="I840" s="68">
        <v>0</v>
      </c>
      <c r="J840" s="68">
        <v>0</v>
      </c>
    </row>
    <row r="841" spans="1:14">
      <c r="A841" s="66" t="s">
        <v>2591</v>
      </c>
      <c r="B841" s="66" t="s">
        <v>468</v>
      </c>
      <c r="C841" s="68">
        <v>0</v>
      </c>
      <c r="D841" s="68">
        <v>0</v>
      </c>
      <c r="E841" s="68">
        <v>33000</v>
      </c>
      <c r="F841" s="68">
        <v>330000</v>
      </c>
      <c r="G841" s="68">
        <v>33000</v>
      </c>
      <c r="H841" s="68">
        <v>330000</v>
      </c>
      <c r="I841" s="68">
        <v>0</v>
      </c>
      <c r="J841" s="68">
        <v>297000</v>
      </c>
    </row>
    <row r="842" spans="1:14">
      <c r="A842" s="66" t="s">
        <v>2592</v>
      </c>
      <c r="B842" s="66" t="s">
        <v>2593</v>
      </c>
      <c r="C842" s="68">
        <v>0</v>
      </c>
      <c r="D842" s="68">
        <v>887931.09</v>
      </c>
      <c r="E842" s="68">
        <v>15564.899999999994</v>
      </c>
      <c r="F842" s="68">
        <v>0</v>
      </c>
      <c r="G842" s="68">
        <v>181788.91</v>
      </c>
      <c r="H842" s="68">
        <v>887931.09</v>
      </c>
      <c r="I842" s="68">
        <v>0</v>
      </c>
      <c r="J842" s="68">
        <v>706142.17999999993</v>
      </c>
    </row>
    <row r="843" spans="1:14">
      <c r="A843" s="66" t="s">
        <v>2594</v>
      </c>
      <c r="B843" s="66" t="s">
        <v>2595</v>
      </c>
      <c r="C843" s="68">
        <v>0</v>
      </c>
      <c r="D843" s="68">
        <v>0</v>
      </c>
      <c r="E843" s="68">
        <v>18546.48000000001</v>
      </c>
      <c r="F843" s="68">
        <v>18546.48000000001</v>
      </c>
      <c r="G843" s="68">
        <v>222557.76000000004</v>
      </c>
      <c r="H843" s="68">
        <v>222557.76000000004</v>
      </c>
      <c r="I843" s="68">
        <v>0</v>
      </c>
      <c r="J843" s="68">
        <v>0</v>
      </c>
      <c r="L843" s="65"/>
      <c r="M843" s="65"/>
      <c r="N843" s="65"/>
    </row>
    <row r="844" spans="1:14">
      <c r="A844" s="66" t="s">
        <v>2596</v>
      </c>
      <c r="B844" s="66" t="s">
        <v>2597</v>
      </c>
      <c r="C844" s="68">
        <v>0</v>
      </c>
      <c r="D844" s="68">
        <v>658143.4</v>
      </c>
      <c r="E844" s="68">
        <v>11329.589999999997</v>
      </c>
      <c r="F844" s="68">
        <v>0</v>
      </c>
      <c r="G844" s="68">
        <v>132567.18</v>
      </c>
      <c r="H844" s="68">
        <v>658143.4</v>
      </c>
      <c r="I844" s="68">
        <v>0</v>
      </c>
      <c r="J844" s="68">
        <v>525576.22</v>
      </c>
      <c r="L844" s="65"/>
      <c r="M844" s="65"/>
      <c r="N844" s="65"/>
    </row>
    <row r="845" spans="1:14">
      <c r="A845" s="66" t="s">
        <v>2598</v>
      </c>
      <c r="B845" s="66" t="s">
        <v>2599</v>
      </c>
      <c r="C845" s="68">
        <v>0</v>
      </c>
      <c r="D845" s="68">
        <v>0</v>
      </c>
      <c r="E845" s="68">
        <v>13464.239999999991</v>
      </c>
      <c r="F845" s="68">
        <v>13464.239999999991</v>
      </c>
      <c r="G845" s="68">
        <v>161570.88</v>
      </c>
      <c r="H845" s="68">
        <v>161570.88</v>
      </c>
      <c r="I845" s="68">
        <v>0</v>
      </c>
      <c r="J845" s="68">
        <v>0</v>
      </c>
    </row>
    <row r="846" spans="1:14">
      <c r="A846" s="72" t="s">
        <v>2600</v>
      </c>
      <c r="B846" s="72" t="s">
        <v>2601</v>
      </c>
      <c r="C846" s="73">
        <v>0</v>
      </c>
      <c r="D846" s="73">
        <v>169762.33</v>
      </c>
      <c r="E846" s="73">
        <v>3028.619999999999</v>
      </c>
      <c r="F846" s="73">
        <v>0</v>
      </c>
      <c r="G846" s="73">
        <v>35358.269999999997</v>
      </c>
      <c r="H846" s="73">
        <v>169762.33</v>
      </c>
      <c r="I846" s="73">
        <v>0</v>
      </c>
      <c r="J846" s="73">
        <v>134404.06</v>
      </c>
    </row>
    <row r="847" spans="1:14">
      <c r="A847" s="72" t="s">
        <v>2602</v>
      </c>
      <c r="B847" s="72" t="s">
        <v>2603</v>
      </c>
      <c r="C847" s="73">
        <v>0</v>
      </c>
      <c r="D847" s="73">
        <v>0</v>
      </c>
      <c r="E847" s="73">
        <v>3627.1999999999971</v>
      </c>
      <c r="F847" s="73">
        <v>3627.1999999999971</v>
      </c>
      <c r="G847" s="73">
        <v>43676.399999999994</v>
      </c>
      <c r="H847" s="73">
        <v>43676.399999999994</v>
      </c>
      <c r="I847" s="73">
        <v>0</v>
      </c>
      <c r="J847" s="73">
        <v>0</v>
      </c>
      <c r="L847" s="65"/>
      <c r="M847" s="65"/>
      <c r="N847" s="65"/>
    </row>
    <row r="848" spans="1:14">
      <c r="A848" s="72" t="s">
        <v>2604</v>
      </c>
      <c r="B848" s="72" t="s">
        <v>2601</v>
      </c>
      <c r="C848" s="73">
        <v>0</v>
      </c>
      <c r="D848" s="73">
        <v>339429.85</v>
      </c>
      <c r="E848" s="73">
        <v>6056.3599999999933</v>
      </c>
      <c r="F848" s="73">
        <v>0</v>
      </c>
      <c r="G848" s="73">
        <v>70710.06</v>
      </c>
      <c r="H848" s="73">
        <v>339429.85</v>
      </c>
      <c r="I848" s="73">
        <v>0</v>
      </c>
      <c r="J848" s="73">
        <v>268719.78999999998</v>
      </c>
      <c r="L848" s="65"/>
      <c r="M848" s="65"/>
      <c r="N848" s="65"/>
    </row>
    <row r="849" spans="1:14">
      <c r="A849" s="72" t="s">
        <v>2605</v>
      </c>
      <c r="B849" s="72" t="s">
        <v>2603</v>
      </c>
      <c r="C849" s="73">
        <v>0</v>
      </c>
      <c r="D849" s="73">
        <v>0</v>
      </c>
      <c r="E849" s="73">
        <v>7250.6900000000023</v>
      </c>
      <c r="F849" s="73">
        <v>7250.6900000000023</v>
      </c>
      <c r="G849" s="73">
        <v>87158.280000000013</v>
      </c>
      <c r="H849" s="73">
        <v>87158.280000000013</v>
      </c>
      <c r="I849" s="73">
        <v>0</v>
      </c>
      <c r="J849" s="73">
        <v>0</v>
      </c>
    </row>
    <row r="850" spans="1:14">
      <c r="A850" s="72" t="s">
        <v>2606</v>
      </c>
      <c r="B850" s="72" t="s">
        <v>2607</v>
      </c>
      <c r="C850" s="73">
        <v>0</v>
      </c>
      <c r="D850" s="73">
        <v>542239.43000000005</v>
      </c>
      <c r="E850" s="73">
        <v>7471.429999999993</v>
      </c>
      <c r="F850" s="73">
        <v>0</v>
      </c>
      <c r="G850" s="73">
        <v>86672.31</v>
      </c>
      <c r="H850" s="73">
        <v>542239.43000000005</v>
      </c>
      <c r="I850" s="73">
        <v>0</v>
      </c>
      <c r="J850" s="73">
        <v>455567.12000000005</v>
      </c>
    </row>
    <row r="851" spans="1:14">
      <c r="A851" s="72" t="s">
        <v>2608</v>
      </c>
      <c r="B851" s="72" t="s">
        <v>2609</v>
      </c>
      <c r="C851" s="73">
        <v>0</v>
      </c>
      <c r="D851" s="73">
        <v>0</v>
      </c>
      <c r="E851" s="73">
        <v>11067.950000000012</v>
      </c>
      <c r="F851" s="73">
        <v>11067.950000000012</v>
      </c>
      <c r="G851" s="73">
        <v>132815.4</v>
      </c>
      <c r="H851" s="73">
        <v>132815.4</v>
      </c>
      <c r="I851" s="73">
        <v>0</v>
      </c>
      <c r="J851" s="73">
        <v>0</v>
      </c>
    </row>
    <row r="852" spans="1:14" hidden="1">
      <c r="A852" s="72" t="s">
        <v>2610</v>
      </c>
      <c r="B852" s="72" t="s">
        <v>2611</v>
      </c>
      <c r="C852" s="73">
        <v>0</v>
      </c>
      <c r="D852" s="73">
        <v>0</v>
      </c>
      <c r="E852" s="73">
        <v>0</v>
      </c>
      <c r="F852" s="73">
        <v>158500</v>
      </c>
      <c r="G852" s="73">
        <v>181673.26</v>
      </c>
      <c r="H852" s="73">
        <v>165820</v>
      </c>
      <c r="I852" s="73">
        <v>15853.260000000009</v>
      </c>
      <c r="J852" s="73">
        <v>0</v>
      </c>
    </row>
    <row r="853" spans="1:14" hidden="1">
      <c r="A853" s="72" t="s">
        <v>2612</v>
      </c>
      <c r="B853" s="72" t="s">
        <v>2613</v>
      </c>
      <c r="C853" s="73">
        <v>10862.48</v>
      </c>
      <c r="D853" s="73">
        <v>764166.64999999991</v>
      </c>
      <c r="E853" s="73">
        <v>284795.87000000011</v>
      </c>
      <c r="F853" s="73">
        <v>371479.6799999997</v>
      </c>
      <c r="G853" s="73">
        <v>4708695.4899999993</v>
      </c>
      <c r="H853" s="73">
        <v>5030366.4800000014</v>
      </c>
      <c r="I853" s="73">
        <v>0</v>
      </c>
      <c r="J853" s="73">
        <v>321670.99000000209</v>
      </c>
    </row>
    <row r="854" spans="1:14" hidden="1">
      <c r="A854" s="72" t="s">
        <v>2614</v>
      </c>
      <c r="B854" s="72" t="s">
        <v>2615</v>
      </c>
      <c r="C854" s="73">
        <v>10862.48</v>
      </c>
      <c r="D854" s="73">
        <v>0</v>
      </c>
      <c r="E854" s="73">
        <v>25045.239999999991</v>
      </c>
      <c r="F854" s="73">
        <v>82827.069999999949</v>
      </c>
      <c r="G854" s="73">
        <v>556829.77999999991</v>
      </c>
      <c r="H854" s="73">
        <v>550887.1</v>
      </c>
      <c r="I854" s="73">
        <v>5942.6799999999348</v>
      </c>
      <c r="J854" s="73">
        <v>0</v>
      </c>
    </row>
    <row r="855" spans="1:14" hidden="1">
      <c r="A855" s="72" t="s">
        <v>2616</v>
      </c>
      <c r="B855" s="72" t="s">
        <v>2617</v>
      </c>
      <c r="C855" s="73">
        <v>0</v>
      </c>
      <c r="D855" s="73">
        <v>4815.6899999999996</v>
      </c>
      <c r="E855" s="73">
        <v>0</v>
      </c>
      <c r="F855" s="73">
        <v>0</v>
      </c>
      <c r="G855" s="73">
        <v>0</v>
      </c>
      <c r="H855" s="73">
        <v>4815.6899999999996</v>
      </c>
      <c r="I855" s="73">
        <v>0</v>
      </c>
      <c r="J855" s="73">
        <v>4815.6899999999996</v>
      </c>
    </row>
    <row r="856" spans="1:14" hidden="1">
      <c r="A856" s="72" t="s">
        <v>2618</v>
      </c>
      <c r="B856" s="72" t="s">
        <v>2619</v>
      </c>
      <c r="C856" s="73">
        <v>0</v>
      </c>
      <c r="D856" s="73">
        <v>738650.09</v>
      </c>
      <c r="E856" s="73">
        <v>80316.020000000019</v>
      </c>
      <c r="F856" s="73">
        <v>114677</v>
      </c>
      <c r="G856" s="73">
        <v>1146084.9099999999</v>
      </c>
      <c r="H856" s="73">
        <v>1446748.29</v>
      </c>
      <c r="I856" s="73">
        <v>0</v>
      </c>
      <c r="J856" s="73">
        <v>300663.38000000012</v>
      </c>
    </row>
    <row r="857" spans="1:14" hidden="1">
      <c r="A857" s="72" t="s">
        <v>2620</v>
      </c>
      <c r="B857" s="72" t="s">
        <v>2621</v>
      </c>
      <c r="C857" s="73">
        <v>0</v>
      </c>
      <c r="D857" s="73">
        <v>1427.4</v>
      </c>
      <c r="E857" s="73">
        <v>1537.1999999999989</v>
      </c>
      <c r="F857" s="73">
        <v>1372.5</v>
      </c>
      <c r="G857" s="73">
        <v>16579.8</v>
      </c>
      <c r="H857" s="73">
        <v>17952.3</v>
      </c>
      <c r="I857" s="73">
        <v>0</v>
      </c>
      <c r="J857" s="73">
        <v>1372.5</v>
      </c>
    </row>
    <row r="858" spans="1:14" hidden="1">
      <c r="A858" s="72" t="s">
        <v>2622</v>
      </c>
      <c r="B858" s="72" t="s">
        <v>2623</v>
      </c>
      <c r="C858" s="73">
        <v>0</v>
      </c>
      <c r="D858" s="73">
        <v>1678.38</v>
      </c>
      <c r="E858" s="73">
        <v>77592.939999999944</v>
      </c>
      <c r="F858" s="73">
        <v>102601.95999999996</v>
      </c>
      <c r="G858" s="73">
        <v>2536247.2499999995</v>
      </c>
      <c r="H858" s="73">
        <v>2536247.2500000005</v>
      </c>
      <c r="I858" s="73">
        <v>0</v>
      </c>
      <c r="J858" s="73">
        <v>9.3132257461547852E-10</v>
      </c>
    </row>
    <row r="859" spans="1:14" hidden="1">
      <c r="A859" s="72" t="s">
        <v>2624</v>
      </c>
      <c r="B859" s="72" t="s">
        <v>2625</v>
      </c>
      <c r="C859" s="73">
        <v>0</v>
      </c>
      <c r="D859" s="73">
        <v>7480</v>
      </c>
      <c r="E859" s="73">
        <v>8250</v>
      </c>
      <c r="F859" s="73">
        <v>8140</v>
      </c>
      <c r="G859" s="73">
        <v>94050</v>
      </c>
      <c r="H859" s="73">
        <v>102190</v>
      </c>
      <c r="I859" s="73">
        <v>0</v>
      </c>
      <c r="J859" s="73">
        <v>8140</v>
      </c>
    </row>
    <row r="860" spans="1:14" hidden="1">
      <c r="A860" s="72" t="s">
        <v>2626</v>
      </c>
      <c r="B860" s="72" t="s">
        <v>2627</v>
      </c>
      <c r="C860" s="73">
        <v>0</v>
      </c>
      <c r="D860" s="73">
        <v>0</v>
      </c>
      <c r="E860" s="73">
        <v>87148.85</v>
      </c>
      <c r="F860" s="73">
        <v>54066.200000000012</v>
      </c>
      <c r="G860" s="73">
        <v>293984.38</v>
      </c>
      <c r="H860" s="73">
        <v>293984.38</v>
      </c>
      <c r="I860" s="73">
        <v>0</v>
      </c>
      <c r="J860" s="73">
        <v>0</v>
      </c>
    </row>
    <row r="861" spans="1:14" hidden="1">
      <c r="A861" s="72" t="s">
        <v>2628</v>
      </c>
      <c r="B861" s="72" t="s">
        <v>2629</v>
      </c>
      <c r="C861" s="73">
        <v>0</v>
      </c>
      <c r="D861" s="73">
        <v>10115.09</v>
      </c>
      <c r="E861" s="73">
        <v>4905.6200000000026</v>
      </c>
      <c r="F861" s="73">
        <v>7794.9499999999971</v>
      </c>
      <c r="G861" s="73">
        <v>64919.37000000001</v>
      </c>
      <c r="H861" s="73">
        <v>77541.47</v>
      </c>
      <c r="I861" s="73">
        <v>0</v>
      </c>
      <c r="J861" s="73">
        <v>12622.099999999991</v>
      </c>
    </row>
    <row r="862" spans="1:14">
      <c r="A862" s="72" t="s">
        <v>2630</v>
      </c>
      <c r="B862" s="72" t="s">
        <v>2631</v>
      </c>
      <c r="C862" s="73">
        <v>0</v>
      </c>
      <c r="D862" s="73">
        <v>16025951.58</v>
      </c>
      <c r="E862" s="73">
        <v>3511665</v>
      </c>
      <c r="F862" s="73">
        <v>2888320</v>
      </c>
      <c r="G862" s="73">
        <v>5529256.0099999998</v>
      </c>
      <c r="H862" s="73">
        <v>22503237.389999997</v>
      </c>
      <c r="I862" s="73">
        <v>0</v>
      </c>
      <c r="J862" s="73">
        <v>16973981.379999995</v>
      </c>
      <c r="L862" s="65"/>
      <c r="M862" s="65"/>
      <c r="N862" s="65"/>
    </row>
    <row r="863" spans="1:14">
      <c r="A863" s="72" t="s">
        <v>2632</v>
      </c>
      <c r="B863" s="72" t="s">
        <v>403</v>
      </c>
      <c r="C863" s="73">
        <v>0</v>
      </c>
      <c r="D863" s="73">
        <v>1641325</v>
      </c>
      <c r="E863" s="73">
        <v>520320</v>
      </c>
      <c r="F863" s="73">
        <v>0</v>
      </c>
      <c r="G863" s="73">
        <v>520320</v>
      </c>
      <c r="H863" s="73">
        <v>5151280.38</v>
      </c>
      <c r="I863" s="73">
        <v>0</v>
      </c>
      <c r="J863" s="73">
        <v>4630960.38</v>
      </c>
    </row>
    <row r="864" spans="1:14">
      <c r="A864" s="72" t="s">
        <v>2633</v>
      </c>
      <c r="B864" s="72" t="s">
        <v>414</v>
      </c>
      <c r="C864" s="73">
        <v>0</v>
      </c>
      <c r="D864" s="73">
        <v>11822701</v>
      </c>
      <c r="E864" s="73">
        <v>2368000</v>
      </c>
      <c r="F864" s="73">
        <v>0</v>
      </c>
      <c r="G864" s="73">
        <v>2368000</v>
      </c>
      <c r="H864" s="73">
        <v>11822701</v>
      </c>
      <c r="I864" s="73">
        <v>0</v>
      </c>
      <c r="J864" s="73">
        <v>9454701</v>
      </c>
    </row>
    <row r="865" spans="1:10">
      <c r="A865" s="72" t="s">
        <v>2634</v>
      </c>
      <c r="B865" s="72" t="s">
        <v>403</v>
      </c>
      <c r="C865" s="73">
        <v>0</v>
      </c>
      <c r="D865" s="73">
        <v>193925.58</v>
      </c>
      <c r="E865" s="73">
        <v>31345</v>
      </c>
      <c r="F865" s="73">
        <v>520320.00000000006</v>
      </c>
      <c r="G865" s="73">
        <v>272936.01</v>
      </c>
      <c r="H865" s="73">
        <v>793256.01</v>
      </c>
      <c r="I865" s="73">
        <v>0</v>
      </c>
      <c r="J865" s="73">
        <v>520320</v>
      </c>
    </row>
    <row r="866" spans="1:10">
      <c r="A866" s="72" t="s">
        <v>2635</v>
      </c>
      <c r="B866" s="72" t="s">
        <v>414</v>
      </c>
      <c r="C866" s="73">
        <v>0</v>
      </c>
      <c r="D866" s="73">
        <v>2368000</v>
      </c>
      <c r="E866" s="73">
        <v>592000</v>
      </c>
      <c r="F866" s="73">
        <v>2368000</v>
      </c>
      <c r="G866" s="73">
        <v>2368000</v>
      </c>
      <c r="H866" s="73">
        <v>4736000</v>
      </c>
      <c r="I866" s="73">
        <v>0</v>
      </c>
      <c r="J866" s="73">
        <v>2368000</v>
      </c>
    </row>
    <row r="867" spans="1:10">
      <c r="A867" s="72" t="s">
        <v>2636</v>
      </c>
      <c r="B867" s="72" t="s">
        <v>2637</v>
      </c>
      <c r="C867" s="73">
        <v>610540.16</v>
      </c>
      <c r="D867" s="73">
        <v>0</v>
      </c>
      <c r="E867" s="73">
        <v>1518.9000000000233</v>
      </c>
      <c r="F867" s="73">
        <v>0</v>
      </c>
      <c r="G867" s="73">
        <v>912059.06</v>
      </c>
      <c r="H867" s="73">
        <v>610540.16</v>
      </c>
      <c r="I867" s="73">
        <v>301518.90000000002</v>
      </c>
      <c r="J867" s="73">
        <v>0</v>
      </c>
    </row>
    <row r="868" spans="1:10">
      <c r="A868" s="72" t="s">
        <v>2638</v>
      </c>
      <c r="B868" s="72" t="s">
        <v>2639</v>
      </c>
      <c r="C868" s="73">
        <v>610540.16</v>
      </c>
      <c r="D868" s="73">
        <v>0</v>
      </c>
      <c r="E868" s="73">
        <v>1518.9000000000233</v>
      </c>
      <c r="F868" s="73">
        <v>0</v>
      </c>
      <c r="G868" s="73">
        <v>912059.06</v>
      </c>
      <c r="H868" s="73">
        <v>610540.16</v>
      </c>
      <c r="I868" s="73">
        <v>301518.90000000002</v>
      </c>
      <c r="J868" s="73">
        <v>0</v>
      </c>
    </row>
    <row r="869" spans="1:10">
      <c r="A869" s="72" t="s">
        <v>2640</v>
      </c>
      <c r="B869" s="72" t="s">
        <v>2641</v>
      </c>
      <c r="C869" s="73">
        <v>562.32000000000005</v>
      </c>
      <c r="D869" s="73">
        <v>438353.24</v>
      </c>
      <c r="E869" s="73">
        <v>0</v>
      </c>
      <c r="F869" s="73">
        <v>19949.880000000005</v>
      </c>
      <c r="G869" s="73">
        <v>3801.17</v>
      </c>
      <c r="H869" s="73">
        <v>458303.12</v>
      </c>
      <c r="I869" s="73">
        <v>0</v>
      </c>
      <c r="J869" s="73">
        <v>454501.95</v>
      </c>
    </row>
    <row r="870" spans="1:10">
      <c r="A870" s="72" t="s">
        <v>2642</v>
      </c>
      <c r="B870" s="72" t="s">
        <v>2569</v>
      </c>
      <c r="C870" s="73">
        <v>0</v>
      </c>
      <c r="D870" s="73">
        <v>45286.6</v>
      </c>
      <c r="E870" s="73">
        <v>0</v>
      </c>
      <c r="F870" s="73">
        <v>0</v>
      </c>
      <c r="G870" s="73">
        <v>0</v>
      </c>
      <c r="H870" s="73">
        <v>45286.6</v>
      </c>
      <c r="I870" s="73">
        <v>0</v>
      </c>
      <c r="J870" s="73">
        <v>45286.6</v>
      </c>
    </row>
    <row r="871" spans="1:10">
      <c r="A871" s="72" t="s">
        <v>2643</v>
      </c>
      <c r="B871" s="72" t="s">
        <v>2571</v>
      </c>
      <c r="C871" s="73">
        <v>562.32000000000005</v>
      </c>
      <c r="D871" s="73">
        <v>0</v>
      </c>
      <c r="E871" s="73">
        <v>0</v>
      </c>
      <c r="F871" s="73">
        <v>0</v>
      </c>
      <c r="G871" s="73">
        <v>562.32000000000005</v>
      </c>
      <c r="H871" s="73">
        <v>0</v>
      </c>
      <c r="I871" s="73">
        <v>562.32000000000005</v>
      </c>
      <c r="J871" s="73">
        <v>0</v>
      </c>
    </row>
    <row r="872" spans="1:10" ht="14.25" customHeight="1">
      <c r="A872" s="72" t="s">
        <v>2644</v>
      </c>
      <c r="B872" s="72" t="s">
        <v>2311</v>
      </c>
      <c r="C872" s="73">
        <v>0</v>
      </c>
      <c r="D872" s="73">
        <v>393066.64</v>
      </c>
      <c r="E872" s="73">
        <v>0</v>
      </c>
      <c r="F872" s="73">
        <v>19949.880000000005</v>
      </c>
      <c r="G872" s="73">
        <v>3238.85</v>
      </c>
      <c r="H872" s="73">
        <v>413016.52</v>
      </c>
      <c r="I872" s="73">
        <v>0</v>
      </c>
      <c r="J872" s="73">
        <v>409777.67000000004</v>
      </c>
    </row>
    <row r="873" spans="1:10" ht="14.25" customHeight="1">
      <c r="A873" s="66" t="s">
        <v>2645</v>
      </c>
      <c r="B873" s="66" t="s">
        <v>2646</v>
      </c>
      <c r="C873" s="68">
        <v>1634207.4600000002</v>
      </c>
      <c r="D873" s="68">
        <v>0</v>
      </c>
      <c r="E873" s="68">
        <v>546644.38999999966</v>
      </c>
      <c r="F873" s="68">
        <v>347831.4700000002</v>
      </c>
      <c r="G873" s="68">
        <v>4231399.37</v>
      </c>
      <c r="H873" s="68">
        <v>2615228.9099999997</v>
      </c>
      <c r="I873" s="68">
        <v>1616170.4600000004</v>
      </c>
      <c r="J873" s="68">
        <v>0</v>
      </c>
    </row>
    <row r="874" spans="1:10" ht="14.25" customHeight="1">
      <c r="A874" s="66" t="s">
        <v>2647</v>
      </c>
      <c r="B874" s="66" t="s">
        <v>2648</v>
      </c>
      <c r="C874" s="68">
        <v>1283052.6499999999</v>
      </c>
      <c r="D874" s="68">
        <v>0</v>
      </c>
      <c r="E874" s="68">
        <v>151933.47999999998</v>
      </c>
      <c r="F874" s="68">
        <v>96471.590000000084</v>
      </c>
      <c r="G874" s="68">
        <v>2153018.6999999997</v>
      </c>
      <c r="H874" s="68">
        <v>1057246.07</v>
      </c>
      <c r="I874" s="68">
        <v>1095772.6299999997</v>
      </c>
      <c r="J874" s="68">
        <v>0</v>
      </c>
    </row>
    <row r="875" spans="1:10" ht="14.25" customHeight="1">
      <c r="A875" s="66" t="s">
        <v>2649</v>
      </c>
      <c r="B875" s="66" t="s">
        <v>2650</v>
      </c>
      <c r="C875" s="68">
        <v>1854.85</v>
      </c>
      <c r="D875" s="68">
        <v>0</v>
      </c>
      <c r="E875" s="68">
        <v>0</v>
      </c>
      <c r="F875" s="68">
        <v>0</v>
      </c>
      <c r="G875" s="68">
        <v>1854.85</v>
      </c>
      <c r="H875" s="68">
        <v>0</v>
      </c>
      <c r="I875" s="68">
        <v>1854.85</v>
      </c>
      <c r="J875" s="68">
        <v>0</v>
      </c>
    </row>
    <row r="876" spans="1:10" ht="14.25" customHeight="1">
      <c r="A876" s="66" t="s">
        <v>2651</v>
      </c>
      <c r="B876" s="66" t="s">
        <v>2652</v>
      </c>
      <c r="C876" s="68">
        <v>154095.64000000001</v>
      </c>
      <c r="D876" s="68">
        <v>0</v>
      </c>
      <c r="E876" s="68">
        <v>0</v>
      </c>
      <c r="F876" s="68">
        <v>67909.06</v>
      </c>
      <c r="G876" s="68">
        <v>305160.90000000002</v>
      </c>
      <c r="H876" s="68">
        <v>124163.56</v>
      </c>
      <c r="I876" s="68">
        <v>180997.34000000003</v>
      </c>
      <c r="J876" s="68">
        <v>0</v>
      </c>
    </row>
    <row r="877" spans="1:10" ht="14.25" customHeight="1">
      <c r="A877" s="66" t="s">
        <v>2653</v>
      </c>
      <c r="B877" s="66" t="s">
        <v>2654</v>
      </c>
      <c r="C877" s="68">
        <v>130565.79</v>
      </c>
      <c r="D877" s="68">
        <v>0</v>
      </c>
      <c r="E877" s="68">
        <v>335575.54000000004</v>
      </c>
      <c r="F877" s="68">
        <v>124948.93</v>
      </c>
      <c r="G877" s="68">
        <v>921792.01</v>
      </c>
      <c r="H877" s="68">
        <v>599098.88</v>
      </c>
      <c r="I877" s="68">
        <v>322693.13</v>
      </c>
      <c r="J877" s="68">
        <v>0</v>
      </c>
    </row>
    <row r="878" spans="1:10" ht="14.25" customHeight="1">
      <c r="A878" s="66" t="s">
        <v>2655</v>
      </c>
      <c r="B878" s="66" t="s">
        <v>2656</v>
      </c>
      <c r="C878" s="68">
        <v>2148.4899999999998</v>
      </c>
      <c r="D878" s="68">
        <v>0</v>
      </c>
      <c r="E878" s="68">
        <v>106.88999999999942</v>
      </c>
      <c r="F878" s="68">
        <v>492</v>
      </c>
      <c r="G878" s="68">
        <v>24599.06</v>
      </c>
      <c r="H878" s="68">
        <v>24141.770000000004</v>
      </c>
      <c r="I878" s="68">
        <v>457.28999999999724</v>
      </c>
      <c r="J878" s="68">
        <v>0</v>
      </c>
    </row>
    <row r="879" spans="1:10" ht="14.25" customHeight="1">
      <c r="A879" s="66" t="s">
        <v>2657</v>
      </c>
      <c r="B879" s="66" t="s">
        <v>2658</v>
      </c>
      <c r="C879" s="68">
        <v>62490.04</v>
      </c>
      <c r="D879" s="68">
        <v>0</v>
      </c>
      <c r="E879" s="68">
        <v>59028.479999999981</v>
      </c>
      <c r="F879" s="68">
        <v>58009.890000000014</v>
      </c>
      <c r="G879" s="68">
        <v>824973.84999999986</v>
      </c>
      <c r="H879" s="68">
        <v>810578.63000000012</v>
      </c>
      <c r="I879" s="68">
        <v>14395.219999999739</v>
      </c>
      <c r="J879" s="68">
        <v>0</v>
      </c>
    </row>
    <row r="880" spans="1:10" ht="14.25" customHeight="1">
      <c r="A880" s="66" t="s">
        <v>2659</v>
      </c>
      <c r="B880" s="66" t="s">
        <v>2660</v>
      </c>
      <c r="C880" s="68">
        <v>20715.59</v>
      </c>
      <c r="D880" s="68">
        <v>0</v>
      </c>
      <c r="E880" s="68">
        <v>36146.099999999977</v>
      </c>
      <c r="F880" s="68">
        <v>0</v>
      </c>
      <c r="G880" s="68">
        <v>523245.43</v>
      </c>
      <c r="H880" s="68">
        <v>487099.32999999996</v>
      </c>
      <c r="I880" s="68">
        <v>36146.100000000035</v>
      </c>
      <c r="J880" s="68">
        <v>0</v>
      </c>
    </row>
    <row r="881" spans="1:10" ht="14.25" customHeight="1">
      <c r="A881" s="66" t="s">
        <v>2661</v>
      </c>
      <c r="B881" s="66" t="s">
        <v>2662</v>
      </c>
      <c r="C881" s="68">
        <v>20715.59</v>
      </c>
      <c r="D881" s="68">
        <v>0</v>
      </c>
      <c r="E881" s="68">
        <v>36146.099999999977</v>
      </c>
      <c r="F881" s="68">
        <v>0</v>
      </c>
      <c r="G881" s="68">
        <v>523245.43</v>
      </c>
      <c r="H881" s="68">
        <v>487099.32999999996</v>
      </c>
      <c r="I881" s="68">
        <v>36146.100000000035</v>
      </c>
      <c r="J881" s="68">
        <v>0</v>
      </c>
    </row>
    <row r="882" spans="1:10" ht="14.25" customHeight="1">
      <c r="A882" s="66" t="s">
        <v>2663</v>
      </c>
      <c r="B882" s="66" t="s">
        <v>2664</v>
      </c>
      <c r="C882" s="68">
        <v>3485717.11</v>
      </c>
      <c r="D882" s="68">
        <v>0</v>
      </c>
      <c r="E882" s="68">
        <v>1174021.6899999995</v>
      </c>
      <c r="F882" s="68">
        <v>2529155.1100000003</v>
      </c>
      <c r="G882" s="68">
        <v>6489951.25</v>
      </c>
      <c r="H882" s="68">
        <v>6902044.4199999999</v>
      </c>
      <c r="I882" s="68">
        <v>0</v>
      </c>
      <c r="J882" s="68">
        <v>412093.16999999993</v>
      </c>
    </row>
    <row r="883" spans="1:10" ht="14.25" customHeight="1">
      <c r="A883" s="66" t="s">
        <v>2665</v>
      </c>
      <c r="B883" s="66" t="s">
        <v>21</v>
      </c>
      <c r="C883" s="68">
        <v>0</v>
      </c>
      <c r="D883" s="68">
        <v>0</v>
      </c>
      <c r="E883" s="68">
        <v>762810.01000000071</v>
      </c>
      <c r="F883" s="68">
        <v>0</v>
      </c>
      <c r="G883" s="68">
        <v>8582855.7900000028</v>
      </c>
      <c r="H883" s="68">
        <v>0</v>
      </c>
      <c r="I883" s="68">
        <v>8582855.7900000028</v>
      </c>
      <c r="J883" s="68">
        <v>0</v>
      </c>
    </row>
    <row r="884" spans="1:10" ht="14.25" customHeight="1">
      <c r="A884" s="66" t="s">
        <v>2666</v>
      </c>
      <c r="B884" s="66" t="s">
        <v>2667</v>
      </c>
      <c r="C884" s="68">
        <v>0</v>
      </c>
      <c r="D884" s="68">
        <v>0</v>
      </c>
      <c r="E884" s="68">
        <v>762810.01000000071</v>
      </c>
      <c r="F884" s="68">
        <v>0</v>
      </c>
      <c r="G884" s="68">
        <v>8582855.7900000028</v>
      </c>
      <c r="H884" s="68">
        <v>0</v>
      </c>
      <c r="I884" s="68">
        <v>8582855.7900000028</v>
      </c>
      <c r="J884" s="68">
        <v>0</v>
      </c>
    </row>
    <row r="885" spans="1:10" ht="14.25" customHeight="1">
      <c r="A885" s="66" t="s">
        <v>2668</v>
      </c>
      <c r="B885" s="66" t="s">
        <v>2669</v>
      </c>
      <c r="C885" s="68">
        <v>0</v>
      </c>
      <c r="D885" s="68">
        <v>0</v>
      </c>
      <c r="E885" s="68">
        <v>552802.5</v>
      </c>
      <c r="F885" s="68">
        <v>0</v>
      </c>
      <c r="G885" s="68">
        <v>6870993.7500000009</v>
      </c>
      <c r="H885" s="68">
        <v>0</v>
      </c>
      <c r="I885" s="68">
        <v>6870993.7500000009</v>
      </c>
      <c r="J885" s="68">
        <v>0</v>
      </c>
    </row>
    <row r="886" spans="1:10" ht="14.25" customHeight="1">
      <c r="A886" s="66" t="s">
        <v>2670</v>
      </c>
      <c r="B886" s="66" t="s">
        <v>2671</v>
      </c>
      <c r="C886" s="68">
        <v>0</v>
      </c>
      <c r="D886" s="68">
        <v>0</v>
      </c>
      <c r="E886" s="68">
        <v>12268.649999999994</v>
      </c>
      <c r="F886" s="68">
        <v>0</v>
      </c>
      <c r="G886" s="68">
        <v>101848.68</v>
      </c>
      <c r="H886" s="68">
        <v>0</v>
      </c>
      <c r="I886" s="68">
        <v>101848.68</v>
      </c>
      <c r="J886" s="68">
        <v>0</v>
      </c>
    </row>
    <row r="887" spans="1:10" ht="14.25" customHeight="1">
      <c r="A887" s="66" t="s">
        <v>2672</v>
      </c>
      <c r="B887" s="66" t="s">
        <v>2656</v>
      </c>
      <c r="C887" s="68">
        <v>0</v>
      </c>
      <c r="D887" s="68">
        <v>0</v>
      </c>
      <c r="E887" s="68">
        <v>74480.420000000042</v>
      </c>
      <c r="F887" s="68">
        <v>0</v>
      </c>
      <c r="G887" s="68">
        <v>765025.77</v>
      </c>
      <c r="H887" s="68">
        <v>0</v>
      </c>
      <c r="I887" s="68">
        <v>765025.77</v>
      </c>
      <c r="J887" s="68">
        <v>0</v>
      </c>
    </row>
    <row r="888" spans="1:10" ht="14.25" customHeight="1">
      <c r="A888" s="66" t="s">
        <v>2673</v>
      </c>
      <c r="B888" s="66" t="s">
        <v>2674</v>
      </c>
      <c r="C888" s="68">
        <v>0</v>
      </c>
      <c r="D888" s="68">
        <v>0</v>
      </c>
      <c r="E888" s="68">
        <v>194815.28000000003</v>
      </c>
      <c r="F888" s="68">
        <v>0</v>
      </c>
      <c r="G888" s="68">
        <v>1946054.0599999998</v>
      </c>
      <c r="H888" s="68">
        <v>0</v>
      </c>
      <c r="I888" s="68">
        <v>1946054.0599999998</v>
      </c>
      <c r="J888" s="68">
        <v>0</v>
      </c>
    </row>
    <row r="889" spans="1:10" ht="14.25" customHeight="1">
      <c r="A889" s="66" t="s">
        <v>2675</v>
      </c>
      <c r="B889" s="66" t="s">
        <v>2676</v>
      </c>
      <c r="C889" s="68">
        <v>0</v>
      </c>
      <c r="D889" s="68">
        <v>0</v>
      </c>
      <c r="E889" s="68">
        <v>14448.279999999999</v>
      </c>
      <c r="F889" s="68">
        <v>0</v>
      </c>
      <c r="G889" s="68">
        <v>154735.38999999998</v>
      </c>
      <c r="H889" s="68">
        <v>0</v>
      </c>
      <c r="I889" s="68">
        <v>154735.38999999998</v>
      </c>
      <c r="J889" s="68">
        <v>0</v>
      </c>
    </row>
    <row r="890" spans="1:10" ht="14.25" customHeight="1">
      <c r="A890" s="66" t="s">
        <v>2677</v>
      </c>
      <c r="B890" s="66" t="s">
        <v>2678</v>
      </c>
      <c r="C890" s="68">
        <v>0</v>
      </c>
      <c r="D890" s="68">
        <v>0</v>
      </c>
      <c r="E890" s="68">
        <v>141343.46999999997</v>
      </c>
      <c r="F890" s="68">
        <v>0</v>
      </c>
      <c r="G890" s="68">
        <v>1683132.1500000004</v>
      </c>
      <c r="H890" s="68">
        <v>0</v>
      </c>
      <c r="I890" s="68">
        <v>1683132.1500000004</v>
      </c>
      <c r="J890" s="68">
        <v>0</v>
      </c>
    </row>
    <row r="891" spans="1:10" ht="14.25" customHeight="1">
      <c r="A891" s="66" t="s">
        <v>2679</v>
      </c>
      <c r="B891" s="66" t="s">
        <v>2680</v>
      </c>
      <c r="C891" s="68">
        <v>0</v>
      </c>
      <c r="D891" s="68">
        <v>0</v>
      </c>
      <c r="E891" s="68">
        <v>8944.609999999986</v>
      </c>
      <c r="F891" s="68">
        <v>0</v>
      </c>
      <c r="G891" s="68">
        <v>155336.08999999997</v>
      </c>
      <c r="H891" s="68">
        <v>0</v>
      </c>
      <c r="I891" s="68">
        <v>155336.08999999997</v>
      </c>
      <c r="J891" s="68">
        <v>0</v>
      </c>
    </row>
    <row r="892" spans="1:10" ht="14.25" customHeight="1">
      <c r="A892" s="66" t="s">
        <v>2681</v>
      </c>
      <c r="B892" s="66" t="s">
        <v>2682</v>
      </c>
      <c r="C892" s="68">
        <v>0</v>
      </c>
      <c r="D892" s="68">
        <v>0</v>
      </c>
      <c r="E892" s="68">
        <v>1615.5500000000011</v>
      </c>
      <c r="F892" s="68">
        <v>0</v>
      </c>
      <c r="G892" s="68">
        <v>17103.060000000001</v>
      </c>
      <c r="H892" s="68">
        <v>0</v>
      </c>
      <c r="I892" s="68">
        <v>17103.060000000001</v>
      </c>
      <c r="J892" s="68">
        <v>0</v>
      </c>
    </row>
    <row r="893" spans="1:10" ht="14.25" customHeight="1">
      <c r="A893" s="66" t="s">
        <v>2683</v>
      </c>
      <c r="B893" s="66" t="s">
        <v>2684</v>
      </c>
      <c r="C893" s="68">
        <v>0</v>
      </c>
      <c r="D893" s="68">
        <v>0</v>
      </c>
      <c r="E893" s="68">
        <v>1649.9100000000035</v>
      </c>
      <c r="F893" s="68">
        <v>0</v>
      </c>
      <c r="G893" s="68">
        <v>157445.26</v>
      </c>
      <c r="H893" s="68">
        <v>0</v>
      </c>
      <c r="I893" s="68">
        <v>157445.26</v>
      </c>
      <c r="J893" s="68">
        <v>0</v>
      </c>
    </row>
    <row r="894" spans="1:10" ht="14.25" customHeight="1">
      <c r="A894" s="66" t="s">
        <v>2685</v>
      </c>
      <c r="B894" s="66" t="s">
        <v>2686</v>
      </c>
      <c r="C894" s="68">
        <v>0</v>
      </c>
      <c r="D894" s="68">
        <v>0</v>
      </c>
      <c r="E894" s="68">
        <v>8936.5299999999988</v>
      </c>
      <c r="F894" s="68">
        <v>0</v>
      </c>
      <c r="G894" s="68">
        <v>47780.939999999988</v>
      </c>
      <c r="H894" s="68">
        <v>0</v>
      </c>
      <c r="I894" s="68">
        <v>47780.939999999988</v>
      </c>
      <c r="J894" s="68">
        <v>0</v>
      </c>
    </row>
    <row r="895" spans="1:10" ht="14.25" customHeight="1">
      <c r="A895" s="66" t="s">
        <v>2687</v>
      </c>
      <c r="B895" s="66" t="s">
        <v>2688</v>
      </c>
      <c r="C895" s="68">
        <v>0</v>
      </c>
      <c r="D895" s="68">
        <v>0</v>
      </c>
      <c r="E895" s="68">
        <v>94299.800000000047</v>
      </c>
      <c r="F895" s="68">
        <v>0</v>
      </c>
      <c r="G895" s="68">
        <v>1842532.3499999999</v>
      </c>
      <c r="H895" s="68">
        <v>0</v>
      </c>
      <c r="I895" s="68">
        <v>1842532.3499999999</v>
      </c>
      <c r="J895" s="68">
        <v>0</v>
      </c>
    </row>
    <row r="896" spans="1:10" ht="14.25" customHeight="1">
      <c r="A896" s="66" t="s">
        <v>2689</v>
      </c>
      <c r="B896" s="66" t="s">
        <v>330</v>
      </c>
      <c r="C896" s="68">
        <v>0</v>
      </c>
      <c r="D896" s="68">
        <v>0</v>
      </c>
      <c r="E896" s="68">
        <v>130401.18000000017</v>
      </c>
      <c r="F896" s="68">
        <v>0</v>
      </c>
      <c r="G896" s="68">
        <v>2131366.1200000006</v>
      </c>
      <c r="H896" s="68">
        <v>0</v>
      </c>
      <c r="I896" s="68">
        <v>2131366.1200000006</v>
      </c>
      <c r="J896" s="68">
        <v>0</v>
      </c>
    </row>
    <row r="897" spans="1:10" ht="14.25" customHeight="1">
      <c r="A897" s="66" t="s">
        <v>2690</v>
      </c>
      <c r="B897" s="66" t="s">
        <v>2691</v>
      </c>
      <c r="C897" s="68">
        <v>0</v>
      </c>
      <c r="D897" s="68">
        <v>0</v>
      </c>
      <c r="E897" s="68">
        <v>93296.860000000102</v>
      </c>
      <c r="F897" s="68">
        <v>0</v>
      </c>
      <c r="G897" s="68">
        <v>1785218.13</v>
      </c>
      <c r="H897" s="68">
        <v>0</v>
      </c>
      <c r="I897" s="68">
        <v>1785218.13</v>
      </c>
      <c r="J897" s="68">
        <v>0</v>
      </c>
    </row>
    <row r="898" spans="1:10" ht="14.25" customHeight="1">
      <c r="A898" s="66" t="s">
        <v>2692</v>
      </c>
      <c r="B898" s="66" t="s">
        <v>2693</v>
      </c>
      <c r="C898" s="68">
        <v>0</v>
      </c>
      <c r="D898" s="68">
        <v>0</v>
      </c>
      <c r="E898" s="68">
        <v>3645.6500000000015</v>
      </c>
      <c r="F898" s="68">
        <v>0</v>
      </c>
      <c r="G898" s="68">
        <v>32901.39</v>
      </c>
      <c r="H898" s="68">
        <v>0</v>
      </c>
      <c r="I898" s="68">
        <v>32901.39</v>
      </c>
      <c r="J898" s="68">
        <v>0</v>
      </c>
    </row>
    <row r="899" spans="1:10" ht="14.25" customHeight="1">
      <c r="A899" s="66" t="s">
        <v>2694</v>
      </c>
      <c r="B899" s="66" t="s">
        <v>2695</v>
      </c>
      <c r="C899" s="68">
        <v>0</v>
      </c>
      <c r="D899" s="68">
        <v>0</v>
      </c>
      <c r="E899" s="68">
        <v>33458.669999999984</v>
      </c>
      <c r="F899" s="68">
        <v>0</v>
      </c>
      <c r="G899" s="68">
        <v>313246.59999999992</v>
      </c>
      <c r="H899" s="68">
        <v>0</v>
      </c>
      <c r="I899" s="68">
        <v>313246.59999999992</v>
      </c>
      <c r="J899" s="68">
        <v>0</v>
      </c>
    </row>
    <row r="900" spans="1:10" ht="14.25" customHeight="1">
      <c r="A900" s="66" t="s">
        <v>2696</v>
      </c>
      <c r="B900" s="66" t="s">
        <v>25</v>
      </c>
      <c r="C900" s="68">
        <v>0</v>
      </c>
      <c r="D900" s="68">
        <v>0</v>
      </c>
      <c r="E900" s="68">
        <v>2107716.5399999991</v>
      </c>
      <c r="F900" s="68">
        <v>0</v>
      </c>
      <c r="G900" s="68">
        <v>19363130.039999999</v>
      </c>
      <c r="H900" s="68">
        <v>0</v>
      </c>
      <c r="I900" s="68">
        <v>19363130.039999999</v>
      </c>
      <c r="J900" s="68">
        <v>0</v>
      </c>
    </row>
    <row r="901" spans="1:10" ht="14.25" customHeight="1">
      <c r="A901" s="66" t="s">
        <v>2697</v>
      </c>
      <c r="B901" s="66" t="s">
        <v>2698</v>
      </c>
      <c r="C901" s="68">
        <v>0</v>
      </c>
      <c r="D901" s="68">
        <v>0</v>
      </c>
      <c r="E901" s="68">
        <v>4753.9500000000007</v>
      </c>
      <c r="F901" s="68">
        <v>0</v>
      </c>
      <c r="G901" s="68">
        <v>33247.049999999996</v>
      </c>
      <c r="H901" s="68">
        <v>0</v>
      </c>
      <c r="I901" s="68">
        <v>33247.049999999996</v>
      </c>
      <c r="J901" s="68">
        <v>0</v>
      </c>
    </row>
    <row r="902" spans="1:10" ht="14.25" customHeight="1">
      <c r="A902" s="66" t="s">
        <v>2699</v>
      </c>
      <c r="B902" s="66" t="s">
        <v>2700</v>
      </c>
      <c r="C902" s="68">
        <v>0</v>
      </c>
      <c r="D902" s="68">
        <v>0</v>
      </c>
      <c r="E902" s="68">
        <v>44562.799999999988</v>
      </c>
      <c r="F902" s="68">
        <v>0</v>
      </c>
      <c r="G902" s="68">
        <v>530231.56999999995</v>
      </c>
      <c r="H902" s="68">
        <v>0</v>
      </c>
      <c r="I902" s="68">
        <v>530231.56999999995</v>
      </c>
      <c r="J902" s="68">
        <v>0</v>
      </c>
    </row>
    <row r="903" spans="1:10" ht="14.25" customHeight="1">
      <c r="A903" s="66" t="s">
        <v>2701</v>
      </c>
      <c r="B903" s="66" t="s">
        <v>2702</v>
      </c>
      <c r="C903" s="68">
        <v>0</v>
      </c>
      <c r="D903" s="68">
        <v>0</v>
      </c>
      <c r="E903" s="68">
        <v>11478</v>
      </c>
      <c r="F903" s="68">
        <v>0</v>
      </c>
      <c r="G903" s="68">
        <v>140398</v>
      </c>
      <c r="H903" s="68">
        <v>0</v>
      </c>
      <c r="I903" s="68">
        <v>140398</v>
      </c>
      <c r="J903" s="68">
        <v>0</v>
      </c>
    </row>
    <row r="904" spans="1:10" ht="14.25" customHeight="1">
      <c r="A904" s="66" t="s">
        <v>2703</v>
      </c>
      <c r="B904" s="66" t="s">
        <v>2704</v>
      </c>
      <c r="C904" s="68">
        <v>0</v>
      </c>
      <c r="D904" s="68">
        <v>0</v>
      </c>
      <c r="E904" s="68">
        <v>511756.69000000041</v>
      </c>
      <c r="F904" s="68">
        <v>0</v>
      </c>
      <c r="G904" s="68">
        <v>7579787.0999999996</v>
      </c>
      <c r="H904" s="68">
        <v>0</v>
      </c>
      <c r="I904" s="68">
        <v>7579787.0999999996</v>
      </c>
      <c r="J904" s="68">
        <v>0</v>
      </c>
    </row>
    <row r="905" spans="1:10" ht="14.25" customHeight="1">
      <c r="A905" s="66" t="s">
        <v>2705</v>
      </c>
      <c r="B905" s="66" t="s">
        <v>2706</v>
      </c>
      <c r="C905" s="68">
        <v>0</v>
      </c>
      <c r="D905" s="68">
        <v>0</v>
      </c>
      <c r="E905" s="68">
        <v>12750</v>
      </c>
      <c r="F905" s="68">
        <v>0</v>
      </c>
      <c r="G905" s="68">
        <v>85585</v>
      </c>
      <c r="H905" s="68">
        <v>0</v>
      </c>
      <c r="I905" s="68">
        <v>85585</v>
      </c>
      <c r="J905" s="68">
        <v>0</v>
      </c>
    </row>
    <row r="906" spans="1:10" ht="14.25" customHeight="1">
      <c r="A906" s="66" t="s">
        <v>2707</v>
      </c>
      <c r="B906" s="66" t="s">
        <v>2708</v>
      </c>
      <c r="C906" s="68">
        <v>0</v>
      </c>
      <c r="D906" s="68">
        <v>0</v>
      </c>
      <c r="E906" s="68">
        <v>7854.9799999999959</v>
      </c>
      <c r="F906" s="68">
        <v>0</v>
      </c>
      <c r="G906" s="68">
        <v>88222.689999999988</v>
      </c>
      <c r="H906" s="68">
        <v>0</v>
      </c>
      <c r="I906" s="68">
        <v>88222.689999999988</v>
      </c>
      <c r="J906" s="68">
        <v>0</v>
      </c>
    </row>
    <row r="907" spans="1:10" ht="14.25" customHeight="1">
      <c r="A907" s="66" t="s">
        <v>2709</v>
      </c>
      <c r="B907" s="66" t="s">
        <v>2710</v>
      </c>
      <c r="C907" s="68">
        <v>0</v>
      </c>
      <c r="D907" s="68">
        <v>0</v>
      </c>
      <c r="E907" s="68">
        <v>63651.910000000033</v>
      </c>
      <c r="F907" s="68">
        <v>0</v>
      </c>
      <c r="G907" s="68">
        <v>646429.21</v>
      </c>
      <c r="H907" s="68">
        <v>0</v>
      </c>
      <c r="I907" s="68">
        <v>646429.21</v>
      </c>
      <c r="J907" s="68">
        <v>0</v>
      </c>
    </row>
    <row r="908" spans="1:10" ht="14.25" customHeight="1">
      <c r="A908" s="66" t="s">
        <v>2711</v>
      </c>
      <c r="B908" s="66" t="s">
        <v>2712</v>
      </c>
      <c r="C908" s="68">
        <v>0</v>
      </c>
      <c r="D908" s="68">
        <v>0</v>
      </c>
      <c r="E908" s="68">
        <v>231221.70000000019</v>
      </c>
      <c r="F908" s="68">
        <v>0</v>
      </c>
      <c r="G908" s="68">
        <v>2148408.0900000003</v>
      </c>
      <c r="H908" s="68">
        <v>0</v>
      </c>
      <c r="I908" s="68">
        <v>2148408.0900000003</v>
      </c>
      <c r="J908" s="68">
        <v>0</v>
      </c>
    </row>
    <row r="909" spans="1:10" ht="14.25" customHeight="1">
      <c r="A909" s="66" t="s">
        <v>2713</v>
      </c>
      <c r="B909" s="66" t="s">
        <v>2714</v>
      </c>
      <c r="C909" s="68">
        <v>0</v>
      </c>
      <c r="D909" s="68">
        <v>0</v>
      </c>
      <c r="E909" s="68">
        <v>0</v>
      </c>
      <c r="F909" s="68">
        <v>0</v>
      </c>
      <c r="G909" s="68">
        <v>1600</v>
      </c>
      <c r="H909" s="68">
        <v>0</v>
      </c>
      <c r="I909" s="68">
        <v>1600</v>
      </c>
      <c r="J909" s="68">
        <v>0</v>
      </c>
    </row>
    <row r="910" spans="1:10" ht="14.25" customHeight="1">
      <c r="A910" s="66" t="s">
        <v>2715</v>
      </c>
      <c r="B910" s="66" t="s">
        <v>2716</v>
      </c>
      <c r="C910" s="68">
        <v>0</v>
      </c>
      <c r="D910" s="68">
        <v>0</v>
      </c>
      <c r="E910" s="68">
        <v>5245</v>
      </c>
      <c r="F910" s="68">
        <v>0</v>
      </c>
      <c r="G910" s="68">
        <v>60598</v>
      </c>
      <c r="H910" s="68">
        <v>0</v>
      </c>
      <c r="I910" s="68">
        <v>60598</v>
      </c>
      <c r="J910" s="68">
        <v>0</v>
      </c>
    </row>
    <row r="911" spans="1:10" ht="14.25" customHeight="1">
      <c r="A911" s="66" t="s">
        <v>2717</v>
      </c>
      <c r="B911" s="66" t="s">
        <v>2718</v>
      </c>
      <c r="C911" s="68">
        <v>0</v>
      </c>
      <c r="D911" s="68">
        <v>0</v>
      </c>
      <c r="E911" s="68">
        <v>13600</v>
      </c>
      <c r="F911" s="68">
        <v>0</v>
      </c>
      <c r="G911" s="68">
        <v>108200</v>
      </c>
      <c r="H911" s="68">
        <v>0</v>
      </c>
      <c r="I911" s="68">
        <v>108200</v>
      </c>
      <c r="J911" s="68">
        <v>0</v>
      </c>
    </row>
    <row r="912" spans="1:10" ht="14.25" customHeight="1">
      <c r="A912" s="66" t="s">
        <v>2719</v>
      </c>
      <c r="B912" s="66" t="s">
        <v>2720</v>
      </c>
      <c r="C912" s="68">
        <v>0</v>
      </c>
      <c r="D912" s="68">
        <v>0</v>
      </c>
      <c r="E912" s="68">
        <v>1017672.4000000004</v>
      </c>
      <c r="F912" s="68">
        <v>0</v>
      </c>
      <c r="G912" s="68">
        <v>5527966.2400000002</v>
      </c>
      <c r="H912" s="68">
        <v>0</v>
      </c>
      <c r="I912" s="68">
        <v>5527966.2400000002</v>
      </c>
      <c r="J912" s="68">
        <v>0</v>
      </c>
    </row>
    <row r="913" spans="1:10" ht="14.25" customHeight="1">
      <c r="A913" s="66" t="s">
        <v>2721</v>
      </c>
      <c r="B913" s="66" t="s">
        <v>2722</v>
      </c>
      <c r="C913" s="68">
        <v>0</v>
      </c>
      <c r="D913" s="68">
        <v>0</v>
      </c>
      <c r="E913" s="68">
        <v>36243.449999999953</v>
      </c>
      <c r="F913" s="68">
        <v>0</v>
      </c>
      <c r="G913" s="68">
        <v>674600.61</v>
      </c>
      <c r="H913" s="68">
        <v>0</v>
      </c>
      <c r="I913" s="68">
        <v>674600.61</v>
      </c>
      <c r="J913" s="68">
        <v>0</v>
      </c>
    </row>
    <row r="914" spans="1:10" ht="14.25" customHeight="1">
      <c r="A914" s="66" t="s">
        <v>2723</v>
      </c>
      <c r="B914" s="66" t="s">
        <v>2724</v>
      </c>
      <c r="C914" s="68">
        <v>0</v>
      </c>
      <c r="D914" s="68">
        <v>0</v>
      </c>
      <c r="E914" s="68">
        <v>146925.65999999992</v>
      </c>
      <c r="F914" s="68">
        <v>0</v>
      </c>
      <c r="G914" s="68">
        <v>1737856.4799999997</v>
      </c>
      <c r="H914" s="68">
        <v>0</v>
      </c>
      <c r="I914" s="68">
        <v>1737856.4799999997</v>
      </c>
      <c r="J914" s="68">
        <v>0</v>
      </c>
    </row>
    <row r="915" spans="1:10" ht="14.25" customHeight="1">
      <c r="A915" s="66" t="s">
        <v>2725</v>
      </c>
      <c r="B915" s="66" t="s">
        <v>2726</v>
      </c>
      <c r="C915" s="68">
        <v>0</v>
      </c>
      <c r="D915" s="68">
        <v>0</v>
      </c>
      <c r="E915" s="68">
        <v>976335.44999999925</v>
      </c>
      <c r="F915" s="68">
        <v>0</v>
      </c>
      <c r="G915" s="68">
        <v>12787581.26</v>
      </c>
      <c r="H915" s="68">
        <v>0</v>
      </c>
      <c r="I915" s="68">
        <v>12787581.26</v>
      </c>
      <c r="J915" s="68">
        <v>0</v>
      </c>
    </row>
    <row r="916" spans="1:10" ht="14.25" customHeight="1">
      <c r="A916" s="66" t="s">
        <v>2727</v>
      </c>
      <c r="B916" s="66" t="s">
        <v>2375</v>
      </c>
      <c r="C916" s="68">
        <v>0</v>
      </c>
      <c r="D916" s="68">
        <v>0</v>
      </c>
      <c r="E916" s="68">
        <v>331267.19999999972</v>
      </c>
      <c r="F916" s="68">
        <v>0</v>
      </c>
      <c r="G916" s="68">
        <v>4154969.2799999993</v>
      </c>
      <c r="H916" s="68">
        <v>0</v>
      </c>
      <c r="I916" s="68">
        <v>4154969.2799999993</v>
      </c>
      <c r="J916" s="68">
        <v>0</v>
      </c>
    </row>
    <row r="917" spans="1:10" ht="14.25" customHeight="1">
      <c r="A917" s="66" t="s">
        <v>2728</v>
      </c>
      <c r="B917" s="66" t="s">
        <v>2729</v>
      </c>
      <c r="C917" s="68">
        <v>0</v>
      </c>
      <c r="D917" s="68">
        <v>0</v>
      </c>
      <c r="E917" s="68">
        <v>417561.88999999966</v>
      </c>
      <c r="F917" s="68">
        <v>0</v>
      </c>
      <c r="G917" s="68">
        <v>5568028.0699999994</v>
      </c>
      <c r="H917" s="68">
        <v>0</v>
      </c>
      <c r="I917" s="68">
        <v>5568028.0699999994</v>
      </c>
      <c r="J917" s="68">
        <v>0</v>
      </c>
    </row>
    <row r="918" spans="1:10" ht="14.25" customHeight="1">
      <c r="A918" s="66" t="s">
        <v>2730</v>
      </c>
      <c r="B918" s="66" t="s">
        <v>2731</v>
      </c>
      <c r="C918" s="68">
        <v>0</v>
      </c>
      <c r="D918" s="68">
        <v>0</v>
      </c>
      <c r="E918" s="68">
        <v>150638.35999999987</v>
      </c>
      <c r="F918" s="68">
        <v>0</v>
      </c>
      <c r="G918" s="68">
        <v>2216627.9099999997</v>
      </c>
      <c r="H918" s="68">
        <v>0</v>
      </c>
      <c r="I918" s="68">
        <v>2216627.9099999997</v>
      </c>
      <c r="J918" s="68">
        <v>0</v>
      </c>
    </row>
    <row r="919" spans="1:10" ht="14.25" customHeight="1">
      <c r="A919" s="66" t="s">
        <v>2732</v>
      </c>
      <c r="B919" s="66" t="s">
        <v>2377</v>
      </c>
      <c r="C919" s="68">
        <v>0</v>
      </c>
      <c r="D919" s="68">
        <v>0</v>
      </c>
      <c r="E919" s="68">
        <v>51200</v>
      </c>
      <c r="F919" s="68">
        <v>0</v>
      </c>
      <c r="G919" s="68">
        <v>614400</v>
      </c>
      <c r="H919" s="68">
        <v>0</v>
      </c>
      <c r="I919" s="68">
        <v>614400</v>
      </c>
      <c r="J919" s="68">
        <v>0</v>
      </c>
    </row>
    <row r="920" spans="1:10" ht="14.25" customHeight="1">
      <c r="A920" s="66" t="s">
        <v>2733</v>
      </c>
      <c r="B920" s="66" t="s">
        <v>2734</v>
      </c>
      <c r="C920" s="68">
        <v>0</v>
      </c>
      <c r="D920" s="68">
        <v>0</v>
      </c>
      <c r="E920" s="68">
        <v>25668</v>
      </c>
      <c r="F920" s="68">
        <v>0</v>
      </c>
      <c r="G920" s="68">
        <v>233556</v>
      </c>
      <c r="H920" s="68">
        <v>0</v>
      </c>
      <c r="I920" s="68">
        <v>233556</v>
      </c>
      <c r="J920" s="68">
        <v>0</v>
      </c>
    </row>
    <row r="921" spans="1:10" ht="14.25" customHeight="1">
      <c r="A921" s="66" t="s">
        <v>2735</v>
      </c>
      <c r="B921" s="66" t="s">
        <v>29</v>
      </c>
      <c r="C921" s="68">
        <v>0</v>
      </c>
      <c r="D921" s="68">
        <v>0</v>
      </c>
      <c r="E921" s="68">
        <v>1667603.2699999996</v>
      </c>
      <c r="F921" s="68">
        <v>0</v>
      </c>
      <c r="G921" s="68">
        <v>16788416.510000002</v>
      </c>
      <c r="H921" s="68">
        <v>0</v>
      </c>
      <c r="I921" s="68">
        <v>16788416.510000002</v>
      </c>
      <c r="J921" s="68">
        <v>0</v>
      </c>
    </row>
    <row r="922" spans="1:10" ht="14.25" customHeight="1">
      <c r="A922" s="66" t="s">
        <v>2736</v>
      </c>
      <c r="B922" s="66" t="s">
        <v>2402</v>
      </c>
      <c r="C922" s="68">
        <v>0</v>
      </c>
      <c r="D922" s="68">
        <v>0</v>
      </c>
      <c r="E922" s="68">
        <v>20062.369999999995</v>
      </c>
      <c r="F922" s="68">
        <v>0</v>
      </c>
      <c r="G922" s="68">
        <v>351683.23</v>
      </c>
      <c r="H922" s="68">
        <v>0</v>
      </c>
      <c r="I922" s="68">
        <v>351683.23</v>
      </c>
      <c r="J922" s="68">
        <v>0</v>
      </c>
    </row>
    <row r="923" spans="1:10" ht="14.25" customHeight="1">
      <c r="A923" s="66" t="s">
        <v>2737</v>
      </c>
      <c r="B923" s="66" t="s">
        <v>2404</v>
      </c>
      <c r="C923" s="68">
        <v>0</v>
      </c>
      <c r="D923" s="68">
        <v>0</v>
      </c>
      <c r="E923" s="68">
        <v>265298.70999999996</v>
      </c>
      <c r="F923" s="68">
        <v>0</v>
      </c>
      <c r="G923" s="68">
        <v>3027806.01</v>
      </c>
      <c r="H923" s="68">
        <v>0</v>
      </c>
      <c r="I923" s="68">
        <v>3027806.01</v>
      </c>
      <c r="J923" s="68">
        <v>0</v>
      </c>
    </row>
    <row r="924" spans="1:10" ht="14.25" customHeight="1">
      <c r="A924" s="66" t="s">
        <v>2738</v>
      </c>
      <c r="B924" s="66" t="s">
        <v>2406</v>
      </c>
      <c r="C924" s="68">
        <v>0</v>
      </c>
      <c r="D924" s="68">
        <v>0</v>
      </c>
      <c r="E924" s="68">
        <v>175507.21000000008</v>
      </c>
      <c r="F924" s="68">
        <v>0</v>
      </c>
      <c r="G924" s="68">
        <v>1165140.3800000001</v>
      </c>
      <c r="H924" s="68">
        <v>0</v>
      </c>
      <c r="I924" s="68">
        <v>1165140.3800000001</v>
      </c>
      <c r="J924" s="68">
        <v>0</v>
      </c>
    </row>
    <row r="925" spans="1:10" ht="14.25" customHeight="1">
      <c r="A925" s="66" t="s">
        <v>2739</v>
      </c>
      <c r="B925" s="66" t="s">
        <v>2408</v>
      </c>
      <c r="C925" s="68">
        <v>0</v>
      </c>
      <c r="D925" s="68">
        <v>0</v>
      </c>
      <c r="E925" s="68">
        <v>40690.599999999977</v>
      </c>
      <c r="F925" s="68">
        <v>0</v>
      </c>
      <c r="G925" s="68">
        <v>482069.12999999989</v>
      </c>
      <c r="H925" s="68">
        <v>0</v>
      </c>
      <c r="I925" s="68">
        <v>482069.12999999989</v>
      </c>
      <c r="J925" s="68">
        <v>0</v>
      </c>
    </row>
    <row r="926" spans="1:10" ht="14.25" customHeight="1">
      <c r="A926" s="66" t="s">
        <v>2740</v>
      </c>
      <c r="B926" s="66" t="s">
        <v>2402</v>
      </c>
      <c r="C926" s="68">
        <v>0</v>
      </c>
      <c r="D926" s="68">
        <v>0</v>
      </c>
      <c r="E926" s="68">
        <v>16105.059999999998</v>
      </c>
      <c r="F926" s="68">
        <v>0</v>
      </c>
      <c r="G926" s="68">
        <v>153565.82999999999</v>
      </c>
      <c r="H926" s="68">
        <v>0</v>
      </c>
      <c r="I926" s="68">
        <v>153565.82999999999</v>
      </c>
      <c r="J926" s="68">
        <v>0</v>
      </c>
    </row>
    <row r="927" spans="1:10" ht="14.25" customHeight="1">
      <c r="A927" s="66" t="s">
        <v>2741</v>
      </c>
      <c r="B927" s="66" t="s">
        <v>2411</v>
      </c>
      <c r="C927" s="68">
        <v>0</v>
      </c>
      <c r="D927" s="68">
        <v>0</v>
      </c>
      <c r="E927" s="68">
        <v>148084.27000000002</v>
      </c>
      <c r="F927" s="68">
        <v>0</v>
      </c>
      <c r="G927" s="68">
        <v>1570066.4899999998</v>
      </c>
      <c r="H927" s="68">
        <v>0</v>
      </c>
      <c r="I927" s="68">
        <v>1570066.4899999998</v>
      </c>
      <c r="J927" s="68">
        <v>0</v>
      </c>
    </row>
    <row r="928" spans="1:10" ht="14.25" customHeight="1">
      <c r="A928" s="66" t="s">
        <v>2742</v>
      </c>
      <c r="B928" s="66" t="s">
        <v>2413</v>
      </c>
      <c r="C928" s="68">
        <v>0</v>
      </c>
      <c r="D928" s="68">
        <v>0</v>
      </c>
      <c r="E928" s="68">
        <v>4117</v>
      </c>
      <c r="F928" s="68">
        <v>0</v>
      </c>
      <c r="G928" s="68">
        <v>5167</v>
      </c>
      <c r="H928" s="68">
        <v>0</v>
      </c>
      <c r="I928" s="68">
        <v>5167</v>
      </c>
      <c r="J928" s="68">
        <v>0</v>
      </c>
    </row>
    <row r="929" spans="1:10" ht="14.25" customHeight="1">
      <c r="A929" s="66" t="s">
        <v>2743</v>
      </c>
      <c r="B929" s="66" t="s">
        <v>2744</v>
      </c>
      <c r="C929" s="68">
        <v>0</v>
      </c>
      <c r="D929" s="68">
        <v>0</v>
      </c>
      <c r="E929" s="68">
        <v>14128.959999999992</v>
      </c>
      <c r="F929" s="68">
        <v>0</v>
      </c>
      <c r="G929" s="68">
        <v>153106.07</v>
      </c>
      <c r="H929" s="68">
        <v>0</v>
      </c>
      <c r="I929" s="68">
        <v>153106.07</v>
      </c>
      <c r="J929" s="68">
        <v>0</v>
      </c>
    </row>
    <row r="930" spans="1:10" ht="14.25" customHeight="1">
      <c r="A930" s="66" t="s">
        <v>2745</v>
      </c>
      <c r="B930" s="66" t="s">
        <v>2746</v>
      </c>
      <c r="C930" s="68">
        <v>0</v>
      </c>
      <c r="D930" s="68">
        <v>0</v>
      </c>
      <c r="E930" s="68">
        <v>6966.0500000000029</v>
      </c>
      <c r="F930" s="68">
        <v>0</v>
      </c>
      <c r="G930" s="68">
        <v>77004.42</v>
      </c>
      <c r="H930" s="68">
        <v>0</v>
      </c>
      <c r="I930" s="68">
        <v>77004.42</v>
      </c>
      <c r="J930" s="68">
        <v>0</v>
      </c>
    </row>
    <row r="931" spans="1:10" ht="14.25" customHeight="1">
      <c r="A931" s="66" t="s">
        <v>2747</v>
      </c>
      <c r="B931" s="66" t="s">
        <v>2402</v>
      </c>
      <c r="C931" s="68">
        <v>0</v>
      </c>
      <c r="D931" s="68">
        <v>0</v>
      </c>
      <c r="E931" s="68">
        <v>22745.169999999984</v>
      </c>
      <c r="F931" s="68">
        <v>0</v>
      </c>
      <c r="G931" s="68">
        <v>226510.81</v>
      </c>
      <c r="H931" s="68">
        <v>0</v>
      </c>
      <c r="I931" s="68">
        <v>226510.81</v>
      </c>
      <c r="J931" s="68">
        <v>0</v>
      </c>
    </row>
    <row r="932" spans="1:10" ht="14.25" customHeight="1">
      <c r="A932" s="66" t="s">
        <v>2748</v>
      </c>
      <c r="B932" s="66" t="s">
        <v>2416</v>
      </c>
      <c r="C932" s="68">
        <v>0</v>
      </c>
      <c r="D932" s="68">
        <v>0</v>
      </c>
      <c r="E932" s="68">
        <v>-6521.4099999999962</v>
      </c>
      <c r="F932" s="68">
        <v>0</v>
      </c>
      <c r="G932" s="68">
        <v>35362.950000000012</v>
      </c>
      <c r="H932" s="68">
        <v>0</v>
      </c>
      <c r="I932" s="68">
        <v>35362.950000000012</v>
      </c>
      <c r="J932" s="68">
        <v>0</v>
      </c>
    </row>
    <row r="933" spans="1:10" ht="14.25" customHeight="1">
      <c r="A933" s="66" t="s">
        <v>2749</v>
      </c>
      <c r="B933" s="66" t="s">
        <v>2418</v>
      </c>
      <c r="C933" s="68">
        <v>0</v>
      </c>
      <c r="D933" s="68">
        <v>0</v>
      </c>
      <c r="E933" s="68">
        <v>48724.270000000019</v>
      </c>
      <c r="F933" s="68">
        <v>0</v>
      </c>
      <c r="G933" s="68">
        <v>365033.09</v>
      </c>
      <c r="H933" s="68">
        <v>0</v>
      </c>
      <c r="I933" s="68">
        <v>365033.09</v>
      </c>
      <c r="J933" s="68">
        <v>0</v>
      </c>
    </row>
    <row r="934" spans="1:10" ht="14.25" customHeight="1">
      <c r="A934" s="66" t="s">
        <v>2750</v>
      </c>
      <c r="B934" s="66" t="s">
        <v>2420</v>
      </c>
      <c r="C934" s="68">
        <v>0</v>
      </c>
      <c r="D934" s="68">
        <v>0</v>
      </c>
      <c r="E934" s="68">
        <v>48317.109999999986</v>
      </c>
      <c r="F934" s="68">
        <v>0</v>
      </c>
      <c r="G934" s="68">
        <v>502222.17</v>
      </c>
      <c r="H934" s="68">
        <v>0</v>
      </c>
      <c r="I934" s="68">
        <v>502222.17</v>
      </c>
      <c r="J934" s="68">
        <v>0</v>
      </c>
    </row>
    <row r="935" spans="1:10" ht="14.25" customHeight="1">
      <c r="A935" s="66" t="s">
        <v>2751</v>
      </c>
      <c r="B935" s="66" t="s">
        <v>2422</v>
      </c>
      <c r="C935" s="68">
        <v>0</v>
      </c>
      <c r="D935" s="68">
        <v>0</v>
      </c>
      <c r="E935" s="68">
        <v>251566.5</v>
      </c>
      <c r="F935" s="68">
        <v>0</v>
      </c>
      <c r="G935" s="68">
        <v>2165939.83</v>
      </c>
      <c r="H935" s="68">
        <v>0</v>
      </c>
      <c r="I935" s="68">
        <v>2165939.83</v>
      </c>
      <c r="J935" s="68">
        <v>0</v>
      </c>
    </row>
    <row r="936" spans="1:10" ht="14.25" customHeight="1">
      <c r="A936" s="66" t="s">
        <v>2752</v>
      </c>
      <c r="B936" s="66" t="s">
        <v>2424</v>
      </c>
      <c r="C936" s="68">
        <v>0</v>
      </c>
      <c r="D936" s="68">
        <v>0</v>
      </c>
      <c r="E936" s="68">
        <v>190362.08000000007</v>
      </c>
      <c r="F936" s="68">
        <v>0</v>
      </c>
      <c r="G936" s="68">
        <v>1761920.18</v>
      </c>
      <c r="H936" s="68">
        <v>0</v>
      </c>
      <c r="I936" s="68">
        <v>1761920.18</v>
      </c>
      <c r="J936" s="68">
        <v>0</v>
      </c>
    </row>
    <row r="937" spans="1:10" ht="14.25" customHeight="1">
      <c r="A937" s="66" t="s">
        <v>2753</v>
      </c>
      <c r="B937" s="66" t="s">
        <v>2402</v>
      </c>
      <c r="C937" s="68">
        <v>0</v>
      </c>
      <c r="D937" s="68">
        <v>0</v>
      </c>
      <c r="E937" s="68">
        <v>0</v>
      </c>
      <c r="F937" s="68">
        <v>0</v>
      </c>
      <c r="G937" s="68">
        <v>3400</v>
      </c>
      <c r="H937" s="68">
        <v>0</v>
      </c>
      <c r="I937" s="68">
        <v>3400</v>
      </c>
      <c r="J937" s="68">
        <v>0</v>
      </c>
    </row>
    <row r="938" spans="1:10" ht="14.25" customHeight="1">
      <c r="A938" s="66" t="s">
        <v>2754</v>
      </c>
      <c r="B938" s="66" t="s">
        <v>2426</v>
      </c>
      <c r="C938" s="68">
        <v>0</v>
      </c>
      <c r="D938" s="68">
        <v>0</v>
      </c>
      <c r="E938" s="68">
        <v>39346.049999999988</v>
      </c>
      <c r="F938" s="68">
        <v>0</v>
      </c>
      <c r="G938" s="68">
        <v>308250.35000000003</v>
      </c>
      <c r="H938" s="68">
        <v>0</v>
      </c>
      <c r="I938" s="68">
        <v>308250.35000000003</v>
      </c>
      <c r="J938" s="68">
        <v>0</v>
      </c>
    </row>
    <row r="939" spans="1:10" ht="14.25" customHeight="1">
      <c r="A939" s="66" t="s">
        <v>2755</v>
      </c>
      <c r="B939" s="66" t="s">
        <v>2408</v>
      </c>
      <c r="C939" s="68">
        <v>0</v>
      </c>
      <c r="D939" s="68">
        <v>0</v>
      </c>
      <c r="E939" s="68">
        <v>58388.719999999972</v>
      </c>
      <c r="F939" s="68">
        <v>0</v>
      </c>
      <c r="G939" s="68">
        <v>660202.73</v>
      </c>
      <c r="H939" s="68">
        <v>0</v>
      </c>
      <c r="I939" s="68">
        <v>660202.73</v>
      </c>
      <c r="J939" s="68">
        <v>0</v>
      </c>
    </row>
    <row r="940" spans="1:10" ht="14.25" customHeight="1">
      <c r="A940" s="66" t="s">
        <v>2756</v>
      </c>
      <c r="B940" s="66" t="s">
        <v>2429</v>
      </c>
      <c r="C940" s="68">
        <v>0</v>
      </c>
      <c r="D940" s="68">
        <v>0</v>
      </c>
      <c r="E940" s="68">
        <v>7000</v>
      </c>
      <c r="F940" s="68">
        <v>0</v>
      </c>
      <c r="G940" s="68">
        <v>66636.44</v>
      </c>
      <c r="H940" s="68">
        <v>0</v>
      </c>
      <c r="I940" s="68">
        <v>66636.44</v>
      </c>
      <c r="J940" s="68">
        <v>0</v>
      </c>
    </row>
    <row r="941" spans="1:10" ht="14.25" customHeight="1">
      <c r="A941" s="66" t="s">
        <v>2757</v>
      </c>
      <c r="B941" s="66" t="s">
        <v>2402</v>
      </c>
      <c r="C941" s="68">
        <v>0</v>
      </c>
      <c r="D941" s="68">
        <v>0</v>
      </c>
      <c r="E941" s="68">
        <v>5400</v>
      </c>
      <c r="F941" s="68">
        <v>0</v>
      </c>
      <c r="G941" s="68">
        <v>463585.3600000001</v>
      </c>
      <c r="H941" s="68">
        <v>0</v>
      </c>
      <c r="I941" s="68">
        <v>463585.3600000001</v>
      </c>
      <c r="J941" s="68">
        <v>0</v>
      </c>
    </row>
    <row r="942" spans="1:10" ht="14.25" customHeight="1">
      <c r="A942" s="66" t="s">
        <v>2758</v>
      </c>
      <c r="B942" s="66" t="s">
        <v>2408</v>
      </c>
      <c r="C942" s="68">
        <v>0</v>
      </c>
      <c r="D942" s="68">
        <v>0</v>
      </c>
      <c r="E942" s="68">
        <v>147992.81999999995</v>
      </c>
      <c r="F942" s="68">
        <v>0</v>
      </c>
      <c r="G942" s="68">
        <v>1078602.1300000001</v>
      </c>
      <c r="H942" s="68">
        <v>0</v>
      </c>
      <c r="I942" s="68">
        <v>1078602.1300000001</v>
      </c>
      <c r="J942" s="68">
        <v>0</v>
      </c>
    </row>
    <row r="943" spans="1:10" ht="14.25" customHeight="1">
      <c r="A943" s="66" t="s">
        <v>2759</v>
      </c>
      <c r="B943" s="66" t="s">
        <v>2433</v>
      </c>
      <c r="C943" s="68">
        <v>0</v>
      </c>
      <c r="D943" s="68">
        <v>0</v>
      </c>
      <c r="E943" s="68">
        <v>53677.099999999977</v>
      </c>
      <c r="F943" s="68">
        <v>0</v>
      </c>
      <c r="G943" s="68">
        <v>947600.19999999984</v>
      </c>
      <c r="H943" s="68">
        <v>0</v>
      </c>
      <c r="I943" s="68">
        <v>947600.19999999984</v>
      </c>
      <c r="J943" s="68">
        <v>0</v>
      </c>
    </row>
    <row r="944" spans="1:10" ht="14.25" customHeight="1">
      <c r="A944" s="66" t="s">
        <v>2760</v>
      </c>
      <c r="B944" s="66" t="s">
        <v>2435</v>
      </c>
      <c r="C944" s="68">
        <v>0</v>
      </c>
      <c r="D944" s="68">
        <v>0</v>
      </c>
      <c r="E944" s="68">
        <v>48846.160000000033</v>
      </c>
      <c r="F944" s="68">
        <v>0</v>
      </c>
      <c r="G944" s="68">
        <v>586153.92000000016</v>
      </c>
      <c r="H944" s="68">
        <v>0</v>
      </c>
      <c r="I944" s="68">
        <v>586153.92000000016</v>
      </c>
      <c r="J944" s="68">
        <v>0</v>
      </c>
    </row>
    <row r="945" spans="1:10" ht="14.25" customHeight="1">
      <c r="A945" s="66" t="s">
        <v>2761</v>
      </c>
      <c r="B945" s="66" t="s">
        <v>2437</v>
      </c>
      <c r="C945" s="68">
        <v>0</v>
      </c>
      <c r="D945" s="68">
        <v>0</v>
      </c>
      <c r="E945" s="68">
        <v>38479.460000000021</v>
      </c>
      <c r="F945" s="68">
        <v>0</v>
      </c>
      <c r="G945" s="68">
        <v>363061.79000000004</v>
      </c>
      <c r="H945" s="68">
        <v>0</v>
      </c>
      <c r="I945" s="68">
        <v>363061.79000000004</v>
      </c>
      <c r="J945" s="68">
        <v>0</v>
      </c>
    </row>
    <row r="946" spans="1:10" ht="14.25" customHeight="1">
      <c r="A946" s="66" t="s">
        <v>2762</v>
      </c>
      <c r="B946" s="66" t="s">
        <v>2763</v>
      </c>
      <c r="C946" s="68">
        <v>0</v>
      </c>
      <c r="D946" s="68">
        <v>0</v>
      </c>
      <c r="E946" s="68">
        <v>22319.010000000009</v>
      </c>
      <c r="F946" s="68">
        <v>0</v>
      </c>
      <c r="G946" s="68">
        <v>268326</v>
      </c>
      <c r="H946" s="68">
        <v>0</v>
      </c>
      <c r="I946" s="68">
        <v>268326</v>
      </c>
      <c r="J946" s="68">
        <v>0</v>
      </c>
    </row>
    <row r="947" spans="1:10" ht="14.25" customHeight="1">
      <c r="A947" s="66" t="s">
        <v>2764</v>
      </c>
      <c r="B947" s="66" t="s">
        <v>2617</v>
      </c>
      <c r="C947" s="68">
        <v>0</v>
      </c>
      <c r="D947" s="68">
        <v>0</v>
      </c>
      <c r="E947" s="68">
        <v>422999.2799999998</v>
      </c>
      <c r="F947" s="68">
        <v>0</v>
      </c>
      <c r="G947" s="68">
        <v>4216656.2699999996</v>
      </c>
      <c r="H947" s="68">
        <v>0</v>
      </c>
      <c r="I947" s="68">
        <v>4216656.2699999996</v>
      </c>
      <c r="J947" s="68">
        <v>0</v>
      </c>
    </row>
    <row r="948" spans="1:10" ht="14.25" customHeight="1">
      <c r="A948" s="66" t="s">
        <v>2765</v>
      </c>
      <c r="B948" s="66" t="s">
        <v>2766</v>
      </c>
      <c r="C948" s="68">
        <v>0</v>
      </c>
      <c r="D948" s="68">
        <v>0</v>
      </c>
      <c r="E948" s="68">
        <v>316180.27</v>
      </c>
      <c r="F948" s="68">
        <v>0</v>
      </c>
      <c r="G948" s="68">
        <v>3098562.8699999996</v>
      </c>
      <c r="H948" s="68">
        <v>0</v>
      </c>
      <c r="I948" s="68">
        <v>3098562.8699999996</v>
      </c>
      <c r="J948" s="68">
        <v>0</v>
      </c>
    </row>
    <row r="949" spans="1:10" ht="14.25" customHeight="1">
      <c r="A949" s="66" t="s">
        <v>2767</v>
      </c>
      <c r="B949" s="66" t="s">
        <v>2768</v>
      </c>
      <c r="C949" s="68">
        <v>0</v>
      </c>
      <c r="D949" s="68">
        <v>0</v>
      </c>
      <c r="E949" s="68">
        <v>6863.8600000000006</v>
      </c>
      <c r="F949" s="68">
        <v>0</v>
      </c>
      <c r="G949" s="68">
        <v>123749.20999999999</v>
      </c>
      <c r="H949" s="68">
        <v>0</v>
      </c>
      <c r="I949" s="68">
        <v>123749.20999999999</v>
      </c>
      <c r="J949" s="68">
        <v>0</v>
      </c>
    </row>
    <row r="950" spans="1:10" ht="14.25" customHeight="1">
      <c r="A950" s="66" t="s">
        <v>2769</v>
      </c>
      <c r="B950" s="66" t="s">
        <v>2770</v>
      </c>
      <c r="C950" s="68">
        <v>0</v>
      </c>
      <c r="D950" s="68">
        <v>0</v>
      </c>
      <c r="E950" s="68">
        <v>24027.320000000007</v>
      </c>
      <c r="F950" s="68">
        <v>0</v>
      </c>
      <c r="G950" s="68">
        <v>282059.99</v>
      </c>
      <c r="H950" s="68">
        <v>0</v>
      </c>
      <c r="I950" s="68">
        <v>282059.99</v>
      </c>
      <c r="J950" s="68">
        <v>0</v>
      </c>
    </row>
    <row r="951" spans="1:10" ht="14.25" customHeight="1">
      <c r="A951" s="66" t="s">
        <v>2771</v>
      </c>
      <c r="B951" s="66" t="s">
        <v>2772</v>
      </c>
      <c r="C951" s="68">
        <v>0</v>
      </c>
      <c r="D951" s="68">
        <v>0</v>
      </c>
      <c r="E951" s="68">
        <v>5000</v>
      </c>
      <c r="F951" s="68">
        <v>0</v>
      </c>
      <c r="G951" s="68">
        <v>60734</v>
      </c>
      <c r="H951" s="68">
        <v>0</v>
      </c>
      <c r="I951" s="68">
        <v>60734</v>
      </c>
      <c r="J951" s="68">
        <v>0</v>
      </c>
    </row>
    <row r="952" spans="1:10" ht="14.25" customHeight="1">
      <c r="A952" s="66" t="s">
        <v>2773</v>
      </c>
      <c r="B952" s="66" t="s">
        <v>1304</v>
      </c>
      <c r="C952" s="68">
        <v>0</v>
      </c>
      <c r="D952" s="68">
        <v>0</v>
      </c>
      <c r="E952" s="68">
        <v>34639.609999999986</v>
      </c>
      <c r="F952" s="68">
        <v>0</v>
      </c>
      <c r="G952" s="68">
        <v>406232.21</v>
      </c>
      <c r="H952" s="68">
        <v>0</v>
      </c>
      <c r="I952" s="68">
        <v>406232.21</v>
      </c>
      <c r="J952" s="68">
        <v>0</v>
      </c>
    </row>
    <row r="953" spans="1:10" ht="14.25" customHeight="1">
      <c r="A953" s="66" t="s">
        <v>2774</v>
      </c>
      <c r="B953" s="66" t="s">
        <v>2775</v>
      </c>
      <c r="C953" s="68">
        <v>0</v>
      </c>
      <c r="D953" s="68">
        <v>0</v>
      </c>
      <c r="E953" s="68">
        <v>27732.660000000003</v>
      </c>
      <c r="F953" s="68">
        <v>0</v>
      </c>
      <c r="G953" s="68">
        <v>236229.93</v>
      </c>
      <c r="H953" s="68">
        <v>0</v>
      </c>
      <c r="I953" s="68">
        <v>236229.93</v>
      </c>
      <c r="J953" s="68">
        <v>0</v>
      </c>
    </row>
    <row r="954" spans="1:10" ht="14.25" customHeight="1">
      <c r="A954" s="66" t="s">
        <v>2776</v>
      </c>
      <c r="B954" s="66" t="s">
        <v>2777</v>
      </c>
      <c r="C954" s="68">
        <v>0</v>
      </c>
      <c r="D954" s="68">
        <v>0</v>
      </c>
      <c r="E954" s="68">
        <v>8555.56</v>
      </c>
      <c r="F954" s="68">
        <v>0</v>
      </c>
      <c r="G954" s="68">
        <v>9088.06</v>
      </c>
      <c r="H954" s="68">
        <v>0</v>
      </c>
      <c r="I954" s="68">
        <v>9088.06</v>
      </c>
      <c r="J954" s="68">
        <v>0</v>
      </c>
    </row>
    <row r="955" spans="1:10" ht="14.25" customHeight="1">
      <c r="A955" s="66" t="s">
        <v>2778</v>
      </c>
      <c r="B955" s="66" t="s">
        <v>27</v>
      </c>
      <c r="C955" s="68">
        <v>0</v>
      </c>
      <c r="D955" s="68">
        <v>0</v>
      </c>
      <c r="E955" s="68">
        <v>839731.87000000104</v>
      </c>
      <c r="F955" s="68">
        <v>0</v>
      </c>
      <c r="G955" s="68">
        <v>9745730.6100000013</v>
      </c>
      <c r="H955" s="68">
        <v>0</v>
      </c>
      <c r="I955" s="68">
        <v>9745730.6100000013</v>
      </c>
      <c r="J955" s="68">
        <v>0</v>
      </c>
    </row>
    <row r="956" spans="1:10" ht="14.25" customHeight="1">
      <c r="A956" s="66" t="s">
        <v>2779</v>
      </c>
      <c r="B956" s="66" t="s">
        <v>2780</v>
      </c>
      <c r="C956" s="68">
        <v>0</v>
      </c>
      <c r="D956" s="68">
        <v>0</v>
      </c>
      <c r="E956" s="68">
        <v>148774.22999999998</v>
      </c>
      <c r="F956" s="68">
        <v>0</v>
      </c>
      <c r="G956" s="68">
        <v>1785344.0000000005</v>
      </c>
      <c r="H956" s="68">
        <v>0</v>
      </c>
      <c r="I956" s="68">
        <v>1785344.0000000005</v>
      </c>
      <c r="J956" s="68">
        <v>0</v>
      </c>
    </row>
    <row r="957" spans="1:10" ht="14.25" customHeight="1">
      <c r="A957" s="66" t="s">
        <v>2781</v>
      </c>
      <c r="B957" s="66" t="s">
        <v>2782</v>
      </c>
      <c r="C957" s="68">
        <v>0</v>
      </c>
      <c r="D957" s="68">
        <v>0</v>
      </c>
      <c r="E957" s="68">
        <v>2443</v>
      </c>
      <c r="F957" s="68">
        <v>0</v>
      </c>
      <c r="G957" s="68">
        <v>43240.35</v>
      </c>
      <c r="H957" s="68">
        <v>0</v>
      </c>
      <c r="I957" s="68">
        <v>43240.35</v>
      </c>
      <c r="J957" s="68">
        <v>0</v>
      </c>
    </row>
    <row r="958" spans="1:10" ht="14.25" customHeight="1">
      <c r="A958" s="66" t="s">
        <v>2783</v>
      </c>
      <c r="B958" s="66" t="s">
        <v>2382</v>
      </c>
      <c r="C958" s="68">
        <v>0</v>
      </c>
      <c r="D958" s="68">
        <v>0</v>
      </c>
      <c r="E958" s="68">
        <v>37399</v>
      </c>
      <c r="F958" s="68">
        <v>0</v>
      </c>
      <c r="G958" s="68">
        <v>250950</v>
      </c>
      <c r="H958" s="68">
        <v>0</v>
      </c>
      <c r="I958" s="68">
        <v>250950</v>
      </c>
      <c r="J958" s="68">
        <v>0</v>
      </c>
    </row>
    <row r="959" spans="1:10" ht="14.25" customHeight="1">
      <c r="A959" s="66" t="s">
        <v>2784</v>
      </c>
      <c r="B959" s="66" t="s">
        <v>2785</v>
      </c>
      <c r="C959" s="68">
        <v>0</v>
      </c>
      <c r="D959" s="68">
        <v>0</v>
      </c>
      <c r="E959" s="68">
        <v>0</v>
      </c>
      <c r="F959" s="68">
        <v>0</v>
      </c>
      <c r="G959" s="68">
        <v>11964.54</v>
      </c>
      <c r="H959" s="68">
        <v>0</v>
      </c>
      <c r="I959" s="68">
        <v>11964.54</v>
      </c>
      <c r="J959" s="68">
        <v>0</v>
      </c>
    </row>
    <row r="960" spans="1:10" ht="14.25" customHeight="1">
      <c r="A960" s="66" t="s">
        <v>2786</v>
      </c>
      <c r="B960" s="66" t="s">
        <v>2386</v>
      </c>
      <c r="C960" s="68">
        <v>0</v>
      </c>
      <c r="D960" s="68">
        <v>0</v>
      </c>
      <c r="E960" s="68">
        <v>634996.88999999966</v>
      </c>
      <c r="F960" s="68">
        <v>0</v>
      </c>
      <c r="G960" s="68">
        <v>7489270.4200000009</v>
      </c>
      <c r="H960" s="68">
        <v>0</v>
      </c>
      <c r="I960" s="68">
        <v>7489270.4200000009</v>
      </c>
      <c r="J960" s="68">
        <v>0</v>
      </c>
    </row>
    <row r="961" spans="1:10" ht="14.25" customHeight="1">
      <c r="A961" s="66" t="s">
        <v>2787</v>
      </c>
      <c r="B961" s="66" t="s">
        <v>2788</v>
      </c>
      <c r="C961" s="68">
        <v>0</v>
      </c>
      <c r="D961" s="68">
        <v>0</v>
      </c>
      <c r="E961" s="68">
        <v>0</v>
      </c>
      <c r="F961" s="68">
        <v>0</v>
      </c>
      <c r="G961" s="68">
        <v>9829.7999999999993</v>
      </c>
      <c r="H961" s="68">
        <v>0</v>
      </c>
      <c r="I961" s="68">
        <v>9829.7999999999993</v>
      </c>
      <c r="J961" s="68">
        <v>0</v>
      </c>
    </row>
    <row r="962" spans="1:10" ht="14.25" customHeight="1">
      <c r="A962" s="66" t="s">
        <v>2789</v>
      </c>
      <c r="B962" s="66" t="s">
        <v>2790</v>
      </c>
      <c r="C962" s="68">
        <v>0</v>
      </c>
      <c r="D962" s="68">
        <v>0</v>
      </c>
      <c r="E962" s="68">
        <v>2651.5200000000004</v>
      </c>
      <c r="F962" s="68">
        <v>0</v>
      </c>
      <c r="G962" s="68">
        <v>24573.119999999999</v>
      </c>
      <c r="H962" s="68">
        <v>0</v>
      </c>
      <c r="I962" s="68">
        <v>24573.119999999999</v>
      </c>
      <c r="J962" s="68">
        <v>0</v>
      </c>
    </row>
    <row r="963" spans="1:10" ht="14.25" customHeight="1">
      <c r="A963" s="66" t="s">
        <v>2791</v>
      </c>
      <c r="B963" s="66" t="s">
        <v>2371</v>
      </c>
      <c r="C963" s="68">
        <v>0</v>
      </c>
      <c r="D963" s="68">
        <v>0</v>
      </c>
      <c r="E963" s="68">
        <v>4467</v>
      </c>
      <c r="F963" s="68">
        <v>0</v>
      </c>
      <c r="G963" s="68">
        <v>27449</v>
      </c>
      <c r="H963" s="68">
        <v>0</v>
      </c>
      <c r="I963" s="68">
        <v>27449</v>
      </c>
      <c r="J963" s="68">
        <v>0</v>
      </c>
    </row>
    <row r="964" spans="1:10" ht="14.25" customHeight="1">
      <c r="A964" s="66" t="s">
        <v>2792</v>
      </c>
      <c r="B964" s="66" t="s">
        <v>2793</v>
      </c>
      <c r="C964" s="68">
        <v>0</v>
      </c>
      <c r="D964" s="68">
        <v>0</v>
      </c>
      <c r="E964" s="68">
        <v>0</v>
      </c>
      <c r="F964" s="68">
        <v>0</v>
      </c>
      <c r="G964" s="68">
        <v>3090.95</v>
      </c>
      <c r="H964" s="68">
        <v>0</v>
      </c>
      <c r="I964" s="68">
        <v>3090.95</v>
      </c>
      <c r="J964" s="68">
        <v>0</v>
      </c>
    </row>
    <row r="965" spans="1:10" ht="14.25" customHeight="1">
      <c r="A965" s="66" t="s">
        <v>2794</v>
      </c>
      <c r="B965" s="66" t="s">
        <v>2390</v>
      </c>
      <c r="C965" s="68">
        <v>0</v>
      </c>
      <c r="D965" s="68">
        <v>0</v>
      </c>
      <c r="E965" s="68">
        <v>9000.2299999999959</v>
      </c>
      <c r="F965" s="68">
        <v>0</v>
      </c>
      <c r="G965" s="68">
        <v>100018.43000000001</v>
      </c>
      <c r="H965" s="68">
        <v>0</v>
      </c>
      <c r="I965" s="68">
        <v>100018.43000000001</v>
      </c>
      <c r="J965" s="68">
        <v>0</v>
      </c>
    </row>
    <row r="966" spans="1:10" ht="14.25" customHeight="1">
      <c r="A966" s="66" t="s">
        <v>2795</v>
      </c>
      <c r="B966" s="66" t="s">
        <v>2796</v>
      </c>
      <c r="C966" s="68">
        <v>0</v>
      </c>
      <c r="D966" s="68">
        <v>0</v>
      </c>
      <c r="E966" s="68">
        <v>217255.75</v>
      </c>
      <c r="F966" s="68">
        <v>0</v>
      </c>
      <c r="G966" s="68">
        <v>1601317</v>
      </c>
      <c r="H966" s="68">
        <v>0</v>
      </c>
      <c r="I966" s="68">
        <v>1601317</v>
      </c>
      <c r="J966" s="68">
        <v>0</v>
      </c>
    </row>
    <row r="967" spans="1:10" ht="14.25" customHeight="1">
      <c r="A967" s="66" t="s">
        <v>2797</v>
      </c>
      <c r="B967" s="66" t="s">
        <v>2798</v>
      </c>
      <c r="C967" s="68">
        <v>0</v>
      </c>
      <c r="D967" s="68">
        <v>0</v>
      </c>
      <c r="E967" s="68">
        <v>46724.689999999944</v>
      </c>
      <c r="F967" s="68">
        <v>0</v>
      </c>
      <c r="G967" s="68">
        <v>579400.25</v>
      </c>
      <c r="H967" s="68">
        <v>0</v>
      </c>
      <c r="I967" s="68">
        <v>579400.25</v>
      </c>
      <c r="J967" s="68">
        <v>0</v>
      </c>
    </row>
    <row r="968" spans="1:10" ht="14.25" customHeight="1">
      <c r="A968" s="66" t="s">
        <v>2799</v>
      </c>
      <c r="B968" s="66" t="s">
        <v>2800</v>
      </c>
      <c r="C968" s="68">
        <v>0</v>
      </c>
      <c r="D968" s="68">
        <v>0</v>
      </c>
      <c r="E968" s="68">
        <v>42556.09</v>
      </c>
      <c r="F968" s="68">
        <v>0</v>
      </c>
      <c r="G968" s="68">
        <v>93634.81</v>
      </c>
      <c r="H968" s="68">
        <v>0</v>
      </c>
      <c r="I968" s="68">
        <v>93634.81</v>
      </c>
      <c r="J968" s="68">
        <v>0</v>
      </c>
    </row>
    <row r="969" spans="1:10" ht="14.25" customHeight="1">
      <c r="A969" s="66" t="s">
        <v>2801</v>
      </c>
      <c r="B969" s="66" t="s">
        <v>2802</v>
      </c>
      <c r="C969" s="68">
        <v>0</v>
      </c>
      <c r="D969" s="68">
        <v>0</v>
      </c>
      <c r="E969" s="68">
        <v>108983.75</v>
      </c>
      <c r="F969" s="68">
        <v>0</v>
      </c>
      <c r="G969" s="68">
        <v>676382.27</v>
      </c>
      <c r="H969" s="68">
        <v>0</v>
      </c>
      <c r="I969" s="68">
        <v>676382.27</v>
      </c>
      <c r="J969" s="68">
        <v>0</v>
      </c>
    </row>
    <row r="970" spans="1:10" ht="14.25" customHeight="1">
      <c r="A970" s="66" t="s">
        <v>2803</v>
      </c>
      <c r="B970" s="66" t="s">
        <v>2804</v>
      </c>
      <c r="C970" s="68">
        <v>0</v>
      </c>
      <c r="D970" s="68">
        <v>0</v>
      </c>
      <c r="E970" s="68">
        <v>726.68000000000029</v>
      </c>
      <c r="F970" s="68">
        <v>0</v>
      </c>
      <c r="G970" s="68">
        <v>9716.7300000000014</v>
      </c>
      <c r="H970" s="68">
        <v>0</v>
      </c>
      <c r="I970" s="68">
        <v>9716.7300000000014</v>
      </c>
      <c r="J970" s="68">
        <v>0</v>
      </c>
    </row>
    <row r="971" spans="1:10" ht="14.25" customHeight="1">
      <c r="A971" s="66" t="s">
        <v>2805</v>
      </c>
      <c r="B971" s="66" t="s">
        <v>2806</v>
      </c>
      <c r="C971" s="68">
        <v>0</v>
      </c>
      <c r="D971" s="68">
        <v>0</v>
      </c>
      <c r="E971" s="68">
        <v>2765.739999999998</v>
      </c>
      <c r="F971" s="68">
        <v>0</v>
      </c>
      <c r="G971" s="68">
        <v>30942.289999999994</v>
      </c>
      <c r="H971" s="68">
        <v>0</v>
      </c>
      <c r="I971" s="68">
        <v>30942.289999999994</v>
      </c>
      <c r="J971" s="68">
        <v>0</v>
      </c>
    </row>
    <row r="972" spans="1:10" ht="14.25" customHeight="1">
      <c r="A972" s="66" t="s">
        <v>2807</v>
      </c>
      <c r="B972" s="66" t="s">
        <v>2796</v>
      </c>
      <c r="C972" s="68">
        <v>0</v>
      </c>
      <c r="D972" s="68">
        <v>0</v>
      </c>
      <c r="E972" s="68">
        <v>14795.459999999992</v>
      </c>
      <c r="F972" s="68">
        <v>0</v>
      </c>
      <c r="G972" s="68">
        <v>164234.18</v>
      </c>
      <c r="H972" s="68">
        <v>0</v>
      </c>
      <c r="I972" s="68">
        <v>164234.18</v>
      </c>
      <c r="J972" s="68">
        <v>0</v>
      </c>
    </row>
    <row r="973" spans="1:10" ht="14.25" customHeight="1">
      <c r="A973" s="66" t="s">
        <v>2808</v>
      </c>
      <c r="B973" s="66" t="s">
        <v>2809</v>
      </c>
      <c r="C973" s="68">
        <v>0</v>
      </c>
      <c r="D973" s="68">
        <v>0</v>
      </c>
      <c r="E973" s="68">
        <v>703.34000000000015</v>
      </c>
      <c r="F973" s="68">
        <v>0</v>
      </c>
      <c r="G973" s="68">
        <v>17056.47</v>
      </c>
      <c r="H973" s="68">
        <v>0</v>
      </c>
      <c r="I973" s="68">
        <v>17056.47</v>
      </c>
      <c r="J973" s="68">
        <v>0</v>
      </c>
    </row>
    <row r="974" spans="1:10" ht="14.25" customHeight="1">
      <c r="A974" s="66" t="s">
        <v>2810</v>
      </c>
      <c r="B974" s="66" t="s">
        <v>2811</v>
      </c>
      <c r="C974" s="68">
        <v>0</v>
      </c>
      <c r="D974" s="68">
        <v>0</v>
      </c>
      <c r="E974" s="68">
        <v>0</v>
      </c>
      <c r="F974" s="68">
        <v>0</v>
      </c>
      <c r="G974" s="68">
        <v>29950</v>
      </c>
      <c r="H974" s="68">
        <v>0</v>
      </c>
      <c r="I974" s="68">
        <v>29950</v>
      </c>
      <c r="J974" s="68">
        <v>0</v>
      </c>
    </row>
    <row r="975" spans="1:10" ht="14.25" customHeight="1">
      <c r="A975" s="66" t="s">
        <v>2812</v>
      </c>
      <c r="B975" s="66" t="s">
        <v>2813</v>
      </c>
      <c r="C975" s="68">
        <v>0</v>
      </c>
      <c r="D975" s="68">
        <v>0</v>
      </c>
      <c r="E975" s="68">
        <v>0</v>
      </c>
      <c r="F975" s="68">
        <v>7677136.849999994</v>
      </c>
      <c r="G975" s="68">
        <v>0</v>
      </c>
      <c r="H975" s="68">
        <v>82087528.349999994</v>
      </c>
      <c r="I975" s="68">
        <v>0</v>
      </c>
      <c r="J975" s="68">
        <v>82087528.349999994</v>
      </c>
    </row>
    <row r="976" spans="1:10" ht="14.25" customHeight="1">
      <c r="A976" s="66" t="s">
        <v>2814</v>
      </c>
      <c r="B976" s="66" t="s">
        <v>2815</v>
      </c>
      <c r="C976" s="68">
        <v>0</v>
      </c>
      <c r="D976" s="68">
        <v>0</v>
      </c>
      <c r="E976" s="68">
        <v>2906758.1800000072</v>
      </c>
      <c r="F976" s="68">
        <v>0</v>
      </c>
      <c r="G976" s="68">
        <v>34306269.270000003</v>
      </c>
      <c r="H976" s="68">
        <v>0</v>
      </c>
      <c r="I976" s="68">
        <v>34306269.270000003</v>
      </c>
      <c r="J976" s="68">
        <v>0</v>
      </c>
    </row>
    <row r="977" spans="1:10" ht="14.25" customHeight="1">
      <c r="A977" s="66" t="s">
        <v>2816</v>
      </c>
      <c r="B977" s="66" t="s">
        <v>2667</v>
      </c>
      <c r="C977" s="68">
        <v>0</v>
      </c>
      <c r="D977" s="68">
        <v>0</v>
      </c>
      <c r="E977" s="68">
        <v>275597.04000000004</v>
      </c>
      <c r="F977" s="68">
        <v>0</v>
      </c>
      <c r="G977" s="68">
        <v>3208565.4999999995</v>
      </c>
      <c r="H977" s="68">
        <v>0</v>
      </c>
      <c r="I977" s="68">
        <v>3208565.4999999995</v>
      </c>
      <c r="J977" s="68">
        <v>0</v>
      </c>
    </row>
    <row r="978" spans="1:10" ht="14.25" customHeight="1">
      <c r="A978" s="66" t="s">
        <v>2817</v>
      </c>
      <c r="B978" s="66" t="s">
        <v>2818</v>
      </c>
      <c r="C978" s="68">
        <v>0</v>
      </c>
      <c r="D978" s="68">
        <v>0</v>
      </c>
      <c r="E978" s="68">
        <v>280.47000000000003</v>
      </c>
      <c r="F978" s="68">
        <v>0</v>
      </c>
      <c r="G978" s="68">
        <v>841.41000000000008</v>
      </c>
      <c r="H978" s="68">
        <v>0</v>
      </c>
      <c r="I978" s="68">
        <v>841.41000000000008</v>
      </c>
      <c r="J978" s="68">
        <v>0</v>
      </c>
    </row>
    <row r="979" spans="1:10" ht="14.25" customHeight="1">
      <c r="A979" s="66" t="s">
        <v>2819</v>
      </c>
      <c r="B979" s="66" t="s">
        <v>2820</v>
      </c>
      <c r="C979" s="68">
        <v>0</v>
      </c>
      <c r="D979" s="68">
        <v>0</v>
      </c>
      <c r="E979" s="68">
        <v>238736.7200000002</v>
      </c>
      <c r="F979" s="68">
        <v>0</v>
      </c>
      <c r="G979" s="68">
        <v>3031244.6800000016</v>
      </c>
      <c r="H979" s="68">
        <v>0</v>
      </c>
      <c r="I979" s="68">
        <v>3031244.6800000016</v>
      </c>
      <c r="J979" s="68">
        <v>0</v>
      </c>
    </row>
    <row r="980" spans="1:10" ht="14.25" customHeight="1">
      <c r="A980" s="66" t="s">
        <v>2821</v>
      </c>
      <c r="B980" s="66" t="s">
        <v>2822</v>
      </c>
      <c r="C980" s="68">
        <v>0</v>
      </c>
      <c r="D980" s="68">
        <v>0</v>
      </c>
      <c r="E980" s="68">
        <v>5746.0099999999948</v>
      </c>
      <c r="F980" s="68">
        <v>0</v>
      </c>
      <c r="G980" s="68">
        <v>68952.11</v>
      </c>
      <c r="H980" s="68">
        <v>0</v>
      </c>
      <c r="I980" s="68">
        <v>68952.11</v>
      </c>
      <c r="J980" s="68">
        <v>0</v>
      </c>
    </row>
    <row r="981" spans="1:10" ht="14.25" customHeight="1">
      <c r="A981" s="66" t="s">
        <v>2823</v>
      </c>
      <c r="B981" s="66" t="s">
        <v>2671</v>
      </c>
      <c r="C981" s="68">
        <v>0</v>
      </c>
      <c r="D981" s="68">
        <v>0</v>
      </c>
      <c r="E981" s="68">
        <v>4710.6099999999988</v>
      </c>
      <c r="F981" s="68">
        <v>0</v>
      </c>
      <c r="G981" s="68">
        <v>15134.669999999998</v>
      </c>
      <c r="H981" s="68">
        <v>0</v>
      </c>
      <c r="I981" s="68">
        <v>15134.669999999998</v>
      </c>
      <c r="J981" s="68">
        <v>0</v>
      </c>
    </row>
    <row r="982" spans="1:10" ht="14.25" customHeight="1">
      <c r="A982" s="66" t="s">
        <v>2824</v>
      </c>
      <c r="B982" s="66" t="s">
        <v>2656</v>
      </c>
      <c r="C982" s="68">
        <v>0</v>
      </c>
      <c r="D982" s="68">
        <v>0</v>
      </c>
      <c r="E982" s="68">
        <v>12658.23000000001</v>
      </c>
      <c r="F982" s="68">
        <v>0</v>
      </c>
      <c r="G982" s="68">
        <v>173776.84000000003</v>
      </c>
      <c r="H982" s="68">
        <v>0</v>
      </c>
      <c r="I982" s="68">
        <v>173776.84000000003</v>
      </c>
      <c r="J982" s="68">
        <v>0</v>
      </c>
    </row>
    <row r="983" spans="1:10" ht="14.25" customHeight="1">
      <c r="A983" s="66" t="s">
        <v>2825</v>
      </c>
      <c r="B983" s="66" t="s">
        <v>2674</v>
      </c>
      <c r="C983" s="68">
        <v>0</v>
      </c>
      <c r="D983" s="68">
        <v>0</v>
      </c>
      <c r="E983" s="68">
        <v>0</v>
      </c>
      <c r="F983" s="68">
        <v>0</v>
      </c>
      <c r="G983" s="68">
        <v>87991.26</v>
      </c>
      <c r="H983" s="68">
        <v>0</v>
      </c>
      <c r="I983" s="68">
        <v>87991.26</v>
      </c>
      <c r="J983" s="68">
        <v>0</v>
      </c>
    </row>
    <row r="984" spans="1:10" ht="14.25" customHeight="1">
      <c r="A984" s="66" t="s">
        <v>2826</v>
      </c>
      <c r="B984" s="66" t="s">
        <v>2676</v>
      </c>
      <c r="C984" s="68">
        <v>0</v>
      </c>
      <c r="D984" s="68">
        <v>0</v>
      </c>
      <c r="E984" s="68">
        <v>5019.8299999999981</v>
      </c>
      <c r="F984" s="68">
        <v>0</v>
      </c>
      <c r="G984" s="68">
        <v>37275.659999999996</v>
      </c>
      <c r="H984" s="68">
        <v>0</v>
      </c>
      <c r="I984" s="68">
        <v>37275.659999999996</v>
      </c>
      <c r="J984" s="68">
        <v>0</v>
      </c>
    </row>
    <row r="985" spans="1:10" ht="14.25" customHeight="1">
      <c r="A985" s="66" t="s">
        <v>2827</v>
      </c>
      <c r="B985" s="66" t="s">
        <v>2678</v>
      </c>
      <c r="C985" s="68">
        <v>0</v>
      </c>
      <c r="D985" s="68">
        <v>0</v>
      </c>
      <c r="E985" s="68">
        <v>45280.579999999958</v>
      </c>
      <c r="F985" s="68">
        <v>0</v>
      </c>
      <c r="G985" s="68">
        <v>619691.82999999996</v>
      </c>
      <c r="H985" s="68">
        <v>0</v>
      </c>
      <c r="I985" s="68">
        <v>619691.82999999996</v>
      </c>
      <c r="J985" s="68">
        <v>0</v>
      </c>
    </row>
    <row r="986" spans="1:10" ht="14.25" customHeight="1">
      <c r="A986" s="66" t="s">
        <v>2828</v>
      </c>
      <c r="B986" s="66" t="s">
        <v>2680</v>
      </c>
      <c r="C986" s="68">
        <v>0</v>
      </c>
      <c r="D986" s="68">
        <v>0</v>
      </c>
      <c r="E986" s="68">
        <v>1591.8300000000017</v>
      </c>
      <c r="F986" s="68">
        <v>0</v>
      </c>
      <c r="G986" s="68">
        <v>28827.450000000004</v>
      </c>
      <c r="H986" s="68">
        <v>0</v>
      </c>
      <c r="I986" s="68">
        <v>28827.450000000004</v>
      </c>
      <c r="J986" s="68">
        <v>0</v>
      </c>
    </row>
    <row r="987" spans="1:10" ht="14.25" customHeight="1">
      <c r="A987" s="66" t="s">
        <v>2829</v>
      </c>
      <c r="B987" s="66" t="s">
        <v>2684</v>
      </c>
      <c r="C987" s="68">
        <v>0</v>
      </c>
      <c r="D987" s="68">
        <v>0</v>
      </c>
      <c r="E987" s="68">
        <v>0</v>
      </c>
      <c r="F987" s="68">
        <v>0</v>
      </c>
      <c r="G987" s="68">
        <v>48777.14</v>
      </c>
      <c r="H987" s="68">
        <v>0</v>
      </c>
      <c r="I987" s="68">
        <v>48777.14</v>
      </c>
      <c r="J987" s="68">
        <v>0</v>
      </c>
    </row>
    <row r="988" spans="1:10" ht="14.25" customHeight="1">
      <c r="A988" s="66" t="s">
        <v>2830</v>
      </c>
      <c r="B988" s="66" t="s">
        <v>2688</v>
      </c>
      <c r="C988" s="68">
        <v>0</v>
      </c>
      <c r="D988" s="68">
        <v>0</v>
      </c>
      <c r="E988" s="68">
        <v>37627.010000000009</v>
      </c>
      <c r="F988" s="68">
        <v>0</v>
      </c>
      <c r="G988" s="68">
        <v>338998.99000000005</v>
      </c>
      <c r="H988" s="68">
        <v>0</v>
      </c>
      <c r="I988" s="68">
        <v>338998.99000000005</v>
      </c>
      <c r="J988" s="68">
        <v>0</v>
      </c>
    </row>
    <row r="989" spans="1:10" ht="14.25" customHeight="1">
      <c r="A989" s="66" t="s">
        <v>2831</v>
      </c>
      <c r="B989" s="66" t="s">
        <v>2691</v>
      </c>
      <c r="C989" s="68">
        <v>0</v>
      </c>
      <c r="D989" s="68">
        <v>0</v>
      </c>
      <c r="E989" s="68">
        <v>80251.380000000121</v>
      </c>
      <c r="F989" s="68">
        <v>0</v>
      </c>
      <c r="G989" s="68">
        <v>1606145.4100000001</v>
      </c>
      <c r="H989" s="68">
        <v>0</v>
      </c>
      <c r="I989" s="68">
        <v>1606145.4100000001</v>
      </c>
      <c r="J989" s="68">
        <v>0</v>
      </c>
    </row>
    <row r="990" spans="1:10" ht="14.25" customHeight="1">
      <c r="A990" s="66" t="s">
        <v>2832</v>
      </c>
      <c r="B990" s="66" t="s">
        <v>2693</v>
      </c>
      <c r="C990" s="68">
        <v>0</v>
      </c>
      <c r="D990" s="68">
        <v>0</v>
      </c>
      <c r="E990" s="68">
        <v>3645.6500000000015</v>
      </c>
      <c r="F990" s="68">
        <v>0</v>
      </c>
      <c r="G990" s="68">
        <v>32901.39</v>
      </c>
      <c r="H990" s="68">
        <v>0</v>
      </c>
      <c r="I990" s="68">
        <v>32901.39</v>
      </c>
      <c r="J990" s="68">
        <v>0</v>
      </c>
    </row>
    <row r="991" spans="1:10" ht="14.25" customHeight="1">
      <c r="A991" s="66" t="s">
        <v>2833</v>
      </c>
      <c r="B991" s="66" t="s">
        <v>2695</v>
      </c>
      <c r="C991" s="68">
        <v>0</v>
      </c>
      <c r="D991" s="68">
        <v>0</v>
      </c>
      <c r="E991" s="68">
        <v>17910.489999999991</v>
      </c>
      <c r="F991" s="68">
        <v>0</v>
      </c>
      <c r="G991" s="68">
        <v>216481.37000000002</v>
      </c>
      <c r="H991" s="68">
        <v>0</v>
      </c>
      <c r="I991" s="68">
        <v>216481.37000000002</v>
      </c>
      <c r="J991" s="68">
        <v>0</v>
      </c>
    </row>
    <row r="992" spans="1:10" ht="14.25" customHeight="1">
      <c r="A992" s="66" t="s">
        <v>2834</v>
      </c>
      <c r="B992" s="66" t="s">
        <v>2700</v>
      </c>
      <c r="C992" s="68">
        <v>0</v>
      </c>
      <c r="D992" s="68">
        <v>0</v>
      </c>
      <c r="E992" s="68">
        <v>43031.890000000014</v>
      </c>
      <c r="F992" s="68">
        <v>0</v>
      </c>
      <c r="G992" s="68">
        <v>505047.21</v>
      </c>
      <c r="H992" s="68">
        <v>0</v>
      </c>
      <c r="I992" s="68">
        <v>505047.21</v>
      </c>
      <c r="J992" s="68">
        <v>0</v>
      </c>
    </row>
    <row r="993" spans="1:10" ht="14.25" customHeight="1">
      <c r="A993" s="66" t="s">
        <v>2835</v>
      </c>
      <c r="B993" s="66" t="s">
        <v>2702</v>
      </c>
      <c r="C993" s="68">
        <v>0</v>
      </c>
      <c r="D993" s="68">
        <v>0</v>
      </c>
      <c r="E993" s="68">
        <v>2249.4099999999962</v>
      </c>
      <c r="F993" s="68">
        <v>0</v>
      </c>
      <c r="G993" s="68">
        <v>50287.069999999978</v>
      </c>
      <c r="H993" s="68">
        <v>0</v>
      </c>
      <c r="I993" s="68">
        <v>50287.069999999978</v>
      </c>
      <c r="J993" s="68">
        <v>0</v>
      </c>
    </row>
    <row r="994" spans="1:10" ht="14.25" customHeight="1">
      <c r="A994" s="66" t="s">
        <v>2836</v>
      </c>
      <c r="B994" s="66" t="s">
        <v>2837</v>
      </c>
      <c r="C994" s="68">
        <v>0</v>
      </c>
      <c r="D994" s="68">
        <v>0</v>
      </c>
      <c r="E994" s="68">
        <v>511756.71999999974</v>
      </c>
      <c r="F994" s="68">
        <v>0</v>
      </c>
      <c r="G994" s="68">
        <v>7579787.129999999</v>
      </c>
      <c r="H994" s="68">
        <v>0</v>
      </c>
      <c r="I994" s="68">
        <v>7579787.129999999</v>
      </c>
      <c r="J994" s="68">
        <v>0</v>
      </c>
    </row>
    <row r="995" spans="1:10" ht="14.25" customHeight="1">
      <c r="A995" s="66" t="s">
        <v>2838</v>
      </c>
      <c r="B995" s="66" t="s">
        <v>2706</v>
      </c>
      <c r="C995" s="68">
        <v>0</v>
      </c>
      <c r="D995" s="68">
        <v>0</v>
      </c>
      <c r="E995" s="68">
        <v>8550</v>
      </c>
      <c r="F995" s="68">
        <v>0</v>
      </c>
      <c r="G995" s="68">
        <v>51495</v>
      </c>
      <c r="H995" s="68">
        <v>0</v>
      </c>
      <c r="I995" s="68">
        <v>51495</v>
      </c>
      <c r="J995" s="68">
        <v>0</v>
      </c>
    </row>
    <row r="996" spans="1:10" ht="14.25" customHeight="1">
      <c r="A996" s="66" t="s">
        <v>2839</v>
      </c>
      <c r="B996" s="66" t="s">
        <v>2708</v>
      </c>
      <c r="C996" s="68">
        <v>0</v>
      </c>
      <c r="D996" s="68">
        <v>0</v>
      </c>
      <c r="E996" s="68">
        <v>907.79000000000087</v>
      </c>
      <c r="F996" s="68">
        <v>0</v>
      </c>
      <c r="G996" s="68">
        <v>10735.470000000001</v>
      </c>
      <c r="H996" s="68">
        <v>0</v>
      </c>
      <c r="I996" s="68">
        <v>10735.470000000001</v>
      </c>
      <c r="J996" s="68">
        <v>0</v>
      </c>
    </row>
    <row r="997" spans="1:10" ht="14.25" customHeight="1">
      <c r="A997" s="66" t="s">
        <v>2840</v>
      </c>
      <c r="B997" s="66" t="s">
        <v>2710</v>
      </c>
      <c r="C997" s="68">
        <v>0</v>
      </c>
      <c r="D997" s="68">
        <v>0</v>
      </c>
      <c r="E997" s="68">
        <v>9462.2799999999988</v>
      </c>
      <c r="F997" s="68">
        <v>0</v>
      </c>
      <c r="G997" s="68">
        <v>100203.69</v>
      </c>
      <c r="H997" s="68">
        <v>0</v>
      </c>
      <c r="I997" s="68">
        <v>100203.69</v>
      </c>
      <c r="J997" s="68">
        <v>0</v>
      </c>
    </row>
    <row r="998" spans="1:10" ht="14.25" customHeight="1">
      <c r="A998" s="66" t="s">
        <v>2841</v>
      </c>
      <c r="B998" s="66" t="s">
        <v>2712</v>
      </c>
      <c r="C998" s="68">
        <v>0</v>
      </c>
      <c r="D998" s="68">
        <v>0</v>
      </c>
      <c r="E998" s="68">
        <v>38448.609999999986</v>
      </c>
      <c r="F998" s="68">
        <v>0</v>
      </c>
      <c r="G998" s="68">
        <v>564263.25</v>
      </c>
      <c r="H998" s="68">
        <v>0</v>
      </c>
      <c r="I998" s="68">
        <v>564263.25</v>
      </c>
      <c r="J998" s="68">
        <v>0</v>
      </c>
    </row>
    <row r="999" spans="1:10" ht="14.25" customHeight="1">
      <c r="A999" s="66" t="s">
        <v>2842</v>
      </c>
      <c r="B999" s="66" t="s">
        <v>2722</v>
      </c>
      <c r="C999" s="68">
        <v>0</v>
      </c>
      <c r="D999" s="68">
        <v>0</v>
      </c>
      <c r="E999" s="68">
        <v>1063</v>
      </c>
      <c r="F999" s="68">
        <v>0</v>
      </c>
      <c r="G999" s="68">
        <v>292258.01</v>
      </c>
      <c r="H999" s="68">
        <v>0</v>
      </c>
      <c r="I999" s="68">
        <v>292258.01</v>
      </c>
      <c r="J999" s="68">
        <v>0</v>
      </c>
    </row>
    <row r="1000" spans="1:10" ht="14.25" customHeight="1">
      <c r="A1000" s="66" t="s">
        <v>2843</v>
      </c>
      <c r="B1000" s="66" t="s">
        <v>2724</v>
      </c>
      <c r="C1000" s="68">
        <v>0</v>
      </c>
      <c r="D1000" s="68">
        <v>0</v>
      </c>
      <c r="E1000" s="68">
        <v>50836.239999999991</v>
      </c>
      <c r="F1000" s="68">
        <v>0</v>
      </c>
      <c r="G1000" s="68">
        <v>604167.42000000004</v>
      </c>
      <c r="H1000" s="68">
        <v>0</v>
      </c>
      <c r="I1000" s="68">
        <v>604167.42000000004</v>
      </c>
      <c r="J1000" s="68">
        <v>0</v>
      </c>
    </row>
    <row r="1001" spans="1:10" ht="14.25" customHeight="1">
      <c r="A1001" s="66" t="s">
        <v>2844</v>
      </c>
      <c r="B1001" s="66" t="s">
        <v>2402</v>
      </c>
      <c r="C1001" s="68">
        <v>0</v>
      </c>
      <c r="D1001" s="68">
        <v>0</v>
      </c>
      <c r="E1001" s="68">
        <v>20062.369999999995</v>
      </c>
      <c r="F1001" s="68">
        <v>0</v>
      </c>
      <c r="G1001" s="68">
        <v>351683.23</v>
      </c>
      <c r="H1001" s="68">
        <v>0</v>
      </c>
      <c r="I1001" s="68">
        <v>351683.23</v>
      </c>
      <c r="J1001" s="68">
        <v>0</v>
      </c>
    </row>
    <row r="1002" spans="1:10" ht="14.25" customHeight="1">
      <c r="A1002" s="66" t="s">
        <v>2845</v>
      </c>
      <c r="B1002" s="66" t="s">
        <v>2404</v>
      </c>
      <c r="C1002" s="68">
        <v>0</v>
      </c>
      <c r="D1002" s="68">
        <v>0</v>
      </c>
      <c r="E1002" s="68">
        <v>51875.850000000093</v>
      </c>
      <c r="F1002" s="68">
        <v>0</v>
      </c>
      <c r="G1002" s="68">
        <v>2814383.15</v>
      </c>
      <c r="H1002" s="68">
        <v>0</v>
      </c>
      <c r="I1002" s="68">
        <v>2814383.15</v>
      </c>
      <c r="J1002" s="68">
        <v>0</v>
      </c>
    </row>
    <row r="1003" spans="1:10" ht="14.25" customHeight="1">
      <c r="A1003" s="66" t="s">
        <v>2846</v>
      </c>
      <c r="B1003" s="66" t="s">
        <v>2406</v>
      </c>
      <c r="C1003" s="68">
        <v>0</v>
      </c>
      <c r="D1003" s="68">
        <v>0</v>
      </c>
      <c r="E1003" s="68">
        <v>388930.06999999995</v>
      </c>
      <c r="F1003" s="68">
        <v>0</v>
      </c>
      <c r="G1003" s="68">
        <v>1378563.24</v>
      </c>
      <c r="H1003" s="68">
        <v>0</v>
      </c>
      <c r="I1003" s="68">
        <v>1378563.24</v>
      </c>
      <c r="J1003" s="68">
        <v>0</v>
      </c>
    </row>
    <row r="1004" spans="1:10" ht="14.25" customHeight="1">
      <c r="A1004" s="66" t="s">
        <v>2847</v>
      </c>
      <c r="B1004" s="66" t="s">
        <v>2408</v>
      </c>
      <c r="C1004" s="68">
        <v>0</v>
      </c>
      <c r="D1004" s="68">
        <v>0</v>
      </c>
      <c r="E1004" s="68">
        <v>40690.599999999977</v>
      </c>
      <c r="F1004" s="68">
        <v>0</v>
      </c>
      <c r="G1004" s="68">
        <v>482069.12999999989</v>
      </c>
      <c r="H1004" s="68">
        <v>0</v>
      </c>
      <c r="I1004" s="68">
        <v>482069.12999999989</v>
      </c>
      <c r="J1004" s="68">
        <v>0</v>
      </c>
    </row>
    <row r="1005" spans="1:10" ht="14.25" customHeight="1">
      <c r="A1005" s="66" t="s">
        <v>2848</v>
      </c>
      <c r="B1005" s="66" t="s">
        <v>2766</v>
      </c>
      <c r="C1005" s="68">
        <v>0</v>
      </c>
      <c r="D1005" s="68">
        <v>0</v>
      </c>
      <c r="E1005" s="68">
        <v>97162.969999999972</v>
      </c>
      <c r="F1005" s="68">
        <v>0</v>
      </c>
      <c r="G1005" s="68">
        <v>976151.72000000009</v>
      </c>
      <c r="H1005" s="68">
        <v>0</v>
      </c>
      <c r="I1005" s="68">
        <v>976151.72000000009</v>
      </c>
      <c r="J1005" s="68">
        <v>0</v>
      </c>
    </row>
    <row r="1006" spans="1:10" ht="14.25" customHeight="1">
      <c r="A1006" s="66" t="s">
        <v>2849</v>
      </c>
      <c r="B1006" s="66" t="s">
        <v>2768</v>
      </c>
      <c r="C1006" s="68">
        <v>0</v>
      </c>
      <c r="D1006" s="68">
        <v>0</v>
      </c>
      <c r="E1006" s="68">
        <v>473.86000000000058</v>
      </c>
      <c r="F1006" s="68">
        <v>0</v>
      </c>
      <c r="G1006" s="68">
        <v>11645.17</v>
      </c>
      <c r="H1006" s="68">
        <v>0</v>
      </c>
      <c r="I1006" s="68">
        <v>11645.17</v>
      </c>
      <c r="J1006" s="68">
        <v>0</v>
      </c>
    </row>
    <row r="1007" spans="1:10" ht="14.25" customHeight="1">
      <c r="A1007" s="66" t="s">
        <v>2850</v>
      </c>
      <c r="B1007" s="66" t="s">
        <v>2851</v>
      </c>
      <c r="C1007" s="68">
        <v>0</v>
      </c>
      <c r="D1007" s="68">
        <v>0</v>
      </c>
      <c r="E1007" s="68">
        <v>10182.399999999994</v>
      </c>
      <c r="F1007" s="68">
        <v>0</v>
      </c>
      <c r="G1007" s="68">
        <v>128763.3</v>
      </c>
      <c r="H1007" s="68">
        <v>0</v>
      </c>
      <c r="I1007" s="68">
        <v>128763.3</v>
      </c>
      <c r="J1007" s="68">
        <v>0</v>
      </c>
    </row>
    <row r="1008" spans="1:10" ht="14.25" customHeight="1">
      <c r="A1008" s="66" t="s">
        <v>2852</v>
      </c>
      <c r="B1008" s="66" t="s">
        <v>2772</v>
      </c>
      <c r="C1008" s="68">
        <v>0</v>
      </c>
      <c r="D1008" s="68">
        <v>0</v>
      </c>
      <c r="E1008" s="68">
        <v>1889.3100000000013</v>
      </c>
      <c r="F1008" s="68">
        <v>0</v>
      </c>
      <c r="G1008" s="68">
        <v>22605.06</v>
      </c>
      <c r="H1008" s="68">
        <v>0</v>
      </c>
      <c r="I1008" s="68">
        <v>22605.06</v>
      </c>
      <c r="J1008" s="68">
        <v>0</v>
      </c>
    </row>
    <row r="1009" spans="1:10" ht="14.25" customHeight="1">
      <c r="A1009" s="66" t="s">
        <v>2853</v>
      </c>
      <c r="B1009" s="66" t="s">
        <v>2775</v>
      </c>
      <c r="C1009" s="68">
        <v>0</v>
      </c>
      <c r="D1009" s="68">
        <v>0</v>
      </c>
      <c r="E1009" s="68">
        <v>13525.820000000007</v>
      </c>
      <c r="F1009" s="68">
        <v>0</v>
      </c>
      <c r="G1009" s="68">
        <v>78917.600000000006</v>
      </c>
      <c r="H1009" s="68">
        <v>0</v>
      </c>
      <c r="I1009" s="68">
        <v>78917.600000000006</v>
      </c>
      <c r="J1009" s="68">
        <v>0</v>
      </c>
    </row>
    <row r="1010" spans="1:10" ht="14.25" customHeight="1">
      <c r="A1010" s="66" t="s">
        <v>2854</v>
      </c>
      <c r="B1010" s="66" t="s">
        <v>2777</v>
      </c>
      <c r="C1010" s="68">
        <v>0</v>
      </c>
      <c r="D1010" s="68">
        <v>0</v>
      </c>
      <c r="E1010" s="68">
        <v>3200.17</v>
      </c>
      <c r="F1010" s="68">
        <v>0</v>
      </c>
      <c r="G1010" s="68">
        <v>3394.1800000000003</v>
      </c>
      <c r="H1010" s="68">
        <v>0</v>
      </c>
      <c r="I1010" s="68">
        <v>3394.1800000000003</v>
      </c>
      <c r="J1010" s="68">
        <v>0</v>
      </c>
    </row>
    <row r="1011" spans="1:10" ht="14.25" customHeight="1">
      <c r="A1011" s="66" t="s">
        <v>2855</v>
      </c>
      <c r="B1011" s="66" t="s">
        <v>2780</v>
      </c>
      <c r="C1011" s="68">
        <v>0</v>
      </c>
      <c r="D1011" s="68">
        <v>0</v>
      </c>
      <c r="E1011" s="68">
        <v>113451.37999999989</v>
      </c>
      <c r="F1011" s="68">
        <v>0</v>
      </c>
      <c r="G1011" s="68">
        <v>1361472.9899999998</v>
      </c>
      <c r="H1011" s="68">
        <v>0</v>
      </c>
      <c r="I1011" s="68">
        <v>1361472.9899999998</v>
      </c>
      <c r="J1011" s="68">
        <v>0</v>
      </c>
    </row>
    <row r="1012" spans="1:10" ht="14.25" customHeight="1">
      <c r="A1012" s="66" t="s">
        <v>2856</v>
      </c>
      <c r="B1012" s="66" t="s">
        <v>2782</v>
      </c>
      <c r="C1012" s="68">
        <v>0</v>
      </c>
      <c r="D1012" s="68">
        <v>0</v>
      </c>
      <c r="E1012" s="68">
        <v>511.09000000000015</v>
      </c>
      <c r="F1012" s="68">
        <v>0</v>
      </c>
      <c r="G1012" s="68">
        <v>5398.02</v>
      </c>
      <c r="H1012" s="68">
        <v>0</v>
      </c>
      <c r="I1012" s="68">
        <v>5398.02</v>
      </c>
      <c r="J1012" s="68">
        <v>0</v>
      </c>
    </row>
    <row r="1013" spans="1:10" ht="14.25" customHeight="1">
      <c r="A1013" s="66" t="s">
        <v>2857</v>
      </c>
      <c r="B1013" s="66" t="s">
        <v>2785</v>
      </c>
      <c r="C1013" s="68">
        <v>0</v>
      </c>
      <c r="D1013" s="68">
        <v>0</v>
      </c>
      <c r="E1013" s="68">
        <v>0</v>
      </c>
      <c r="F1013" s="68">
        <v>0</v>
      </c>
      <c r="G1013" s="68">
        <v>10885.75</v>
      </c>
      <c r="H1013" s="68">
        <v>0</v>
      </c>
      <c r="I1013" s="68">
        <v>10885.75</v>
      </c>
      <c r="J1013" s="68">
        <v>0</v>
      </c>
    </row>
    <row r="1014" spans="1:10" ht="14.25" customHeight="1">
      <c r="A1014" s="66" t="s">
        <v>2858</v>
      </c>
      <c r="B1014" s="66" t="s">
        <v>2793</v>
      </c>
      <c r="C1014" s="68">
        <v>0</v>
      </c>
      <c r="D1014" s="68">
        <v>0</v>
      </c>
      <c r="E1014" s="68">
        <v>0</v>
      </c>
      <c r="F1014" s="68">
        <v>0</v>
      </c>
      <c r="G1014" s="68">
        <v>3090.95</v>
      </c>
      <c r="H1014" s="68">
        <v>0</v>
      </c>
      <c r="I1014" s="68">
        <v>3090.95</v>
      </c>
      <c r="J1014" s="68">
        <v>0</v>
      </c>
    </row>
    <row r="1015" spans="1:10" ht="14.25" customHeight="1">
      <c r="A1015" s="66" t="s">
        <v>2859</v>
      </c>
      <c r="B1015" s="66" t="s">
        <v>2390</v>
      </c>
      <c r="C1015" s="68">
        <v>0</v>
      </c>
      <c r="D1015" s="68">
        <v>0</v>
      </c>
      <c r="E1015" s="68">
        <v>311.20000000000073</v>
      </c>
      <c r="F1015" s="68">
        <v>0</v>
      </c>
      <c r="G1015" s="68">
        <v>17645.460000000003</v>
      </c>
      <c r="H1015" s="68">
        <v>0</v>
      </c>
      <c r="I1015" s="68">
        <v>17645.460000000003</v>
      </c>
      <c r="J1015" s="68">
        <v>0</v>
      </c>
    </row>
    <row r="1016" spans="1:10" ht="14.25" customHeight="1">
      <c r="A1016" s="66" t="s">
        <v>2860</v>
      </c>
      <c r="B1016" s="66" t="s">
        <v>2798</v>
      </c>
      <c r="C1016" s="68">
        <v>0</v>
      </c>
      <c r="D1016" s="68">
        <v>0</v>
      </c>
      <c r="E1016" s="68">
        <v>32891.520000000019</v>
      </c>
      <c r="F1016" s="68">
        <v>0</v>
      </c>
      <c r="G1016" s="68">
        <v>421519.45</v>
      </c>
      <c r="H1016" s="68">
        <v>0</v>
      </c>
      <c r="I1016" s="68">
        <v>421519.45</v>
      </c>
      <c r="J1016" s="68">
        <v>0</v>
      </c>
    </row>
    <row r="1017" spans="1:10" ht="14.25" customHeight="1">
      <c r="A1017" s="66" t="s">
        <v>2861</v>
      </c>
      <c r="B1017" s="66" t="s">
        <v>2804</v>
      </c>
      <c r="C1017" s="68">
        <v>0</v>
      </c>
      <c r="D1017" s="68">
        <v>0</v>
      </c>
      <c r="E1017" s="68">
        <v>0</v>
      </c>
      <c r="F1017" s="68">
        <v>0</v>
      </c>
      <c r="G1017" s="68">
        <v>576.28</v>
      </c>
      <c r="H1017" s="68">
        <v>0</v>
      </c>
      <c r="I1017" s="68">
        <v>576.28</v>
      </c>
      <c r="J1017" s="68">
        <v>0</v>
      </c>
    </row>
    <row r="1018" spans="1:10" ht="14.25" customHeight="1">
      <c r="A1018" s="66" t="s">
        <v>2862</v>
      </c>
      <c r="B1018" s="66" t="s">
        <v>2796</v>
      </c>
      <c r="C1018" s="68">
        <v>0</v>
      </c>
      <c r="D1018" s="68">
        <v>0</v>
      </c>
      <c r="E1018" s="68">
        <v>4020.8399999999965</v>
      </c>
      <c r="F1018" s="68">
        <v>0</v>
      </c>
      <c r="G1018" s="68">
        <v>51375.040000000008</v>
      </c>
      <c r="H1018" s="68">
        <v>0</v>
      </c>
      <c r="I1018" s="68">
        <v>51375.040000000008</v>
      </c>
      <c r="J1018" s="68">
        <v>0</v>
      </c>
    </row>
    <row r="1019" spans="1:10" ht="14.25" customHeight="1">
      <c r="A1019" s="66" t="s">
        <v>2863</v>
      </c>
      <c r="B1019" s="66" t="s">
        <v>2667</v>
      </c>
      <c r="C1019" s="68">
        <v>0</v>
      </c>
      <c r="D1019" s="68">
        <v>0</v>
      </c>
      <c r="E1019" s="68">
        <v>1275.75</v>
      </c>
      <c r="F1019" s="68">
        <v>0</v>
      </c>
      <c r="G1019" s="68">
        <v>15046.5</v>
      </c>
      <c r="H1019" s="68">
        <v>0</v>
      </c>
      <c r="I1019" s="68">
        <v>15046.5</v>
      </c>
      <c r="J1019" s="68">
        <v>0</v>
      </c>
    </row>
    <row r="1020" spans="1:10" ht="14.25" customHeight="1">
      <c r="A1020" s="66" t="s">
        <v>2864</v>
      </c>
      <c r="B1020" s="66" t="s">
        <v>2671</v>
      </c>
      <c r="C1020" s="68">
        <v>0</v>
      </c>
      <c r="D1020" s="68">
        <v>0</v>
      </c>
      <c r="E1020" s="68">
        <v>757.46</v>
      </c>
      <c r="F1020" s="68">
        <v>0</v>
      </c>
      <c r="G1020" s="68">
        <v>6854.12</v>
      </c>
      <c r="H1020" s="68">
        <v>0</v>
      </c>
      <c r="I1020" s="68">
        <v>6854.12</v>
      </c>
      <c r="J1020" s="68">
        <v>0</v>
      </c>
    </row>
    <row r="1021" spans="1:10" ht="14.25" customHeight="1">
      <c r="A1021" s="66" t="s">
        <v>2865</v>
      </c>
      <c r="B1021" s="66" t="s">
        <v>2674</v>
      </c>
      <c r="C1021" s="68">
        <v>0</v>
      </c>
      <c r="D1021" s="68">
        <v>0</v>
      </c>
      <c r="E1021" s="68">
        <v>105699.80000000005</v>
      </c>
      <c r="F1021" s="68">
        <v>0</v>
      </c>
      <c r="G1021" s="68">
        <v>1555075.8499999996</v>
      </c>
      <c r="H1021" s="68">
        <v>0</v>
      </c>
      <c r="I1021" s="68">
        <v>1555075.8499999996</v>
      </c>
      <c r="J1021" s="68">
        <v>0</v>
      </c>
    </row>
    <row r="1022" spans="1:10" ht="14.25" customHeight="1">
      <c r="A1022" s="66" t="s">
        <v>2866</v>
      </c>
      <c r="B1022" s="66" t="s">
        <v>2680</v>
      </c>
      <c r="C1022" s="68">
        <v>0</v>
      </c>
      <c r="D1022" s="68">
        <v>0</v>
      </c>
      <c r="E1022" s="68">
        <v>1891.0299999999988</v>
      </c>
      <c r="F1022" s="68">
        <v>0</v>
      </c>
      <c r="G1022" s="68">
        <v>59581.619999999995</v>
      </c>
      <c r="H1022" s="68">
        <v>0</v>
      </c>
      <c r="I1022" s="68">
        <v>59581.619999999995</v>
      </c>
      <c r="J1022" s="68">
        <v>0</v>
      </c>
    </row>
    <row r="1023" spans="1:10" ht="14.25" customHeight="1">
      <c r="A1023" s="66" t="s">
        <v>2867</v>
      </c>
      <c r="B1023" s="66" t="s">
        <v>2684</v>
      </c>
      <c r="C1023" s="68">
        <v>0</v>
      </c>
      <c r="D1023" s="68">
        <v>0</v>
      </c>
      <c r="E1023" s="68">
        <v>232.27000000000407</v>
      </c>
      <c r="F1023" s="68">
        <v>0</v>
      </c>
      <c r="G1023" s="68">
        <v>70184.89</v>
      </c>
      <c r="H1023" s="68">
        <v>0</v>
      </c>
      <c r="I1023" s="68">
        <v>70184.89</v>
      </c>
      <c r="J1023" s="68">
        <v>0</v>
      </c>
    </row>
    <row r="1024" spans="1:10" ht="14.25" customHeight="1">
      <c r="A1024" s="66" t="s">
        <v>2868</v>
      </c>
      <c r="B1024" s="66" t="s">
        <v>2688</v>
      </c>
      <c r="C1024" s="68">
        <v>0</v>
      </c>
      <c r="D1024" s="68">
        <v>0</v>
      </c>
      <c r="E1024" s="68">
        <v>3942.5399999999936</v>
      </c>
      <c r="F1024" s="68">
        <v>0</v>
      </c>
      <c r="G1024" s="68">
        <v>69996.680000000008</v>
      </c>
      <c r="H1024" s="68">
        <v>0</v>
      </c>
      <c r="I1024" s="68">
        <v>69996.680000000008</v>
      </c>
      <c r="J1024" s="68">
        <v>0</v>
      </c>
    </row>
    <row r="1025" spans="1:10" ht="14.25" customHeight="1">
      <c r="A1025" s="66" t="s">
        <v>2869</v>
      </c>
      <c r="B1025" s="66" t="s">
        <v>2691</v>
      </c>
      <c r="C1025" s="68">
        <v>0</v>
      </c>
      <c r="D1025" s="68">
        <v>0</v>
      </c>
      <c r="E1025" s="68">
        <v>130.5600000000004</v>
      </c>
      <c r="F1025" s="68">
        <v>0</v>
      </c>
      <c r="G1025" s="68">
        <v>8102.0800000000008</v>
      </c>
      <c r="H1025" s="68">
        <v>0</v>
      </c>
      <c r="I1025" s="68">
        <v>8102.0800000000008</v>
      </c>
      <c r="J1025" s="68">
        <v>0</v>
      </c>
    </row>
    <row r="1026" spans="1:10" ht="14.25" customHeight="1">
      <c r="A1026" s="66" t="s">
        <v>2870</v>
      </c>
      <c r="B1026" s="66" t="s">
        <v>2695</v>
      </c>
      <c r="C1026" s="68">
        <v>0</v>
      </c>
      <c r="D1026" s="68">
        <v>0</v>
      </c>
      <c r="E1026" s="68">
        <v>76.450000000000045</v>
      </c>
      <c r="F1026" s="68">
        <v>0</v>
      </c>
      <c r="G1026" s="68">
        <v>593.90000000000009</v>
      </c>
      <c r="H1026" s="68">
        <v>0</v>
      </c>
      <c r="I1026" s="68">
        <v>593.90000000000009</v>
      </c>
      <c r="J1026" s="68">
        <v>0</v>
      </c>
    </row>
    <row r="1027" spans="1:10" ht="14.25" customHeight="1">
      <c r="A1027" s="66" t="s">
        <v>2871</v>
      </c>
      <c r="B1027" s="66" t="s">
        <v>2706</v>
      </c>
      <c r="C1027" s="68">
        <v>0</v>
      </c>
      <c r="D1027" s="68">
        <v>0</v>
      </c>
      <c r="E1027" s="68">
        <v>0</v>
      </c>
      <c r="F1027" s="68">
        <v>0</v>
      </c>
      <c r="G1027" s="68">
        <v>240</v>
      </c>
      <c r="H1027" s="68">
        <v>0</v>
      </c>
      <c r="I1027" s="68">
        <v>240</v>
      </c>
      <c r="J1027" s="68">
        <v>0</v>
      </c>
    </row>
    <row r="1028" spans="1:10" ht="14.25" customHeight="1">
      <c r="A1028" s="66" t="s">
        <v>2872</v>
      </c>
      <c r="B1028" s="66" t="s">
        <v>2708</v>
      </c>
      <c r="C1028" s="68">
        <v>0</v>
      </c>
      <c r="D1028" s="68">
        <v>0</v>
      </c>
      <c r="E1028" s="68">
        <v>750.01000000000022</v>
      </c>
      <c r="F1028" s="68">
        <v>0</v>
      </c>
      <c r="G1028" s="68">
        <v>8514.73</v>
      </c>
      <c r="H1028" s="68">
        <v>0</v>
      </c>
      <c r="I1028" s="68">
        <v>8514.73</v>
      </c>
      <c r="J1028" s="68">
        <v>0</v>
      </c>
    </row>
    <row r="1029" spans="1:10" ht="14.25" customHeight="1">
      <c r="A1029" s="66" t="s">
        <v>2873</v>
      </c>
      <c r="B1029" s="66" t="s">
        <v>2710</v>
      </c>
      <c r="C1029" s="68">
        <v>0</v>
      </c>
      <c r="D1029" s="68">
        <v>0</v>
      </c>
      <c r="E1029" s="68">
        <v>0</v>
      </c>
      <c r="F1029" s="68">
        <v>0</v>
      </c>
      <c r="G1029" s="68">
        <v>131.04000000000002</v>
      </c>
      <c r="H1029" s="68">
        <v>0</v>
      </c>
      <c r="I1029" s="68">
        <v>131.04000000000002</v>
      </c>
      <c r="J1029" s="68">
        <v>0</v>
      </c>
    </row>
    <row r="1030" spans="1:10" ht="14.25" customHeight="1">
      <c r="A1030" s="66" t="s">
        <v>2874</v>
      </c>
      <c r="B1030" s="66" t="s">
        <v>2712</v>
      </c>
      <c r="C1030" s="68">
        <v>0</v>
      </c>
      <c r="D1030" s="68">
        <v>0</v>
      </c>
      <c r="E1030" s="68">
        <v>87660.560000000056</v>
      </c>
      <c r="F1030" s="68">
        <v>0</v>
      </c>
      <c r="G1030" s="68">
        <v>855059.4700000002</v>
      </c>
      <c r="H1030" s="68">
        <v>0</v>
      </c>
      <c r="I1030" s="68">
        <v>855059.4700000002</v>
      </c>
      <c r="J1030" s="68">
        <v>0</v>
      </c>
    </row>
    <row r="1031" spans="1:10" ht="14.25" customHeight="1">
      <c r="A1031" s="66" t="s">
        <v>2875</v>
      </c>
      <c r="B1031" s="66" t="s">
        <v>2714</v>
      </c>
      <c r="C1031" s="68">
        <v>0</v>
      </c>
      <c r="D1031" s="68">
        <v>0</v>
      </c>
      <c r="E1031" s="68">
        <v>0</v>
      </c>
      <c r="F1031" s="68">
        <v>0</v>
      </c>
      <c r="G1031" s="68">
        <v>1600</v>
      </c>
      <c r="H1031" s="68">
        <v>0</v>
      </c>
      <c r="I1031" s="68">
        <v>1600</v>
      </c>
      <c r="J1031" s="68">
        <v>0</v>
      </c>
    </row>
    <row r="1032" spans="1:10" ht="14.25" customHeight="1">
      <c r="A1032" s="66" t="s">
        <v>2876</v>
      </c>
      <c r="B1032" s="66" t="s">
        <v>2722</v>
      </c>
      <c r="C1032" s="68">
        <v>0</v>
      </c>
      <c r="D1032" s="68">
        <v>0</v>
      </c>
      <c r="E1032" s="68">
        <v>31</v>
      </c>
      <c r="F1032" s="68">
        <v>0</v>
      </c>
      <c r="G1032" s="68">
        <v>1003</v>
      </c>
      <c r="H1032" s="68">
        <v>0</v>
      </c>
      <c r="I1032" s="68">
        <v>1003</v>
      </c>
      <c r="J1032" s="68">
        <v>0</v>
      </c>
    </row>
    <row r="1033" spans="1:10" ht="14.25" customHeight="1">
      <c r="A1033" s="66" t="s">
        <v>2877</v>
      </c>
      <c r="B1033" s="66" t="s">
        <v>2724</v>
      </c>
      <c r="C1033" s="68">
        <v>0</v>
      </c>
      <c r="D1033" s="68">
        <v>0</v>
      </c>
      <c r="E1033" s="68">
        <v>11708.940000000002</v>
      </c>
      <c r="F1033" s="68">
        <v>0</v>
      </c>
      <c r="G1033" s="68">
        <v>63332.090000000004</v>
      </c>
      <c r="H1033" s="68">
        <v>0</v>
      </c>
      <c r="I1033" s="68">
        <v>63332.090000000004</v>
      </c>
      <c r="J1033" s="68">
        <v>0</v>
      </c>
    </row>
    <row r="1034" spans="1:10" ht="14.25" customHeight="1">
      <c r="A1034" s="66" t="s">
        <v>2878</v>
      </c>
      <c r="B1034" s="66" t="s">
        <v>2402</v>
      </c>
      <c r="C1034" s="68">
        <v>0</v>
      </c>
      <c r="D1034" s="68">
        <v>0</v>
      </c>
      <c r="E1034" s="68">
        <v>16105.059999999998</v>
      </c>
      <c r="F1034" s="68">
        <v>0</v>
      </c>
      <c r="G1034" s="68">
        <v>153565.82999999999</v>
      </c>
      <c r="H1034" s="68">
        <v>0</v>
      </c>
      <c r="I1034" s="68">
        <v>153565.82999999999</v>
      </c>
      <c r="J1034" s="68">
        <v>0</v>
      </c>
    </row>
    <row r="1035" spans="1:10" ht="14.25" customHeight="1">
      <c r="A1035" s="66" t="s">
        <v>2879</v>
      </c>
      <c r="B1035" s="66" t="s">
        <v>2411</v>
      </c>
      <c r="C1035" s="68">
        <v>0</v>
      </c>
      <c r="D1035" s="68">
        <v>0</v>
      </c>
      <c r="E1035" s="68">
        <v>148084.27000000002</v>
      </c>
      <c r="F1035" s="68">
        <v>0</v>
      </c>
      <c r="G1035" s="68">
        <v>1570066.4899999998</v>
      </c>
      <c r="H1035" s="68">
        <v>0</v>
      </c>
      <c r="I1035" s="68">
        <v>1570066.4899999998</v>
      </c>
      <c r="J1035" s="68">
        <v>0</v>
      </c>
    </row>
    <row r="1036" spans="1:10" ht="14.25" customHeight="1">
      <c r="A1036" s="66" t="s">
        <v>2880</v>
      </c>
      <c r="B1036" s="66" t="s">
        <v>2881</v>
      </c>
      <c r="C1036" s="68">
        <v>0</v>
      </c>
      <c r="D1036" s="68">
        <v>0</v>
      </c>
      <c r="E1036" s="68">
        <v>4117.0000000000036</v>
      </c>
      <c r="F1036" s="68">
        <v>0</v>
      </c>
      <c r="G1036" s="68">
        <v>5167.0000000000036</v>
      </c>
      <c r="H1036" s="68">
        <v>0</v>
      </c>
      <c r="I1036" s="68">
        <v>5167.0000000000036</v>
      </c>
      <c r="J1036" s="68">
        <v>0</v>
      </c>
    </row>
    <row r="1037" spans="1:10" ht="14.25" customHeight="1">
      <c r="A1037" s="66" t="s">
        <v>2882</v>
      </c>
      <c r="B1037" s="66" t="s">
        <v>2766</v>
      </c>
      <c r="C1037" s="68">
        <v>0</v>
      </c>
      <c r="D1037" s="68">
        <v>0</v>
      </c>
      <c r="E1037" s="68">
        <v>37540.299999999988</v>
      </c>
      <c r="F1037" s="68">
        <v>0</v>
      </c>
      <c r="G1037" s="68">
        <v>388323.62</v>
      </c>
      <c r="H1037" s="68">
        <v>0</v>
      </c>
      <c r="I1037" s="68">
        <v>388323.62</v>
      </c>
      <c r="J1037" s="68">
        <v>0</v>
      </c>
    </row>
    <row r="1038" spans="1:10" ht="14.25" customHeight="1">
      <c r="A1038" s="66" t="s">
        <v>2883</v>
      </c>
      <c r="B1038" s="66" t="s">
        <v>2768</v>
      </c>
      <c r="C1038" s="68">
        <v>0</v>
      </c>
      <c r="D1038" s="68">
        <v>0</v>
      </c>
      <c r="E1038" s="68">
        <v>1528.5</v>
      </c>
      <c r="F1038" s="68">
        <v>0</v>
      </c>
      <c r="G1038" s="68">
        <v>17031.240000000002</v>
      </c>
      <c r="H1038" s="68">
        <v>0</v>
      </c>
      <c r="I1038" s="68">
        <v>17031.240000000002</v>
      </c>
      <c r="J1038" s="68">
        <v>0</v>
      </c>
    </row>
    <row r="1039" spans="1:10" ht="14.25" customHeight="1">
      <c r="A1039" s="66" t="s">
        <v>2884</v>
      </c>
      <c r="B1039" s="66" t="s">
        <v>2851</v>
      </c>
      <c r="C1039" s="68">
        <v>0</v>
      </c>
      <c r="D1039" s="68">
        <v>0</v>
      </c>
      <c r="E1039" s="68">
        <v>2288</v>
      </c>
      <c r="F1039" s="68">
        <v>0</v>
      </c>
      <c r="G1039" s="68">
        <v>25205.050000000003</v>
      </c>
      <c r="H1039" s="68">
        <v>0</v>
      </c>
      <c r="I1039" s="68">
        <v>25205.050000000003</v>
      </c>
      <c r="J1039" s="68">
        <v>0</v>
      </c>
    </row>
    <row r="1040" spans="1:10" ht="14.25" customHeight="1">
      <c r="A1040" s="66" t="s">
        <v>2885</v>
      </c>
      <c r="B1040" s="66" t="s">
        <v>2772</v>
      </c>
      <c r="C1040" s="68">
        <v>0</v>
      </c>
      <c r="D1040" s="68">
        <v>0</v>
      </c>
      <c r="E1040" s="68">
        <v>400.76000000000022</v>
      </c>
      <c r="F1040" s="68">
        <v>0</v>
      </c>
      <c r="G1040" s="68">
        <v>4689.28</v>
      </c>
      <c r="H1040" s="68">
        <v>0</v>
      </c>
      <c r="I1040" s="68">
        <v>4689.28</v>
      </c>
      <c r="J1040" s="68">
        <v>0</v>
      </c>
    </row>
    <row r="1041" spans="1:10" ht="14.25" customHeight="1">
      <c r="A1041" s="66" t="s">
        <v>2886</v>
      </c>
      <c r="B1041" s="66" t="s">
        <v>2775</v>
      </c>
      <c r="C1041" s="68">
        <v>0</v>
      </c>
      <c r="D1041" s="68">
        <v>0</v>
      </c>
      <c r="E1041" s="68">
        <v>1880.1500000000015</v>
      </c>
      <c r="F1041" s="68">
        <v>0</v>
      </c>
      <c r="G1041" s="68">
        <v>16637.72</v>
      </c>
      <c r="H1041" s="68">
        <v>0</v>
      </c>
      <c r="I1041" s="68">
        <v>16637.72</v>
      </c>
      <c r="J1041" s="68">
        <v>0</v>
      </c>
    </row>
    <row r="1042" spans="1:10" ht="14.25" customHeight="1">
      <c r="A1042" s="66" t="s">
        <v>2887</v>
      </c>
      <c r="B1042" s="66" t="s">
        <v>2777</v>
      </c>
      <c r="C1042" s="68">
        <v>0</v>
      </c>
      <c r="D1042" s="68">
        <v>0</v>
      </c>
      <c r="E1042" s="68">
        <v>718.41</v>
      </c>
      <c r="F1042" s="68">
        <v>0</v>
      </c>
      <c r="G1042" s="68">
        <v>757.63</v>
      </c>
      <c r="H1042" s="68">
        <v>0</v>
      </c>
      <c r="I1042" s="68">
        <v>757.63</v>
      </c>
      <c r="J1042" s="68">
        <v>0</v>
      </c>
    </row>
    <row r="1043" spans="1:10" ht="14.25" customHeight="1">
      <c r="A1043" s="66" t="s">
        <v>2888</v>
      </c>
      <c r="B1043" s="66" t="s">
        <v>2790</v>
      </c>
      <c r="C1043" s="68">
        <v>0</v>
      </c>
      <c r="D1043" s="68">
        <v>0</v>
      </c>
      <c r="E1043" s="68">
        <v>0</v>
      </c>
      <c r="F1043" s="68">
        <v>0</v>
      </c>
      <c r="G1043" s="68">
        <v>152.6</v>
      </c>
      <c r="H1043" s="68">
        <v>0</v>
      </c>
      <c r="I1043" s="68">
        <v>152.6</v>
      </c>
      <c r="J1043" s="68">
        <v>0</v>
      </c>
    </row>
    <row r="1044" spans="1:10" ht="14.25" customHeight="1">
      <c r="A1044" s="66" t="s">
        <v>2889</v>
      </c>
      <c r="B1044" s="66" t="s">
        <v>2798</v>
      </c>
      <c r="C1044" s="68">
        <v>0</v>
      </c>
      <c r="D1044" s="68">
        <v>0</v>
      </c>
      <c r="E1044" s="68">
        <v>1832.9000000000015</v>
      </c>
      <c r="F1044" s="68">
        <v>0</v>
      </c>
      <c r="G1044" s="68">
        <v>21994.22</v>
      </c>
      <c r="H1044" s="68">
        <v>0</v>
      </c>
      <c r="I1044" s="68">
        <v>21994.22</v>
      </c>
      <c r="J1044" s="68">
        <v>0</v>
      </c>
    </row>
    <row r="1045" spans="1:10" ht="14.25" customHeight="1">
      <c r="A1045" s="66" t="s">
        <v>2890</v>
      </c>
      <c r="B1045" s="66" t="s">
        <v>2804</v>
      </c>
      <c r="C1045" s="68">
        <v>0</v>
      </c>
      <c r="D1045" s="68">
        <v>0</v>
      </c>
      <c r="E1045" s="68">
        <v>216.42000000000007</v>
      </c>
      <c r="F1045" s="68">
        <v>0</v>
      </c>
      <c r="G1045" s="68">
        <v>2177.5500000000002</v>
      </c>
      <c r="H1045" s="68">
        <v>0</v>
      </c>
      <c r="I1045" s="68">
        <v>2177.5500000000002</v>
      </c>
      <c r="J1045" s="68">
        <v>0</v>
      </c>
    </row>
    <row r="1046" spans="1:10" ht="14.25" customHeight="1">
      <c r="A1046" s="66" t="s">
        <v>2891</v>
      </c>
      <c r="B1046" s="66" t="s">
        <v>2806</v>
      </c>
      <c r="C1046" s="68">
        <v>0</v>
      </c>
      <c r="D1046" s="68">
        <v>0</v>
      </c>
      <c r="E1046" s="68">
        <v>435</v>
      </c>
      <c r="F1046" s="68">
        <v>0</v>
      </c>
      <c r="G1046" s="68">
        <v>5640.32</v>
      </c>
      <c r="H1046" s="68">
        <v>0</v>
      </c>
      <c r="I1046" s="68">
        <v>5640.32</v>
      </c>
      <c r="J1046" s="68">
        <v>0</v>
      </c>
    </row>
    <row r="1047" spans="1:10" ht="14.25" customHeight="1">
      <c r="A1047" s="66" t="s">
        <v>2892</v>
      </c>
      <c r="B1047" s="66" t="s">
        <v>2809</v>
      </c>
      <c r="C1047" s="68">
        <v>0</v>
      </c>
      <c r="D1047" s="68">
        <v>0</v>
      </c>
      <c r="E1047" s="68">
        <v>0</v>
      </c>
      <c r="F1047" s="68">
        <v>0</v>
      </c>
      <c r="G1047" s="68">
        <v>182.41</v>
      </c>
      <c r="H1047" s="68">
        <v>0</v>
      </c>
      <c r="I1047" s="68">
        <v>182.41</v>
      </c>
      <c r="J1047" s="68">
        <v>0</v>
      </c>
    </row>
    <row r="1048" spans="1:10" ht="14.25" customHeight="1">
      <c r="A1048" s="66" t="s">
        <v>2893</v>
      </c>
      <c r="B1048" s="66" t="s">
        <v>2894</v>
      </c>
      <c r="C1048" s="68">
        <v>0</v>
      </c>
      <c r="D1048" s="68">
        <v>0</v>
      </c>
      <c r="E1048" s="68">
        <v>89115.48000000001</v>
      </c>
      <c r="F1048" s="68">
        <v>0</v>
      </c>
      <c r="G1048" s="68">
        <v>297148.86</v>
      </c>
      <c r="H1048" s="68">
        <v>0</v>
      </c>
      <c r="I1048" s="68">
        <v>297148.86</v>
      </c>
      <c r="J1048" s="68">
        <v>0</v>
      </c>
    </row>
    <row r="1049" spans="1:10" ht="14.25" customHeight="1">
      <c r="A1049" s="66" t="s">
        <v>2895</v>
      </c>
      <c r="B1049" s="66" t="s">
        <v>2712</v>
      </c>
      <c r="C1049" s="68">
        <v>0</v>
      </c>
      <c r="D1049" s="68">
        <v>0</v>
      </c>
      <c r="E1049" s="68">
        <v>50350</v>
      </c>
      <c r="F1049" s="68">
        <v>0</v>
      </c>
      <c r="G1049" s="68">
        <v>307114.13</v>
      </c>
      <c r="H1049" s="68">
        <v>0</v>
      </c>
      <c r="I1049" s="68">
        <v>307114.13</v>
      </c>
      <c r="J1049" s="68">
        <v>0</v>
      </c>
    </row>
    <row r="1050" spans="1:10" ht="14.25" customHeight="1">
      <c r="A1050" s="66" t="s">
        <v>2896</v>
      </c>
      <c r="B1050" s="66" t="s">
        <v>2724</v>
      </c>
      <c r="C1050" s="68">
        <v>0</v>
      </c>
      <c r="D1050" s="68">
        <v>0</v>
      </c>
      <c r="E1050" s="68">
        <v>1449.9999999999991</v>
      </c>
      <c r="F1050" s="68">
        <v>0</v>
      </c>
      <c r="G1050" s="68">
        <v>8754.5499999999993</v>
      </c>
      <c r="H1050" s="68">
        <v>0</v>
      </c>
      <c r="I1050" s="68">
        <v>8754.5499999999993</v>
      </c>
      <c r="J1050" s="68">
        <v>0</v>
      </c>
    </row>
    <row r="1051" spans="1:10" ht="14.25" customHeight="1">
      <c r="A1051" s="66" t="s">
        <v>2897</v>
      </c>
      <c r="B1051" s="66" t="s">
        <v>2671</v>
      </c>
      <c r="C1051" s="68">
        <v>0</v>
      </c>
      <c r="D1051" s="68">
        <v>0</v>
      </c>
      <c r="E1051" s="68">
        <v>111.13999999999999</v>
      </c>
      <c r="F1051" s="68">
        <v>0</v>
      </c>
      <c r="G1051" s="68">
        <v>485.14</v>
      </c>
      <c r="H1051" s="68">
        <v>0</v>
      </c>
      <c r="I1051" s="68">
        <v>485.14</v>
      </c>
      <c r="J1051" s="68">
        <v>0</v>
      </c>
    </row>
    <row r="1052" spans="1:10" ht="14.25" customHeight="1">
      <c r="A1052" s="66" t="s">
        <v>2898</v>
      </c>
      <c r="B1052" s="66" t="s">
        <v>2688</v>
      </c>
      <c r="C1052" s="68">
        <v>0</v>
      </c>
      <c r="D1052" s="68">
        <v>0</v>
      </c>
      <c r="E1052" s="68">
        <v>10956.140000000014</v>
      </c>
      <c r="F1052" s="68">
        <v>0</v>
      </c>
      <c r="G1052" s="68">
        <v>203844.08000000002</v>
      </c>
      <c r="H1052" s="68">
        <v>0</v>
      </c>
      <c r="I1052" s="68">
        <v>203844.08000000002</v>
      </c>
      <c r="J1052" s="68">
        <v>0</v>
      </c>
    </row>
    <row r="1053" spans="1:10" ht="14.25" customHeight="1">
      <c r="A1053" s="66" t="s">
        <v>2899</v>
      </c>
      <c r="B1053" s="66" t="s">
        <v>2706</v>
      </c>
      <c r="C1053" s="68">
        <v>0</v>
      </c>
      <c r="D1053" s="68">
        <v>0</v>
      </c>
      <c r="E1053" s="68">
        <v>450</v>
      </c>
      <c r="F1053" s="68">
        <v>0</v>
      </c>
      <c r="G1053" s="68">
        <v>900</v>
      </c>
      <c r="H1053" s="68">
        <v>0</v>
      </c>
      <c r="I1053" s="68">
        <v>900</v>
      </c>
      <c r="J1053" s="68">
        <v>0</v>
      </c>
    </row>
    <row r="1054" spans="1:10" ht="14.25" customHeight="1">
      <c r="A1054" s="66" t="s">
        <v>2900</v>
      </c>
      <c r="B1054" s="66" t="s">
        <v>2708</v>
      </c>
      <c r="C1054" s="68">
        <v>0</v>
      </c>
      <c r="D1054" s="68">
        <v>0</v>
      </c>
      <c r="E1054" s="68">
        <v>43.999999999999943</v>
      </c>
      <c r="F1054" s="68">
        <v>0</v>
      </c>
      <c r="G1054" s="68">
        <v>550.28</v>
      </c>
      <c r="H1054" s="68">
        <v>0</v>
      </c>
      <c r="I1054" s="68">
        <v>550.28</v>
      </c>
      <c r="J1054" s="68">
        <v>0</v>
      </c>
    </row>
    <row r="1055" spans="1:10" ht="14.25" customHeight="1">
      <c r="A1055" s="66" t="s">
        <v>2901</v>
      </c>
      <c r="B1055" s="66" t="s">
        <v>2712</v>
      </c>
      <c r="C1055" s="68">
        <v>0</v>
      </c>
      <c r="D1055" s="68">
        <v>0</v>
      </c>
      <c r="E1055" s="68">
        <v>509.20000000000073</v>
      </c>
      <c r="F1055" s="68">
        <v>0</v>
      </c>
      <c r="G1055" s="68">
        <v>8340.6</v>
      </c>
      <c r="H1055" s="68">
        <v>0</v>
      </c>
      <c r="I1055" s="68">
        <v>8340.6</v>
      </c>
      <c r="J1055" s="68">
        <v>0</v>
      </c>
    </row>
    <row r="1056" spans="1:10" ht="14.25" customHeight="1">
      <c r="A1056" s="66" t="s">
        <v>2902</v>
      </c>
      <c r="B1056" s="66" t="s">
        <v>2716</v>
      </c>
      <c r="C1056" s="68">
        <v>0</v>
      </c>
      <c r="D1056" s="68">
        <v>0</v>
      </c>
      <c r="E1056" s="68">
        <v>4580</v>
      </c>
      <c r="F1056" s="68">
        <v>0</v>
      </c>
      <c r="G1056" s="68">
        <v>19210</v>
      </c>
      <c r="H1056" s="68">
        <v>0</v>
      </c>
      <c r="I1056" s="68">
        <v>19210</v>
      </c>
      <c r="J1056" s="68">
        <v>0</v>
      </c>
    </row>
    <row r="1057" spans="1:10" ht="14.25" customHeight="1">
      <c r="A1057" s="66" t="s">
        <v>2903</v>
      </c>
      <c r="B1057" s="66" t="s">
        <v>2722</v>
      </c>
      <c r="C1057" s="68">
        <v>0</v>
      </c>
      <c r="D1057" s="68">
        <v>0</v>
      </c>
      <c r="E1057" s="68">
        <v>73.7800000000002</v>
      </c>
      <c r="F1057" s="68">
        <v>0</v>
      </c>
      <c r="G1057" s="68">
        <v>2964.9300000000007</v>
      </c>
      <c r="H1057" s="68">
        <v>0</v>
      </c>
      <c r="I1057" s="68">
        <v>2964.9300000000007</v>
      </c>
      <c r="J1057" s="68">
        <v>0</v>
      </c>
    </row>
    <row r="1058" spans="1:10" ht="14.25" customHeight="1">
      <c r="A1058" s="66" t="s">
        <v>2904</v>
      </c>
      <c r="B1058" s="66" t="s">
        <v>2724</v>
      </c>
      <c r="C1058" s="68">
        <v>0</v>
      </c>
      <c r="D1058" s="68">
        <v>0</v>
      </c>
      <c r="E1058" s="68">
        <v>105</v>
      </c>
      <c r="F1058" s="68">
        <v>0</v>
      </c>
      <c r="G1058" s="68">
        <v>21238.98</v>
      </c>
      <c r="H1058" s="68">
        <v>0</v>
      </c>
      <c r="I1058" s="68">
        <v>21238.98</v>
      </c>
      <c r="J1058" s="68">
        <v>0</v>
      </c>
    </row>
    <row r="1059" spans="1:10" ht="14.25" customHeight="1">
      <c r="A1059" s="66" t="s">
        <v>2905</v>
      </c>
      <c r="B1059" s="66" t="s">
        <v>2402</v>
      </c>
      <c r="C1059" s="68">
        <v>0</v>
      </c>
      <c r="D1059" s="68">
        <v>0</v>
      </c>
      <c r="E1059" s="68">
        <v>8077.9600000000064</v>
      </c>
      <c r="F1059" s="68">
        <v>0</v>
      </c>
      <c r="G1059" s="68">
        <v>90396.970000000016</v>
      </c>
      <c r="H1059" s="68">
        <v>0</v>
      </c>
      <c r="I1059" s="68">
        <v>90396.970000000016</v>
      </c>
      <c r="J1059" s="68">
        <v>0</v>
      </c>
    </row>
    <row r="1060" spans="1:10" ht="14.25" customHeight="1">
      <c r="A1060" s="66" t="s">
        <v>2906</v>
      </c>
      <c r="B1060" s="66" t="s">
        <v>2408</v>
      </c>
      <c r="C1060" s="68">
        <v>0</v>
      </c>
      <c r="D1060" s="68">
        <v>0</v>
      </c>
      <c r="E1060" s="68">
        <v>6051</v>
      </c>
      <c r="F1060" s="68">
        <v>0</v>
      </c>
      <c r="G1060" s="68">
        <v>62709.100000000006</v>
      </c>
      <c r="H1060" s="68">
        <v>0</v>
      </c>
      <c r="I1060" s="68">
        <v>62709.100000000006</v>
      </c>
      <c r="J1060" s="68">
        <v>0</v>
      </c>
    </row>
    <row r="1061" spans="1:10" ht="14.25" customHeight="1">
      <c r="A1061" s="66" t="s">
        <v>2907</v>
      </c>
      <c r="B1061" s="66" t="s">
        <v>2768</v>
      </c>
      <c r="C1061" s="68">
        <v>0</v>
      </c>
      <c r="D1061" s="68">
        <v>0</v>
      </c>
      <c r="E1061" s="68">
        <v>165</v>
      </c>
      <c r="F1061" s="68">
        <v>0</v>
      </c>
      <c r="G1061" s="68">
        <v>3438.46</v>
      </c>
      <c r="H1061" s="68">
        <v>0</v>
      </c>
      <c r="I1061" s="68">
        <v>3438.46</v>
      </c>
      <c r="J1061" s="68">
        <v>0</v>
      </c>
    </row>
    <row r="1062" spans="1:10" ht="14.25" customHeight="1">
      <c r="A1062" s="66" t="s">
        <v>2908</v>
      </c>
      <c r="B1062" s="66" t="s">
        <v>2851</v>
      </c>
      <c r="C1062" s="68">
        <v>0</v>
      </c>
      <c r="D1062" s="68">
        <v>0</v>
      </c>
      <c r="E1062" s="68">
        <v>58</v>
      </c>
      <c r="F1062" s="68">
        <v>0</v>
      </c>
      <c r="G1062" s="68">
        <v>3652.6200000000008</v>
      </c>
      <c r="H1062" s="68">
        <v>0</v>
      </c>
      <c r="I1062" s="68">
        <v>3652.6200000000008</v>
      </c>
      <c r="J1062" s="68">
        <v>0</v>
      </c>
    </row>
    <row r="1063" spans="1:10" ht="14.25" customHeight="1">
      <c r="A1063" s="66" t="s">
        <v>2909</v>
      </c>
      <c r="B1063" s="66" t="s">
        <v>2772</v>
      </c>
      <c r="C1063" s="68">
        <v>0</v>
      </c>
      <c r="D1063" s="68">
        <v>0</v>
      </c>
      <c r="E1063" s="68">
        <v>38.170000000000016</v>
      </c>
      <c r="F1063" s="68">
        <v>0</v>
      </c>
      <c r="G1063" s="68">
        <v>455.75</v>
      </c>
      <c r="H1063" s="68">
        <v>0</v>
      </c>
      <c r="I1063" s="68">
        <v>455.75</v>
      </c>
      <c r="J1063" s="68">
        <v>0</v>
      </c>
    </row>
    <row r="1064" spans="1:10" ht="14.25" customHeight="1">
      <c r="A1064" s="66" t="s">
        <v>2910</v>
      </c>
      <c r="B1064" s="66" t="s">
        <v>2775</v>
      </c>
      <c r="C1064" s="68">
        <v>0</v>
      </c>
      <c r="D1064" s="68">
        <v>0</v>
      </c>
      <c r="E1064" s="68">
        <v>200.26999999999998</v>
      </c>
      <c r="F1064" s="68">
        <v>0</v>
      </c>
      <c r="G1064" s="68">
        <v>1617.5299999999997</v>
      </c>
      <c r="H1064" s="68">
        <v>0</v>
      </c>
      <c r="I1064" s="68">
        <v>1617.5299999999997</v>
      </c>
      <c r="J1064" s="68">
        <v>0</v>
      </c>
    </row>
    <row r="1065" spans="1:10" ht="14.25" customHeight="1">
      <c r="A1065" s="66" t="s">
        <v>2911</v>
      </c>
      <c r="B1065" s="66" t="s">
        <v>2777</v>
      </c>
      <c r="C1065" s="68">
        <v>0</v>
      </c>
      <c r="D1065" s="68">
        <v>0</v>
      </c>
      <c r="E1065" s="68">
        <v>65.31</v>
      </c>
      <c r="F1065" s="68">
        <v>0</v>
      </c>
      <c r="G1065" s="68">
        <v>69.44</v>
      </c>
      <c r="H1065" s="68">
        <v>0</v>
      </c>
      <c r="I1065" s="68">
        <v>69.44</v>
      </c>
      <c r="J1065" s="68">
        <v>0</v>
      </c>
    </row>
    <row r="1066" spans="1:10" ht="14.25" customHeight="1">
      <c r="A1066" s="66" t="s">
        <v>2912</v>
      </c>
      <c r="B1066" s="66" t="s">
        <v>2390</v>
      </c>
      <c r="C1066" s="68">
        <v>0</v>
      </c>
      <c r="D1066" s="68">
        <v>0</v>
      </c>
      <c r="E1066" s="68">
        <v>0</v>
      </c>
      <c r="F1066" s="68">
        <v>0</v>
      </c>
      <c r="G1066" s="68">
        <v>849.9</v>
      </c>
      <c r="H1066" s="68">
        <v>0</v>
      </c>
      <c r="I1066" s="68">
        <v>849.9</v>
      </c>
      <c r="J1066" s="68">
        <v>0</v>
      </c>
    </row>
    <row r="1067" spans="1:10" ht="14.25" customHeight="1">
      <c r="A1067" s="66" t="s">
        <v>2913</v>
      </c>
      <c r="B1067" s="66" t="s">
        <v>2804</v>
      </c>
      <c r="C1067" s="68">
        <v>0</v>
      </c>
      <c r="D1067" s="68">
        <v>0</v>
      </c>
      <c r="E1067" s="68">
        <v>15</v>
      </c>
      <c r="F1067" s="68">
        <v>0</v>
      </c>
      <c r="G1067" s="68">
        <v>15</v>
      </c>
      <c r="H1067" s="68">
        <v>0</v>
      </c>
      <c r="I1067" s="68">
        <v>15</v>
      </c>
      <c r="J1067" s="68">
        <v>0</v>
      </c>
    </row>
    <row r="1068" spans="1:10" ht="14.25" customHeight="1">
      <c r="A1068" s="66" t="s">
        <v>2914</v>
      </c>
      <c r="B1068" s="66" t="s">
        <v>2667</v>
      </c>
      <c r="C1068" s="68">
        <v>0</v>
      </c>
      <c r="D1068" s="68">
        <v>0</v>
      </c>
      <c r="E1068" s="68">
        <v>18382.01999999999</v>
      </c>
      <c r="F1068" s="68">
        <v>0</v>
      </c>
      <c r="G1068" s="68">
        <v>222196.08999999997</v>
      </c>
      <c r="H1068" s="68">
        <v>0</v>
      </c>
      <c r="I1068" s="68">
        <v>222196.08999999997</v>
      </c>
      <c r="J1068" s="68">
        <v>0</v>
      </c>
    </row>
    <row r="1069" spans="1:10" ht="14.25" customHeight="1">
      <c r="A1069" s="66" t="s">
        <v>2915</v>
      </c>
      <c r="B1069" s="66" t="s">
        <v>2671</v>
      </c>
      <c r="C1069" s="68">
        <v>0</v>
      </c>
      <c r="D1069" s="68">
        <v>0</v>
      </c>
      <c r="E1069" s="68">
        <v>94.6</v>
      </c>
      <c r="F1069" s="68">
        <v>0</v>
      </c>
      <c r="G1069" s="68">
        <v>94.6</v>
      </c>
      <c r="H1069" s="68">
        <v>0</v>
      </c>
      <c r="I1069" s="68">
        <v>94.6</v>
      </c>
      <c r="J1069" s="68">
        <v>0</v>
      </c>
    </row>
    <row r="1070" spans="1:10" ht="14.25" customHeight="1">
      <c r="A1070" s="66" t="s">
        <v>2916</v>
      </c>
      <c r="B1070" s="66" t="s">
        <v>2674</v>
      </c>
      <c r="C1070" s="68">
        <v>0</v>
      </c>
      <c r="D1070" s="68">
        <v>0</v>
      </c>
      <c r="E1070" s="68">
        <v>0</v>
      </c>
      <c r="F1070" s="68">
        <v>0</v>
      </c>
      <c r="G1070" s="68">
        <v>3605</v>
      </c>
      <c r="H1070" s="68">
        <v>0</v>
      </c>
      <c r="I1070" s="68">
        <v>3605</v>
      </c>
      <c r="J1070" s="68">
        <v>0</v>
      </c>
    </row>
    <row r="1071" spans="1:10" ht="14.25" customHeight="1">
      <c r="A1071" s="66" t="s">
        <v>2917</v>
      </c>
      <c r="B1071" s="66" t="s">
        <v>2680</v>
      </c>
      <c r="C1071" s="68">
        <v>0</v>
      </c>
      <c r="D1071" s="68">
        <v>0</v>
      </c>
      <c r="E1071" s="68">
        <v>0</v>
      </c>
      <c r="F1071" s="68">
        <v>0</v>
      </c>
      <c r="G1071" s="68">
        <v>154</v>
      </c>
      <c r="H1071" s="68">
        <v>0</v>
      </c>
      <c r="I1071" s="68">
        <v>154</v>
      </c>
      <c r="J1071" s="68">
        <v>0</v>
      </c>
    </row>
    <row r="1072" spans="1:10" ht="14.25" customHeight="1">
      <c r="A1072" s="66" t="s">
        <v>2918</v>
      </c>
      <c r="B1072" s="66" t="s">
        <v>2688</v>
      </c>
      <c r="C1072" s="68">
        <v>0</v>
      </c>
      <c r="D1072" s="68">
        <v>0</v>
      </c>
      <c r="E1072" s="68">
        <v>29618.580000000016</v>
      </c>
      <c r="F1072" s="68">
        <v>0</v>
      </c>
      <c r="G1072" s="68">
        <v>311675.45</v>
      </c>
      <c r="H1072" s="68">
        <v>0</v>
      </c>
      <c r="I1072" s="68">
        <v>311675.45</v>
      </c>
      <c r="J1072" s="68">
        <v>0</v>
      </c>
    </row>
    <row r="1073" spans="1:10" ht="14.25" customHeight="1">
      <c r="A1073" s="66" t="s">
        <v>2919</v>
      </c>
      <c r="B1073" s="66" t="s">
        <v>2691</v>
      </c>
      <c r="C1073" s="68">
        <v>0</v>
      </c>
      <c r="D1073" s="68">
        <v>0</v>
      </c>
      <c r="E1073" s="68">
        <v>4612.8600000000006</v>
      </c>
      <c r="F1073" s="68">
        <v>0</v>
      </c>
      <c r="G1073" s="68">
        <v>82651.180000000008</v>
      </c>
      <c r="H1073" s="68">
        <v>0</v>
      </c>
      <c r="I1073" s="68">
        <v>82651.180000000008</v>
      </c>
      <c r="J1073" s="68">
        <v>0</v>
      </c>
    </row>
    <row r="1074" spans="1:10" ht="14.25" customHeight="1">
      <c r="A1074" s="66" t="s">
        <v>2920</v>
      </c>
      <c r="B1074" s="66" t="s">
        <v>2695</v>
      </c>
      <c r="C1074" s="68">
        <v>0</v>
      </c>
      <c r="D1074" s="68">
        <v>0</v>
      </c>
      <c r="E1074" s="68">
        <v>13548.510000000002</v>
      </c>
      <c r="F1074" s="68">
        <v>0</v>
      </c>
      <c r="G1074" s="68">
        <v>61380.35</v>
      </c>
      <c r="H1074" s="68">
        <v>0</v>
      </c>
      <c r="I1074" s="68">
        <v>61380.35</v>
      </c>
      <c r="J1074" s="68">
        <v>0</v>
      </c>
    </row>
    <row r="1075" spans="1:10" ht="14.25" customHeight="1">
      <c r="A1075" s="66" t="s">
        <v>2921</v>
      </c>
      <c r="B1075" s="66" t="s">
        <v>2708</v>
      </c>
      <c r="C1075" s="68">
        <v>0</v>
      </c>
      <c r="D1075" s="68">
        <v>0</v>
      </c>
      <c r="E1075" s="68">
        <v>43.970000000000027</v>
      </c>
      <c r="F1075" s="68">
        <v>0</v>
      </c>
      <c r="G1075" s="68">
        <v>804</v>
      </c>
      <c r="H1075" s="68">
        <v>0</v>
      </c>
      <c r="I1075" s="68">
        <v>804</v>
      </c>
      <c r="J1075" s="68">
        <v>0</v>
      </c>
    </row>
    <row r="1076" spans="1:10" ht="14.25" customHeight="1">
      <c r="A1076" s="66" t="s">
        <v>2922</v>
      </c>
      <c r="B1076" s="66" t="s">
        <v>2712</v>
      </c>
      <c r="C1076" s="68">
        <v>0</v>
      </c>
      <c r="D1076" s="68">
        <v>0</v>
      </c>
      <c r="E1076" s="68">
        <v>0</v>
      </c>
      <c r="F1076" s="68">
        <v>0</v>
      </c>
      <c r="G1076" s="68">
        <v>3789</v>
      </c>
      <c r="H1076" s="68">
        <v>0</v>
      </c>
      <c r="I1076" s="68">
        <v>3789</v>
      </c>
      <c r="J1076" s="68">
        <v>0</v>
      </c>
    </row>
    <row r="1077" spans="1:10" ht="14.25" customHeight="1">
      <c r="A1077" s="66" t="s">
        <v>2923</v>
      </c>
      <c r="B1077" s="66" t="s">
        <v>2724</v>
      </c>
      <c r="C1077" s="68">
        <v>0</v>
      </c>
      <c r="D1077" s="68">
        <v>0</v>
      </c>
      <c r="E1077" s="68">
        <v>52.5</v>
      </c>
      <c r="F1077" s="68">
        <v>0</v>
      </c>
      <c r="G1077" s="68">
        <v>14212.5</v>
      </c>
      <c r="H1077" s="68">
        <v>0</v>
      </c>
      <c r="I1077" s="68">
        <v>14212.5</v>
      </c>
      <c r="J1077" s="68">
        <v>0</v>
      </c>
    </row>
    <row r="1078" spans="1:10" ht="14.25" customHeight="1">
      <c r="A1078" s="66" t="s">
        <v>2924</v>
      </c>
      <c r="B1078" s="66" t="s">
        <v>2408</v>
      </c>
      <c r="C1078" s="68">
        <v>0</v>
      </c>
      <c r="D1078" s="68">
        <v>0</v>
      </c>
      <c r="E1078" s="68">
        <v>6966.0500000000029</v>
      </c>
      <c r="F1078" s="68">
        <v>0</v>
      </c>
      <c r="G1078" s="68">
        <v>77004.42</v>
      </c>
      <c r="H1078" s="68">
        <v>0</v>
      </c>
      <c r="I1078" s="68">
        <v>77004.42</v>
      </c>
      <c r="J1078" s="68">
        <v>0</v>
      </c>
    </row>
    <row r="1079" spans="1:10" ht="14.25" customHeight="1">
      <c r="A1079" s="66" t="s">
        <v>2925</v>
      </c>
      <c r="B1079" s="66" t="s">
        <v>2768</v>
      </c>
      <c r="C1079" s="68">
        <v>0</v>
      </c>
      <c r="D1079" s="68">
        <v>0</v>
      </c>
      <c r="E1079" s="68">
        <v>60</v>
      </c>
      <c r="F1079" s="68">
        <v>0</v>
      </c>
      <c r="G1079" s="68">
        <v>979.3</v>
      </c>
      <c r="H1079" s="68">
        <v>0</v>
      </c>
      <c r="I1079" s="68">
        <v>979.3</v>
      </c>
      <c r="J1079" s="68">
        <v>0</v>
      </c>
    </row>
    <row r="1080" spans="1:10" ht="14.25" customHeight="1">
      <c r="A1080" s="66" t="s">
        <v>2926</v>
      </c>
      <c r="B1080" s="66" t="s">
        <v>2851</v>
      </c>
      <c r="C1080" s="68">
        <v>0</v>
      </c>
      <c r="D1080" s="68">
        <v>0</v>
      </c>
      <c r="E1080" s="68">
        <v>58</v>
      </c>
      <c r="F1080" s="68">
        <v>0</v>
      </c>
      <c r="G1080" s="68">
        <v>589.94000000000005</v>
      </c>
      <c r="H1080" s="68">
        <v>0</v>
      </c>
      <c r="I1080" s="68">
        <v>589.94000000000005</v>
      </c>
      <c r="J1080" s="68">
        <v>0</v>
      </c>
    </row>
    <row r="1081" spans="1:10" ht="14.25" customHeight="1">
      <c r="A1081" s="66" t="s">
        <v>2927</v>
      </c>
      <c r="B1081" s="66" t="s">
        <v>2772</v>
      </c>
      <c r="C1081" s="68">
        <v>0</v>
      </c>
      <c r="D1081" s="68">
        <v>0</v>
      </c>
      <c r="E1081" s="68">
        <v>19.090000000000003</v>
      </c>
      <c r="F1081" s="68">
        <v>0</v>
      </c>
      <c r="G1081" s="68">
        <v>227.82000000000005</v>
      </c>
      <c r="H1081" s="68">
        <v>0</v>
      </c>
      <c r="I1081" s="68">
        <v>227.82000000000005</v>
      </c>
      <c r="J1081" s="68">
        <v>0</v>
      </c>
    </row>
    <row r="1082" spans="1:10" ht="14.25" customHeight="1">
      <c r="A1082" s="66" t="s">
        <v>2928</v>
      </c>
      <c r="B1082" s="66" t="s">
        <v>2775</v>
      </c>
      <c r="C1082" s="68">
        <v>0</v>
      </c>
      <c r="D1082" s="68">
        <v>0</v>
      </c>
      <c r="E1082" s="68">
        <v>71.490000000000009</v>
      </c>
      <c r="F1082" s="68">
        <v>0</v>
      </c>
      <c r="G1082" s="68">
        <v>850.68000000000006</v>
      </c>
      <c r="H1082" s="68">
        <v>0</v>
      </c>
      <c r="I1082" s="68">
        <v>850.68000000000006</v>
      </c>
      <c r="J1082" s="68">
        <v>0</v>
      </c>
    </row>
    <row r="1083" spans="1:10" ht="14.25" customHeight="1">
      <c r="A1083" s="66" t="s">
        <v>2929</v>
      </c>
      <c r="B1083" s="66" t="s">
        <v>2777</v>
      </c>
      <c r="C1083" s="68">
        <v>0</v>
      </c>
      <c r="D1083" s="68">
        <v>0</v>
      </c>
      <c r="E1083" s="68">
        <v>32.659999999999997</v>
      </c>
      <c r="F1083" s="68">
        <v>0</v>
      </c>
      <c r="G1083" s="68">
        <v>34.729999999999997</v>
      </c>
      <c r="H1083" s="68">
        <v>0</v>
      </c>
      <c r="I1083" s="68">
        <v>34.729999999999997</v>
      </c>
      <c r="J1083" s="68">
        <v>0</v>
      </c>
    </row>
    <row r="1084" spans="1:10" ht="14.25" customHeight="1">
      <c r="A1084" s="66" t="s">
        <v>2930</v>
      </c>
      <c r="B1084" s="66" t="s">
        <v>2780</v>
      </c>
      <c r="C1084" s="68">
        <v>0</v>
      </c>
      <c r="D1084" s="68">
        <v>0</v>
      </c>
      <c r="E1084" s="68">
        <v>7675.2400000000052</v>
      </c>
      <c r="F1084" s="68">
        <v>0</v>
      </c>
      <c r="G1084" s="68">
        <v>92102.000000000029</v>
      </c>
      <c r="H1084" s="68">
        <v>0</v>
      </c>
      <c r="I1084" s="68">
        <v>92102.000000000029</v>
      </c>
      <c r="J1084" s="68">
        <v>0</v>
      </c>
    </row>
    <row r="1085" spans="1:10" ht="14.25" customHeight="1">
      <c r="A1085" s="66" t="s">
        <v>2931</v>
      </c>
      <c r="B1085" s="66" t="s">
        <v>2804</v>
      </c>
      <c r="C1085" s="68">
        <v>0</v>
      </c>
      <c r="D1085" s="68">
        <v>0</v>
      </c>
      <c r="E1085" s="68">
        <v>15</v>
      </c>
      <c r="F1085" s="68">
        <v>0</v>
      </c>
      <c r="G1085" s="68">
        <v>67.5</v>
      </c>
      <c r="H1085" s="68">
        <v>0</v>
      </c>
      <c r="I1085" s="68">
        <v>67.5</v>
      </c>
      <c r="J1085" s="68">
        <v>0</v>
      </c>
    </row>
    <row r="1086" spans="1:10" ht="14.25" customHeight="1">
      <c r="A1086" s="66" t="s">
        <v>2932</v>
      </c>
      <c r="B1086" s="66" t="s">
        <v>2667</v>
      </c>
      <c r="C1086" s="68">
        <v>0</v>
      </c>
      <c r="D1086" s="68">
        <v>0</v>
      </c>
      <c r="E1086" s="68">
        <v>12644.130000000001</v>
      </c>
      <c r="F1086" s="68">
        <v>0</v>
      </c>
      <c r="G1086" s="68">
        <v>12644.130000000001</v>
      </c>
      <c r="H1086" s="68">
        <v>0</v>
      </c>
      <c r="I1086" s="68">
        <v>12644.130000000001</v>
      </c>
      <c r="J1086" s="68">
        <v>0</v>
      </c>
    </row>
    <row r="1087" spans="1:10" ht="14.25" customHeight="1">
      <c r="A1087" s="66" t="s">
        <v>2933</v>
      </c>
      <c r="B1087" s="66" t="s">
        <v>2934</v>
      </c>
      <c r="C1087" s="68">
        <v>0</v>
      </c>
      <c r="D1087" s="68">
        <v>0</v>
      </c>
      <c r="E1087" s="68">
        <v>36603.65</v>
      </c>
      <c r="F1087" s="68">
        <v>0</v>
      </c>
      <c r="G1087" s="68">
        <v>36603.65</v>
      </c>
      <c r="H1087" s="68">
        <v>0</v>
      </c>
      <c r="I1087" s="68">
        <v>36603.65</v>
      </c>
      <c r="J1087" s="68">
        <v>0</v>
      </c>
    </row>
    <row r="1088" spans="1:10" ht="14.25" customHeight="1">
      <c r="A1088" s="66" t="s">
        <v>2935</v>
      </c>
      <c r="B1088" s="66" t="s">
        <v>2811</v>
      </c>
      <c r="C1088" s="68">
        <v>0</v>
      </c>
      <c r="D1088" s="68">
        <v>0</v>
      </c>
      <c r="E1088" s="68">
        <v>0</v>
      </c>
      <c r="F1088" s="68">
        <v>0</v>
      </c>
      <c r="G1088" s="68">
        <v>29950</v>
      </c>
      <c r="H1088" s="68">
        <v>0</v>
      </c>
      <c r="I1088" s="68">
        <v>29950</v>
      </c>
      <c r="J1088" s="68">
        <v>0</v>
      </c>
    </row>
    <row r="1089" spans="1:10" ht="14.25" customHeight="1">
      <c r="A1089" s="66" t="s">
        <v>2936</v>
      </c>
      <c r="B1089" s="66" t="s">
        <v>2937</v>
      </c>
      <c r="C1089" s="68">
        <v>0</v>
      </c>
      <c r="D1089" s="68">
        <v>0</v>
      </c>
      <c r="E1089" s="68">
        <v>3602832.9299999997</v>
      </c>
      <c r="F1089" s="68">
        <v>509435.6799999997</v>
      </c>
      <c r="G1089" s="68">
        <v>34472061.269999988</v>
      </c>
      <c r="H1089" s="68">
        <v>4788118.1499999994</v>
      </c>
      <c r="I1089" s="68">
        <v>29683943.11999999</v>
      </c>
      <c r="J1089" s="68">
        <v>0</v>
      </c>
    </row>
    <row r="1090" spans="1:10" ht="14.25" customHeight="1">
      <c r="A1090" s="66" t="s">
        <v>2938</v>
      </c>
      <c r="B1090" s="66" t="s">
        <v>2656</v>
      </c>
      <c r="C1090" s="68">
        <v>0</v>
      </c>
      <c r="D1090" s="68">
        <v>0</v>
      </c>
      <c r="E1090" s="68">
        <v>47616.140000000014</v>
      </c>
      <c r="F1090" s="68">
        <v>0</v>
      </c>
      <c r="G1090" s="68">
        <v>294365.7900000001</v>
      </c>
      <c r="H1090" s="68">
        <v>0</v>
      </c>
      <c r="I1090" s="68">
        <v>294365.7900000001</v>
      </c>
      <c r="J1090" s="68">
        <v>0</v>
      </c>
    </row>
    <row r="1091" spans="1:10" ht="14.25" customHeight="1">
      <c r="A1091" s="66" t="s">
        <v>2939</v>
      </c>
      <c r="B1091" s="66" t="s">
        <v>2676</v>
      </c>
      <c r="C1091" s="68">
        <v>0</v>
      </c>
      <c r="D1091" s="68">
        <v>0</v>
      </c>
      <c r="E1091" s="68">
        <v>5007.0299999999988</v>
      </c>
      <c r="F1091" s="68">
        <v>0</v>
      </c>
      <c r="G1091" s="68">
        <v>51056.630000000012</v>
      </c>
      <c r="H1091" s="68">
        <v>0</v>
      </c>
      <c r="I1091" s="68">
        <v>51056.630000000012</v>
      </c>
      <c r="J1091" s="68">
        <v>0</v>
      </c>
    </row>
    <row r="1092" spans="1:10" ht="14.25" customHeight="1">
      <c r="A1092" s="66" t="s">
        <v>2940</v>
      </c>
      <c r="B1092" s="66" t="s">
        <v>2678</v>
      </c>
      <c r="C1092" s="68">
        <v>0</v>
      </c>
      <c r="D1092" s="68">
        <v>0</v>
      </c>
      <c r="E1092" s="68">
        <v>41684.830000000016</v>
      </c>
      <c r="F1092" s="68">
        <v>0</v>
      </c>
      <c r="G1092" s="68">
        <v>424619.63000000006</v>
      </c>
      <c r="H1092" s="68">
        <v>0</v>
      </c>
      <c r="I1092" s="68">
        <v>424619.63000000006</v>
      </c>
      <c r="J1092" s="68">
        <v>0</v>
      </c>
    </row>
    <row r="1093" spans="1:10" ht="14.25" customHeight="1">
      <c r="A1093" s="66" t="s">
        <v>2941</v>
      </c>
      <c r="B1093" s="66" t="s">
        <v>2680</v>
      </c>
      <c r="C1093" s="68">
        <v>0</v>
      </c>
      <c r="D1093" s="68">
        <v>0</v>
      </c>
      <c r="E1093" s="68">
        <v>2036.4300000000003</v>
      </c>
      <c r="F1093" s="68">
        <v>0</v>
      </c>
      <c r="G1093" s="68">
        <v>17898.250000000004</v>
      </c>
      <c r="H1093" s="68">
        <v>0</v>
      </c>
      <c r="I1093" s="68">
        <v>17898.250000000004</v>
      </c>
      <c r="J1093" s="68">
        <v>0</v>
      </c>
    </row>
    <row r="1094" spans="1:10" ht="14.25" customHeight="1">
      <c r="A1094" s="66" t="s">
        <v>2942</v>
      </c>
      <c r="B1094" s="66" t="s">
        <v>2688</v>
      </c>
      <c r="C1094" s="68">
        <v>0</v>
      </c>
      <c r="D1094" s="68">
        <v>0</v>
      </c>
      <c r="E1094" s="68">
        <v>-76145.109999999986</v>
      </c>
      <c r="F1094" s="68">
        <v>0</v>
      </c>
      <c r="G1094" s="68">
        <v>318163.34000000003</v>
      </c>
      <c r="H1094" s="68">
        <v>0</v>
      </c>
      <c r="I1094" s="68">
        <v>318163.34000000003</v>
      </c>
      <c r="J1094" s="68">
        <v>0</v>
      </c>
    </row>
    <row r="1095" spans="1:10" ht="14.25" customHeight="1">
      <c r="A1095" s="66" t="s">
        <v>2943</v>
      </c>
      <c r="B1095" s="66" t="s">
        <v>2700</v>
      </c>
      <c r="C1095" s="68">
        <v>0</v>
      </c>
      <c r="D1095" s="68">
        <v>0</v>
      </c>
      <c r="E1095" s="68">
        <v>479.65999999999985</v>
      </c>
      <c r="F1095" s="68">
        <v>0</v>
      </c>
      <c r="G1095" s="68">
        <v>7924.02</v>
      </c>
      <c r="H1095" s="68">
        <v>0</v>
      </c>
      <c r="I1095" s="68">
        <v>7924.02</v>
      </c>
      <c r="J1095" s="68">
        <v>0</v>
      </c>
    </row>
    <row r="1096" spans="1:10" ht="14.25" customHeight="1">
      <c r="A1096" s="66" t="s">
        <v>2944</v>
      </c>
      <c r="B1096" s="66" t="s">
        <v>2708</v>
      </c>
      <c r="C1096" s="68">
        <v>0</v>
      </c>
      <c r="D1096" s="68">
        <v>0</v>
      </c>
      <c r="E1096" s="68">
        <v>748.74000000000069</v>
      </c>
      <c r="F1096" s="68">
        <v>0</v>
      </c>
      <c r="G1096" s="68">
        <v>8211.4200000000019</v>
      </c>
      <c r="H1096" s="68">
        <v>0</v>
      </c>
      <c r="I1096" s="68">
        <v>8211.4200000000019</v>
      </c>
      <c r="J1096" s="68">
        <v>0</v>
      </c>
    </row>
    <row r="1097" spans="1:10" ht="14.25" customHeight="1">
      <c r="A1097" s="66" t="s">
        <v>2945</v>
      </c>
      <c r="B1097" s="66" t="s">
        <v>2710</v>
      </c>
      <c r="C1097" s="68">
        <v>0</v>
      </c>
      <c r="D1097" s="68">
        <v>0</v>
      </c>
      <c r="E1097" s="68">
        <v>34637.669999999984</v>
      </c>
      <c r="F1097" s="68">
        <v>0</v>
      </c>
      <c r="G1097" s="68">
        <v>231864.8</v>
      </c>
      <c r="H1097" s="68">
        <v>0</v>
      </c>
      <c r="I1097" s="68">
        <v>231864.8</v>
      </c>
      <c r="J1097" s="68">
        <v>0</v>
      </c>
    </row>
    <row r="1098" spans="1:10" ht="14.25" customHeight="1">
      <c r="A1098" s="66" t="s">
        <v>2946</v>
      </c>
      <c r="B1098" s="66" t="s">
        <v>2722</v>
      </c>
      <c r="C1098" s="68">
        <v>0</v>
      </c>
      <c r="D1098" s="68">
        <v>0</v>
      </c>
      <c r="E1098" s="68">
        <v>0</v>
      </c>
      <c r="F1098" s="68">
        <v>0</v>
      </c>
      <c r="G1098" s="68">
        <v>3134.52</v>
      </c>
      <c r="H1098" s="68">
        <v>0</v>
      </c>
      <c r="I1098" s="68">
        <v>3134.52</v>
      </c>
      <c r="J1098" s="68">
        <v>0</v>
      </c>
    </row>
    <row r="1099" spans="1:10" ht="14.25" customHeight="1">
      <c r="A1099" s="66" t="s">
        <v>2947</v>
      </c>
      <c r="B1099" s="66" t="s">
        <v>2724</v>
      </c>
      <c r="C1099" s="68">
        <v>0</v>
      </c>
      <c r="D1099" s="68">
        <v>0</v>
      </c>
      <c r="E1099" s="68">
        <v>4685.4599999999991</v>
      </c>
      <c r="F1099" s="68">
        <v>0</v>
      </c>
      <c r="G1099" s="68">
        <v>42934.240000000005</v>
      </c>
      <c r="H1099" s="68">
        <v>0</v>
      </c>
      <c r="I1099" s="68">
        <v>42934.240000000005</v>
      </c>
      <c r="J1099" s="68">
        <v>0</v>
      </c>
    </row>
    <row r="1100" spans="1:10" ht="14.25" customHeight="1">
      <c r="A1100" s="66" t="s">
        <v>2948</v>
      </c>
      <c r="B1100" s="66" t="s">
        <v>2949</v>
      </c>
      <c r="C1100" s="68">
        <v>0</v>
      </c>
      <c r="D1100" s="68">
        <v>0</v>
      </c>
      <c r="E1100" s="68">
        <v>331267.19999999972</v>
      </c>
      <c r="F1100" s="68">
        <v>0</v>
      </c>
      <c r="G1100" s="68">
        <v>4154969.2799999993</v>
      </c>
      <c r="H1100" s="68">
        <v>0</v>
      </c>
      <c r="I1100" s="68">
        <v>4154969.2799999993</v>
      </c>
      <c r="J1100" s="68">
        <v>0</v>
      </c>
    </row>
    <row r="1101" spans="1:10" ht="14.25" customHeight="1">
      <c r="A1101" s="66" t="s">
        <v>2950</v>
      </c>
      <c r="B1101" s="66" t="s">
        <v>29</v>
      </c>
      <c r="C1101" s="68">
        <v>0</v>
      </c>
      <c r="D1101" s="68">
        <v>0</v>
      </c>
      <c r="E1101" s="68">
        <v>220117.11999999988</v>
      </c>
      <c r="F1101" s="68">
        <v>0</v>
      </c>
      <c r="G1101" s="68">
        <v>2101791.79</v>
      </c>
      <c r="H1101" s="68">
        <v>0</v>
      </c>
      <c r="I1101" s="68">
        <v>2101791.79</v>
      </c>
      <c r="J1101" s="68">
        <v>0</v>
      </c>
    </row>
    <row r="1102" spans="1:10" ht="14.25" customHeight="1">
      <c r="A1102" s="66" t="s">
        <v>2951</v>
      </c>
      <c r="B1102" s="66" t="s">
        <v>2766</v>
      </c>
      <c r="C1102" s="68">
        <v>0</v>
      </c>
      <c r="D1102" s="68">
        <v>0</v>
      </c>
      <c r="E1102" s="68">
        <v>62314.140000000014</v>
      </c>
      <c r="F1102" s="68">
        <v>0</v>
      </c>
      <c r="G1102" s="68">
        <v>477386.43000000005</v>
      </c>
      <c r="H1102" s="68">
        <v>0</v>
      </c>
      <c r="I1102" s="68">
        <v>477386.43000000005</v>
      </c>
      <c r="J1102" s="68">
        <v>0</v>
      </c>
    </row>
    <row r="1103" spans="1:10" ht="14.25" customHeight="1">
      <c r="A1103" s="66" t="s">
        <v>2952</v>
      </c>
      <c r="B1103" s="66" t="s">
        <v>2780</v>
      </c>
      <c r="C1103" s="68">
        <v>0</v>
      </c>
      <c r="D1103" s="68">
        <v>0</v>
      </c>
      <c r="E1103" s="68">
        <v>837.30999999999949</v>
      </c>
      <c r="F1103" s="68">
        <v>0</v>
      </c>
      <c r="G1103" s="68">
        <v>10047.719999999996</v>
      </c>
      <c r="H1103" s="68">
        <v>0</v>
      </c>
      <c r="I1103" s="68">
        <v>10047.719999999996</v>
      </c>
      <c r="J1103" s="68">
        <v>0</v>
      </c>
    </row>
    <row r="1104" spans="1:10" ht="14.25" customHeight="1">
      <c r="A1104" s="66" t="s">
        <v>2953</v>
      </c>
      <c r="B1104" s="66" t="s">
        <v>2782</v>
      </c>
      <c r="C1104" s="68">
        <v>0</v>
      </c>
      <c r="D1104" s="68">
        <v>0</v>
      </c>
      <c r="E1104" s="68">
        <v>1353.17</v>
      </c>
      <c r="F1104" s="68">
        <v>0</v>
      </c>
      <c r="G1104" s="68">
        <v>15392.500000000002</v>
      </c>
      <c r="H1104" s="68">
        <v>0</v>
      </c>
      <c r="I1104" s="68">
        <v>15392.500000000002</v>
      </c>
      <c r="J1104" s="68">
        <v>0</v>
      </c>
    </row>
    <row r="1105" spans="1:10" ht="14.25" customHeight="1">
      <c r="A1105" s="66" t="s">
        <v>2954</v>
      </c>
      <c r="B1105" s="66" t="s">
        <v>2798</v>
      </c>
      <c r="C1105" s="68">
        <v>0</v>
      </c>
      <c r="D1105" s="68">
        <v>0</v>
      </c>
      <c r="E1105" s="68">
        <v>4235.32</v>
      </c>
      <c r="F1105" s="68">
        <v>0</v>
      </c>
      <c r="G1105" s="68">
        <v>48220.71</v>
      </c>
      <c r="H1105" s="68">
        <v>0</v>
      </c>
      <c r="I1105" s="68">
        <v>48220.71</v>
      </c>
      <c r="J1105" s="68">
        <v>0</v>
      </c>
    </row>
    <row r="1106" spans="1:10" ht="14.25" customHeight="1">
      <c r="A1106" s="66" t="s">
        <v>2955</v>
      </c>
      <c r="B1106" s="66" t="s">
        <v>2796</v>
      </c>
      <c r="C1106" s="68">
        <v>0</v>
      </c>
      <c r="D1106" s="68">
        <v>0</v>
      </c>
      <c r="E1106" s="68">
        <v>8338.6499999999942</v>
      </c>
      <c r="F1106" s="68">
        <v>0</v>
      </c>
      <c r="G1106" s="68">
        <v>82262.209999999992</v>
      </c>
      <c r="H1106" s="68">
        <v>0</v>
      </c>
      <c r="I1106" s="68">
        <v>82262.209999999992</v>
      </c>
      <c r="J1106" s="68">
        <v>0</v>
      </c>
    </row>
    <row r="1107" spans="1:10" ht="14.25" customHeight="1">
      <c r="A1107" s="66" t="s">
        <v>2956</v>
      </c>
      <c r="B1107" s="66" t="s">
        <v>2724</v>
      </c>
      <c r="C1107" s="68">
        <v>0</v>
      </c>
      <c r="D1107" s="68">
        <v>0</v>
      </c>
      <c r="E1107" s="68">
        <v>292.67999999999984</v>
      </c>
      <c r="F1107" s="68">
        <v>0</v>
      </c>
      <c r="G1107" s="68">
        <v>3512.1599999999994</v>
      </c>
      <c r="H1107" s="68">
        <v>0</v>
      </c>
      <c r="I1107" s="68">
        <v>3512.1599999999994</v>
      </c>
      <c r="J1107" s="68">
        <v>0</v>
      </c>
    </row>
    <row r="1108" spans="1:10" ht="14.25" customHeight="1">
      <c r="A1108" s="66" t="s">
        <v>2957</v>
      </c>
      <c r="B1108" s="66" t="s">
        <v>2949</v>
      </c>
      <c r="C1108" s="68">
        <v>0</v>
      </c>
      <c r="D1108" s="68">
        <v>0</v>
      </c>
      <c r="E1108" s="68">
        <v>417561.88999999966</v>
      </c>
      <c r="F1108" s="68">
        <v>0</v>
      </c>
      <c r="G1108" s="68">
        <v>5568028.0699999994</v>
      </c>
      <c r="H1108" s="68">
        <v>0</v>
      </c>
      <c r="I1108" s="68">
        <v>5568028.0699999994</v>
      </c>
      <c r="J1108" s="68">
        <v>0</v>
      </c>
    </row>
    <row r="1109" spans="1:10" ht="14.25" customHeight="1">
      <c r="A1109" s="66" t="s">
        <v>2958</v>
      </c>
      <c r="B1109" s="66" t="s">
        <v>2796</v>
      </c>
      <c r="C1109" s="68">
        <v>0</v>
      </c>
      <c r="D1109" s="68">
        <v>0</v>
      </c>
      <c r="E1109" s="68">
        <v>396.10999999999967</v>
      </c>
      <c r="F1109" s="68">
        <v>0</v>
      </c>
      <c r="G1109" s="68">
        <v>4866.45</v>
      </c>
      <c r="H1109" s="68">
        <v>0</v>
      </c>
      <c r="I1109" s="68">
        <v>4866.45</v>
      </c>
      <c r="J1109" s="68">
        <v>0</v>
      </c>
    </row>
    <row r="1110" spans="1:10" ht="14.25" customHeight="1">
      <c r="A1110" s="66" t="s">
        <v>2959</v>
      </c>
      <c r="B1110" s="66" t="s">
        <v>2706</v>
      </c>
      <c r="C1110" s="68">
        <v>0</v>
      </c>
      <c r="D1110" s="68">
        <v>0</v>
      </c>
      <c r="E1110" s="68">
        <v>3750</v>
      </c>
      <c r="F1110" s="68">
        <v>0</v>
      </c>
      <c r="G1110" s="68">
        <v>28705</v>
      </c>
      <c r="H1110" s="68">
        <v>0</v>
      </c>
      <c r="I1110" s="68">
        <v>28705</v>
      </c>
      <c r="J1110" s="68">
        <v>0</v>
      </c>
    </row>
    <row r="1111" spans="1:10" ht="14.25" customHeight="1">
      <c r="A1111" s="66" t="s">
        <v>2960</v>
      </c>
      <c r="B1111" s="66" t="s">
        <v>2724</v>
      </c>
      <c r="C1111" s="68">
        <v>0</v>
      </c>
      <c r="D1111" s="68">
        <v>0</v>
      </c>
      <c r="E1111" s="68">
        <v>292.67999999999984</v>
      </c>
      <c r="F1111" s="68">
        <v>0</v>
      </c>
      <c r="G1111" s="68">
        <v>3719.8499999999995</v>
      </c>
      <c r="H1111" s="68">
        <v>0</v>
      </c>
      <c r="I1111" s="68">
        <v>3719.8499999999995</v>
      </c>
      <c r="J1111" s="68">
        <v>0</v>
      </c>
    </row>
    <row r="1112" spans="1:10" ht="14.25" customHeight="1">
      <c r="A1112" s="66" t="s">
        <v>2961</v>
      </c>
      <c r="B1112" s="66" t="s">
        <v>2656</v>
      </c>
      <c r="C1112" s="68">
        <v>0</v>
      </c>
      <c r="D1112" s="68">
        <v>0</v>
      </c>
      <c r="E1112" s="68">
        <v>358.09999999999854</v>
      </c>
      <c r="F1112" s="68">
        <v>0</v>
      </c>
      <c r="G1112" s="68">
        <v>19911.439999999999</v>
      </c>
      <c r="H1112" s="68">
        <v>0</v>
      </c>
      <c r="I1112" s="68">
        <v>19911.439999999999</v>
      </c>
      <c r="J1112" s="68">
        <v>0</v>
      </c>
    </row>
    <row r="1113" spans="1:10" ht="14.25" customHeight="1">
      <c r="A1113" s="66" t="s">
        <v>2962</v>
      </c>
      <c r="B1113" s="66" t="s">
        <v>2676</v>
      </c>
      <c r="C1113" s="68">
        <v>0</v>
      </c>
      <c r="D1113" s="68">
        <v>0</v>
      </c>
      <c r="E1113" s="68">
        <v>114.80999999999995</v>
      </c>
      <c r="F1113" s="68">
        <v>0</v>
      </c>
      <c r="G1113" s="68">
        <v>4066.99</v>
      </c>
      <c r="H1113" s="68">
        <v>0</v>
      </c>
      <c r="I1113" s="68">
        <v>4066.99</v>
      </c>
      <c r="J1113" s="68">
        <v>0</v>
      </c>
    </row>
    <row r="1114" spans="1:10" ht="14.25" customHeight="1">
      <c r="A1114" s="66" t="s">
        <v>2963</v>
      </c>
      <c r="B1114" s="66" t="s">
        <v>2678</v>
      </c>
      <c r="C1114" s="68">
        <v>0</v>
      </c>
      <c r="D1114" s="68">
        <v>0</v>
      </c>
      <c r="E1114" s="68">
        <v>3186.5200000000041</v>
      </c>
      <c r="F1114" s="68">
        <v>0</v>
      </c>
      <c r="G1114" s="68">
        <v>39158.130000000005</v>
      </c>
      <c r="H1114" s="68">
        <v>0</v>
      </c>
      <c r="I1114" s="68">
        <v>39158.130000000005</v>
      </c>
      <c r="J1114" s="68">
        <v>0</v>
      </c>
    </row>
    <row r="1115" spans="1:10" ht="14.25" customHeight="1">
      <c r="A1115" s="66" t="s">
        <v>2964</v>
      </c>
      <c r="B1115" s="66" t="s">
        <v>2680</v>
      </c>
      <c r="C1115" s="68">
        <v>0</v>
      </c>
      <c r="D1115" s="68">
        <v>0</v>
      </c>
      <c r="E1115" s="68">
        <v>5.0699999999999363</v>
      </c>
      <c r="F1115" s="68">
        <v>0</v>
      </c>
      <c r="G1115" s="68">
        <v>1490.89</v>
      </c>
      <c r="H1115" s="68">
        <v>0</v>
      </c>
      <c r="I1115" s="68">
        <v>1490.89</v>
      </c>
      <c r="J1115" s="68">
        <v>0</v>
      </c>
    </row>
    <row r="1116" spans="1:10" ht="14.25" customHeight="1">
      <c r="A1116" s="66" t="s">
        <v>2965</v>
      </c>
      <c r="B1116" s="66" t="s">
        <v>2688</v>
      </c>
      <c r="C1116" s="68">
        <v>0</v>
      </c>
      <c r="D1116" s="68">
        <v>0</v>
      </c>
      <c r="E1116" s="68">
        <v>2133.2699999999968</v>
      </c>
      <c r="F1116" s="68">
        <v>0</v>
      </c>
      <c r="G1116" s="68">
        <v>34693.99</v>
      </c>
      <c r="H1116" s="68">
        <v>0</v>
      </c>
      <c r="I1116" s="68">
        <v>34693.99</v>
      </c>
      <c r="J1116" s="68">
        <v>0</v>
      </c>
    </row>
    <row r="1117" spans="1:10" ht="14.25" customHeight="1">
      <c r="A1117" s="66" t="s">
        <v>2966</v>
      </c>
      <c r="B1117" s="66" t="s">
        <v>2691</v>
      </c>
      <c r="C1117" s="68">
        <v>0</v>
      </c>
      <c r="D1117" s="68">
        <v>0</v>
      </c>
      <c r="E1117" s="68">
        <v>1788.1499999999996</v>
      </c>
      <c r="F1117" s="68">
        <v>0</v>
      </c>
      <c r="G1117" s="68">
        <v>6085.92</v>
      </c>
      <c r="H1117" s="68">
        <v>0</v>
      </c>
      <c r="I1117" s="68">
        <v>6085.92</v>
      </c>
      <c r="J1117" s="68">
        <v>0</v>
      </c>
    </row>
    <row r="1118" spans="1:10" ht="14.25" customHeight="1">
      <c r="A1118" s="66" t="s">
        <v>2967</v>
      </c>
      <c r="B1118" s="66" t="s">
        <v>2700</v>
      </c>
      <c r="C1118" s="68">
        <v>0</v>
      </c>
      <c r="D1118" s="68">
        <v>0</v>
      </c>
      <c r="E1118" s="68">
        <v>44.539999999999964</v>
      </c>
      <c r="F1118" s="68">
        <v>0</v>
      </c>
      <c r="G1118" s="68">
        <v>713.27999999999986</v>
      </c>
      <c r="H1118" s="68">
        <v>0</v>
      </c>
      <c r="I1118" s="68">
        <v>713.27999999999986</v>
      </c>
      <c r="J1118" s="68">
        <v>0</v>
      </c>
    </row>
    <row r="1119" spans="1:10" ht="14.25" customHeight="1">
      <c r="A1119" s="66" t="s">
        <v>2968</v>
      </c>
      <c r="B1119" s="66" t="s">
        <v>2702</v>
      </c>
      <c r="C1119" s="68">
        <v>0</v>
      </c>
      <c r="D1119" s="68">
        <v>0</v>
      </c>
      <c r="E1119" s="68">
        <v>0</v>
      </c>
      <c r="F1119" s="68">
        <v>0</v>
      </c>
      <c r="G1119" s="68">
        <v>300</v>
      </c>
      <c r="H1119" s="68">
        <v>0</v>
      </c>
      <c r="I1119" s="68">
        <v>300</v>
      </c>
      <c r="J1119" s="68">
        <v>0</v>
      </c>
    </row>
    <row r="1120" spans="1:10" ht="14.25" customHeight="1">
      <c r="A1120" s="66" t="s">
        <v>2969</v>
      </c>
      <c r="B1120" s="66" t="s">
        <v>2708</v>
      </c>
      <c r="C1120" s="68">
        <v>0</v>
      </c>
      <c r="D1120" s="68">
        <v>0</v>
      </c>
      <c r="E1120" s="68">
        <v>114.06999999999994</v>
      </c>
      <c r="F1120" s="68">
        <v>0</v>
      </c>
      <c r="G1120" s="68">
        <v>1061.5999999999999</v>
      </c>
      <c r="H1120" s="68">
        <v>0</v>
      </c>
      <c r="I1120" s="68">
        <v>1061.5999999999999</v>
      </c>
      <c r="J1120" s="68">
        <v>0</v>
      </c>
    </row>
    <row r="1121" spans="1:10" ht="14.25" customHeight="1">
      <c r="A1121" s="66" t="s">
        <v>2970</v>
      </c>
      <c r="B1121" s="66" t="s">
        <v>2710</v>
      </c>
      <c r="C1121" s="68">
        <v>0</v>
      </c>
      <c r="D1121" s="68">
        <v>0</v>
      </c>
      <c r="E1121" s="68">
        <v>1137.2099999999991</v>
      </c>
      <c r="F1121" s="68">
        <v>0</v>
      </c>
      <c r="G1121" s="68">
        <v>17396.03</v>
      </c>
      <c r="H1121" s="68">
        <v>0</v>
      </c>
      <c r="I1121" s="68">
        <v>17396.03</v>
      </c>
      <c r="J1121" s="68">
        <v>0</v>
      </c>
    </row>
    <row r="1122" spans="1:10" ht="14.25" customHeight="1">
      <c r="A1122" s="66" t="s">
        <v>2971</v>
      </c>
      <c r="B1122" s="66" t="s">
        <v>2712</v>
      </c>
      <c r="C1122" s="68">
        <v>0</v>
      </c>
      <c r="D1122" s="68">
        <v>0</v>
      </c>
      <c r="E1122" s="68">
        <v>0</v>
      </c>
      <c r="F1122" s="68">
        <v>0</v>
      </c>
      <c r="G1122" s="68">
        <v>8.1300000000000008</v>
      </c>
      <c r="H1122" s="68">
        <v>0</v>
      </c>
      <c r="I1122" s="68">
        <v>8.1300000000000008</v>
      </c>
      <c r="J1122" s="68">
        <v>0</v>
      </c>
    </row>
    <row r="1123" spans="1:10" ht="14.25" customHeight="1">
      <c r="A1123" s="66" t="s">
        <v>2972</v>
      </c>
      <c r="B1123" s="66" t="s">
        <v>2722</v>
      </c>
      <c r="C1123" s="68">
        <v>0</v>
      </c>
      <c r="D1123" s="68">
        <v>0</v>
      </c>
      <c r="E1123" s="68">
        <v>1603</v>
      </c>
      <c r="F1123" s="68">
        <v>0</v>
      </c>
      <c r="G1123" s="68">
        <v>19229</v>
      </c>
      <c r="H1123" s="68">
        <v>0</v>
      </c>
      <c r="I1123" s="68">
        <v>19229</v>
      </c>
      <c r="J1123" s="68">
        <v>0</v>
      </c>
    </row>
    <row r="1124" spans="1:10" ht="14.25" customHeight="1">
      <c r="A1124" s="66" t="s">
        <v>2973</v>
      </c>
      <c r="B1124" s="66" t="s">
        <v>2724</v>
      </c>
      <c r="C1124" s="68">
        <v>0</v>
      </c>
      <c r="D1124" s="68">
        <v>0</v>
      </c>
      <c r="E1124" s="68">
        <v>378.63000000000011</v>
      </c>
      <c r="F1124" s="68">
        <v>0</v>
      </c>
      <c r="G1124" s="68">
        <v>5330.52</v>
      </c>
      <c r="H1124" s="68">
        <v>0</v>
      </c>
      <c r="I1124" s="68">
        <v>5330.52</v>
      </c>
      <c r="J1124" s="68">
        <v>0</v>
      </c>
    </row>
    <row r="1125" spans="1:10" ht="14.25" customHeight="1">
      <c r="A1125" s="66" t="s">
        <v>2974</v>
      </c>
      <c r="B1125" s="66" t="s">
        <v>29</v>
      </c>
      <c r="C1125" s="68">
        <v>0</v>
      </c>
      <c r="D1125" s="68">
        <v>0</v>
      </c>
      <c r="E1125" s="68">
        <v>15856.640000000014</v>
      </c>
      <c r="F1125" s="68">
        <v>0</v>
      </c>
      <c r="G1125" s="68">
        <v>174517.60000000003</v>
      </c>
      <c r="H1125" s="68">
        <v>0</v>
      </c>
      <c r="I1125" s="68">
        <v>174517.60000000003</v>
      </c>
      <c r="J1125" s="68">
        <v>0</v>
      </c>
    </row>
    <row r="1126" spans="1:10" ht="14.25" customHeight="1">
      <c r="A1126" s="66" t="s">
        <v>2975</v>
      </c>
      <c r="B1126" s="66" t="s">
        <v>2766</v>
      </c>
      <c r="C1126" s="68">
        <v>0</v>
      </c>
      <c r="D1126" s="68">
        <v>0</v>
      </c>
      <c r="E1126" s="68">
        <v>4622.68</v>
      </c>
      <c r="F1126" s="68">
        <v>0</v>
      </c>
      <c r="G1126" s="68">
        <v>40873.980000000003</v>
      </c>
      <c r="H1126" s="68">
        <v>0</v>
      </c>
      <c r="I1126" s="68">
        <v>40873.980000000003</v>
      </c>
      <c r="J1126" s="68">
        <v>0</v>
      </c>
    </row>
    <row r="1127" spans="1:10" ht="14.25" customHeight="1">
      <c r="A1127" s="66" t="s">
        <v>2976</v>
      </c>
      <c r="B1127" s="66" t="s">
        <v>2775</v>
      </c>
      <c r="C1127" s="68">
        <v>0</v>
      </c>
      <c r="D1127" s="68">
        <v>0</v>
      </c>
      <c r="E1127" s="68">
        <v>27</v>
      </c>
      <c r="F1127" s="68">
        <v>0</v>
      </c>
      <c r="G1127" s="68">
        <v>317.64999999999998</v>
      </c>
      <c r="H1127" s="68">
        <v>0</v>
      </c>
      <c r="I1127" s="68">
        <v>317.64999999999998</v>
      </c>
      <c r="J1127" s="68">
        <v>0</v>
      </c>
    </row>
    <row r="1128" spans="1:10" ht="14.25" customHeight="1">
      <c r="A1128" s="66" t="s">
        <v>2977</v>
      </c>
      <c r="B1128" s="66" t="s">
        <v>2780</v>
      </c>
      <c r="C1128" s="68">
        <v>0</v>
      </c>
      <c r="D1128" s="68">
        <v>0</v>
      </c>
      <c r="E1128" s="68">
        <v>96.490000000000009</v>
      </c>
      <c r="F1128" s="68">
        <v>0</v>
      </c>
      <c r="G1128" s="68">
        <v>1156.9999999999998</v>
      </c>
      <c r="H1128" s="68">
        <v>0</v>
      </c>
      <c r="I1128" s="68">
        <v>1156.9999999999998</v>
      </c>
      <c r="J1128" s="68">
        <v>0</v>
      </c>
    </row>
    <row r="1129" spans="1:10" ht="14.25" customHeight="1">
      <c r="A1129" s="66" t="s">
        <v>2978</v>
      </c>
      <c r="B1129" s="66" t="s">
        <v>2782</v>
      </c>
      <c r="C1129" s="68">
        <v>0</v>
      </c>
      <c r="D1129" s="68">
        <v>0</v>
      </c>
      <c r="E1129" s="68">
        <v>62.299999999999955</v>
      </c>
      <c r="F1129" s="68">
        <v>0</v>
      </c>
      <c r="G1129" s="68">
        <v>1730.5</v>
      </c>
      <c r="H1129" s="68">
        <v>0</v>
      </c>
      <c r="I1129" s="68">
        <v>1730.5</v>
      </c>
      <c r="J1129" s="68">
        <v>0</v>
      </c>
    </row>
    <row r="1130" spans="1:10" ht="14.25" customHeight="1">
      <c r="A1130" s="66" t="s">
        <v>2979</v>
      </c>
      <c r="B1130" s="66" t="s">
        <v>2390</v>
      </c>
      <c r="C1130" s="68">
        <v>0</v>
      </c>
      <c r="D1130" s="68">
        <v>0</v>
      </c>
      <c r="E1130" s="68">
        <v>0</v>
      </c>
      <c r="F1130" s="68">
        <v>0</v>
      </c>
      <c r="G1130" s="68">
        <v>450</v>
      </c>
      <c r="H1130" s="68">
        <v>0</v>
      </c>
      <c r="I1130" s="68">
        <v>450</v>
      </c>
      <c r="J1130" s="68">
        <v>0</v>
      </c>
    </row>
    <row r="1131" spans="1:10" ht="14.25" customHeight="1">
      <c r="A1131" s="66" t="s">
        <v>2980</v>
      </c>
      <c r="B1131" s="66" t="s">
        <v>2798</v>
      </c>
      <c r="C1131" s="68">
        <v>0</v>
      </c>
      <c r="D1131" s="68">
        <v>0</v>
      </c>
      <c r="E1131" s="68">
        <v>315.39000000000033</v>
      </c>
      <c r="F1131" s="68">
        <v>0</v>
      </c>
      <c r="G1131" s="68">
        <v>5014.32</v>
      </c>
      <c r="H1131" s="68">
        <v>0</v>
      </c>
      <c r="I1131" s="68">
        <v>5014.32</v>
      </c>
      <c r="J1131" s="68">
        <v>0</v>
      </c>
    </row>
    <row r="1132" spans="1:10" ht="14.25" customHeight="1">
      <c r="A1132" s="66" t="s">
        <v>2981</v>
      </c>
      <c r="B1132" s="66" t="s">
        <v>2796</v>
      </c>
      <c r="C1132" s="68">
        <v>0</v>
      </c>
      <c r="D1132" s="68">
        <v>0</v>
      </c>
      <c r="E1132" s="68">
        <v>148.81999999999994</v>
      </c>
      <c r="F1132" s="68">
        <v>0</v>
      </c>
      <c r="G1132" s="68">
        <v>1910.4699999999998</v>
      </c>
      <c r="H1132" s="68">
        <v>0</v>
      </c>
      <c r="I1132" s="68">
        <v>1910.4699999999998</v>
      </c>
      <c r="J1132" s="68">
        <v>0</v>
      </c>
    </row>
    <row r="1133" spans="1:10" ht="14.25" customHeight="1">
      <c r="A1133" s="66" t="s">
        <v>2982</v>
      </c>
      <c r="B1133" s="66" t="s">
        <v>2691</v>
      </c>
      <c r="C1133" s="68">
        <v>0</v>
      </c>
      <c r="D1133" s="68">
        <v>0</v>
      </c>
      <c r="E1133" s="68">
        <v>102.8599999999999</v>
      </c>
      <c r="F1133" s="68">
        <v>0</v>
      </c>
      <c r="G1133" s="68">
        <v>1655.51</v>
      </c>
      <c r="H1133" s="68">
        <v>0</v>
      </c>
      <c r="I1133" s="68">
        <v>1655.51</v>
      </c>
      <c r="J1133" s="68">
        <v>0</v>
      </c>
    </row>
    <row r="1134" spans="1:10" ht="14.25" customHeight="1">
      <c r="A1134" s="66" t="s">
        <v>2983</v>
      </c>
      <c r="B1134" s="66" t="s">
        <v>2724</v>
      </c>
      <c r="C1134" s="68">
        <v>0</v>
      </c>
      <c r="D1134" s="68">
        <v>0</v>
      </c>
      <c r="E1134" s="68">
        <v>219.51000000000022</v>
      </c>
      <c r="F1134" s="68">
        <v>0</v>
      </c>
      <c r="G1134" s="68">
        <v>2997.5800000000008</v>
      </c>
      <c r="H1134" s="68">
        <v>0</v>
      </c>
      <c r="I1134" s="68">
        <v>2997.5800000000008</v>
      </c>
      <c r="J1134" s="68">
        <v>0</v>
      </c>
    </row>
    <row r="1135" spans="1:10" ht="14.25" customHeight="1">
      <c r="A1135" s="66" t="s">
        <v>2984</v>
      </c>
      <c r="B1135" s="66" t="s">
        <v>2949</v>
      </c>
      <c r="C1135" s="68">
        <v>0</v>
      </c>
      <c r="D1135" s="68">
        <v>0</v>
      </c>
      <c r="E1135" s="68">
        <v>150638.35999999987</v>
      </c>
      <c r="F1135" s="68">
        <v>0</v>
      </c>
      <c r="G1135" s="68">
        <v>2216627.9099999997</v>
      </c>
      <c r="H1135" s="68">
        <v>0</v>
      </c>
      <c r="I1135" s="68">
        <v>2216627.9099999997</v>
      </c>
      <c r="J1135" s="68">
        <v>0</v>
      </c>
    </row>
    <row r="1136" spans="1:10" ht="14.25" customHeight="1">
      <c r="A1136" s="66" t="s">
        <v>2985</v>
      </c>
      <c r="B1136" s="66" t="s">
        <v>2796</v>
      </c>
      <c r="C1136" s="68">
        <v>0</v>
      </c>
      <c r="D1136" s="68">
        <v>0</v>
      </c>
      <c r="E1136" s="68">
        <v>116.38000000000011</v>
      </c>
      <c r="F1136" s="68">
        <v>0</v>
      </c>
      <c r="G1136" s="68">
        <v>1396.5600000000004</v>
      </c>
      <c r="H1136" s="68">
        <v>0</v>
      </c>
      <c r="I1136" s="68">
        <v>1396.5600000000004</v>
      </c>
      <c r="J1136" s="68">
        <v>0</v>
      </c>
    </row>
    <row r="1137" spans="1:10" ht="14.25" customHeight="1">
      <c r="A1137" s="66" t="s">
        <v>2986</v>
      </c>
      <c r="B1137" s="66" t="s">
        <v>2656</v>
      </c>
      <c r="C1137" s="68">
        <v>0</v>
      </c>
      <c r="D1137" s="68">
        <v>0</v>
      </c>
      <c r="E1137" s="68">
        <v>2921.0999999999985</v>
      </c>
      <c r="F1137" s="68">
        <v>0</v>
      </c>
      <c r="G1137" s="68">
        <v>36228.81</v>
      </c>
      <c r="H1137" s="68">
        <v>0</v>
      </c>
      <c r="I1137" s="68">
        <v>36228.81</v>
      </c>
      <c r="J1137" s="68">
        <v>0</v>
      </c>
    </row>
    <row r="1138" spans="1:10" ht="14.25" customHeight="1">
      <c r="A1138" s="66" t="s">
        <v>2987</v>
      </c>
      <c r="B1138" s="66" t="s">
        <v>2676</v>
      </c>
      <c r="C1138" s="68">
        <v>0</v>
      </c>
      <c r="D1138" s="68">
        <v>0</v>
      </c>
      <c r="E1138" s="68">
        <v>379.02000000000044</v>
      </c>
      <c r="F1138" s="68">
        <v>0</v>
      </c>
      <c r="G1138" s="68">
        <v>6665.92</v>
      </c>
      <c r="H1138" s="68">
        <v>0</v>
      </c>
      <c r="I1138" s="68">
        <v>6665.92</v>
      </c>
      <c r="J1138" s="68">
        <v>0</v>
      </c>
    </row>
    <row r="1139" spans="1:10" ht="14.25" customHeight="1">
      <c r="A1139" s="66" t="s">
        <v>2988</v>
      </c>
      <c r="B1139" s="66" t="s">
        <v>2678</v>
      </c>
      <c r="C1139" s="68">
        <v>0</v>
      </c>
      <c r="D1139" s="68">
        <v>0</v>
      </c>
      <c r="E1139" s="68">
        <v>5496.4100000000035</v>
      </c>
      <c r="F1139" s="68">
        <v>0</v>
      </c>
      <c r="G1139" s="68">
        <v>57839.97</v>
      </c>
      <c r="H1139" s="68">
        <v>0</v>
      </c>
      <c r="I1139" s="68">
        <v>57839.97</v>
      </c>
      <c r="J1139" s="68">
        <v>0</v>
      </c>
    </row>
    <row r="1140" spans="1:10" ht="14.25" customHeight="1">
      <c r="A1140" s="66" t="s">
        <v>2989</v>
      </c>
      <c r="B1140" s="66" t="s">
        <v>2680</v>
      </c>
      <c r="C1140" s="68">
        <v>0</v>
      </c>
      <c r="D1140" s="68">
        <v>0</v>
      </c>
      <c r="E1140" s="68">
        <v>15.029999999999973</v>
      </c>
      <c r="F1140" s="68">
        <v>0</v>
      </c>
      <c r="G1140" s="68">
        <v>1614.85</v>
      </c>
      <c r="H1140" s="68">
        <v>0</v>
      </c>
      <c r="I1140" s="68">
        <v>1614.85</v>
      </c>
      <c r="J1140" s="68">
        <v>0</v>
      </c>
    </row>
    <row r="1141" spans="1:10" ht="14.25" customHeight="1">
      <c r="A1141" s="66" t="s">
        <v>2990</v>
      </c>
      <c r="B1141" s="66" t="s">
        <v>2688</v>
      </c>
      <c r="C1141" s="68">
        <v>0</v>
      </c>
      <c r="D1141" s="68">
        <v>0</v>
      </c>
      <c r="E1141" s="68">
        <v>9511.7700000000041</v>
      </c>
      <c r="F1141" s="68">
        <v>0</v>
      </c>
      <c r="G1141" s="68">
        <v>62883.990000000005</v>
      </c>
      <c r="H1141" s="68">
        <v>0</v>
      </c>
      <c r="I1141" s="68">
        <v>62883.990000000005</v>
      </c>
      <c r="J1141" s="68">
        <v>0</v>
      </c>
    </row>
    <row r="1142" spans="1:10" ht="14.25" customHeight="1">
      <c r="A1142" s="66" t="s">
        <v>2991</v>
      </c>
      <c r="B1142" s="66" t="s">
        <v>2691</v>
      </c>
      <c r="C1142" s="68">
        <v>0</v>
      </c>
      <c r="D1142" s="68">
        <v>0</v>
      </c>
      <c r="E1142" s="68">
        <v>1212.21</v>
      </c>
      <c r="F1142" s="68">
        <v>0</v>
      </c>
      <c r="G1142" s="68">
        <v>6449.05</v>
      </c>
      <c r="H1142" s="68">
        <v>0</v>
      </c>
      <c r="I1142" s="68">
        <v>6449.05</v>
      </c>
      <c r="J1142" s="68">
        <v>0</v>
      </c>
    </row>
    <row r="1143" spans="1:10" ht="14.25" customHeight="1">
      <c r="A1143" s="66" t="s">
        <v>2992</v>
      </c>
      <c r="B1143" s="66" t="s">
        <v>2695</v>
      </c>
      <c r="C1143" s="68">
        <v>0</v>
      </c>
      <c r="D1143" s="68">
        <v>0</v>
      </c>
      <c r="E1143" s="68">
        <v>93.69</v>
      </c>
      <c r="F1143" s="68">
        <v>0</v>
      </c>
      <c r="G1143" s="68">
        <v>462.22999999999996</v>
      </c>
      <c r="H1143" s="68">
        <v>0</v>
      </c>
      <c r="I1143" s="68">
        <v>462.22999999999996</v>
      </c>
      <c r="J1143" s="68">
        <v>0</v>
      </c>
    </row>
    <row r="1144" spans="1:10" ht="14.25" customHeight="1">
      <c r="A1144" s="66" t="s">
        <v>2993</v>
      </c>
      <c r="B1144" s="66" t="s">
        <v>2700</v>
      </c>
      <c r="C1144" s="68">
        <v>0</v>
      </c>
      <c r="D1144" s="68">
        <v>0</v>
      </c>
      <c r="E1144" s="68">
        <v>39.009999999999991</v>
      </c>
      <c r="F1144" s="68">
        <v>0</v>
      </c>
      <c r="G1144" s="68">
        <v>1007.17</v>
      </c>
      <c r="H1144" s="68">
        <v>0</v>
      </c>
      <c r="I1144" s="68">
        <v>1007.17</v>
      </c>
      <c r="J1144" s="68">
        <v>0</v>
      </c>
    </row>
    <row r="1145" spans="1:10" ht="14.25" customHeight="1">
      <c r="A1145" s="66" t="s">
        <v>2994</v>
      </c>
      <c r="B1145" s="66" t="s">
        <v>2702</v>
      </c>
      <c r="C1145" s="68">
        <v>0</v>
      </c>
      <c r="D1145" s="68">
        <v>0</v>
      </c>
      <c r="E1145" s="68">
        <v>0</v>
      </c>
      <c r="F1145" s="68">
        <v>0</v>
      </c>
      <c r="G1145" s="68">
        <v>300</v>
      </c>
      <c r="H1145" s="68">
        <v>0</v>
      </c>
      <c r="I1145" s="68">
        <v>300</v>
      </c>
      <c r="J1145" s="68">
        <v>0</v>
      </c>
    </row>
    <row r="1146" spans="1:10" ht="14.25" customHeight="1">
      <c r="A1146" s="66" t="s">
        <v>2995</v>
      </c>
      <c r="B1146" s="66" t="s">
        <v>2708</v>
      </c>
      <c r="C1146" s="68">
        <v>0</v>
      </c>
      <c r="D1146" s="68">
        <v>0</v>
      </c>
      <c r="E1146" s="68">
        <v>197.90999999999985</v>
      </c>
      <c r="F1146" s="68">
        <v>0</v>
      </c>
      <c r="G1146" s="68">
        <v>1282.23</v>
      </c>
      <c r="H1146" s="68">
        <v>0</v>
      </c>
      <c r="I1146" s="68">
        <v>1282.23</v>
      </c>
      <c r="J1146" s="68">
        <v>0</v>
      </c>
    </row>
    <row r="1147" spans="1:10" ht="14.25" customHeight="1">
      <c r="A1147" s="66" t="s">
        <v>2996</v>
      </c>
      <c r="B1147" s="66" t="s">
        <v>2710</v>
      </c>
      <c r="C1147" s="68">
        <v>0</v>
      </c>
      <c r="D1147" s="68">
        <v>0</v>
      </c>
      <c r="E1147" s="68">
        <v>6412.8899999999994</v>
      </c>
      <c r="F1147" s="68">
        <v>0</v>
      </c>
      <c r="G1147" s="68">
        <v>29227.379999999997</v>
      </c>
      <c r="H1147" s="68">
        <v>0</v>
      </c>
      <c r="I1147" s="68">
        <v>29227.379999999997</v>
      </c>
      <c r="J1147" s="68">
        <v>0</v>
      </c>
    </row>
    <row r="1148" spans="1:10" ht="14.25" customHeight="1">
      <c r="A1148" s="66" t="s">
        <v>2997</v>
      </c>
      <c r="B1148" s="66" t="s">
        <v>2712</v>
      </c>
      <c r="C1148" s="68">
        <v>0</v>
      </c>
      <c r="D1148" s="68">
        <v>0</v>
      </c>
      <c r="E1148" s="68">
        <v>0</v>
      </c>
      <c r="F1148" s="68">
        <v>0</v>
      </c>
      <c r="G1148" s="68">
        <v>8.1300000000000008</v>
      </c>
      <c r="H1148" s="68">
        <v>0</v>
      </c>
      <c r="I1148" s="68">
        <v>8.1300000000000008</v>
      </c>
      <c r="J1148" s="68">
        <v>0</v>
      </c>
    </row>
    <row r="1149" spans="1:10" ht="14.25" customHeight="1">
      <c r="A1149" s="66" t="s">
        <v>2998</v>
      </c>
      <c r="B1149" s="66" t="s">
        <v>2722</v>
      </c>
      <c r="C1149" s="68">
        <v>0</v>
      </c>
      <c r="D1149" s="68">
        <v>0</v>
      </c>
      <c r="E1149" s="68">
        <v>2818</v>
      </c>
      <c r="F1149" s="68">
        <v>0</v>
      </c>
      <c r="G1149" s="68">
        <v>33305</v>
      </c>
      <c r="H1149" s="68">
        <v>0</v>
      </c>
      <c r="I1149" s="68">
        <v>33305</v>
      </c>
      <c r="J1149" s="68">
        <v>0</v>
      </c>
    </row>
    <row r="1150" spans="1:10" ht="14.25" customHeight="1">
      <c r="A1150" s="66" t="s">
        <v>2999</v>
      </c>
      <c r="B1150" s="66" t="s">
        <v>2724</v>
      </c>
      <c r="C1150" s="68">
        <v>0</v>
      </c>
      <c r="D1150" s="68">
        <v>0</v>
      </c>
      <c r="E1150" s="68">
        <v>668.59000000000015</v>
      </c>
      <c r="F1150" s="68">
        <v>0</v>
      </c>
      <c r="G1150" s="68">
        <v>7668.84</v>
      </c>
      <c r="H1150" s="68">
        <v>0</v>
      </c>
      <c r="I1150" s="68">
        <v>7668.84</v>
      </c>
      <c r="J1150" s="68">
        <v>0</v>
      </c>
    </row>
    <row r="1151" spans="1:10" ht="14.25" customHeight="1">
      <c r="A1151" s="66" t="s">
        <v>3000</v>
      </c>
      <c r="B1151" s="66" t="s">
        <v>2949</v>
      </c>
      <c r="C1151" s="68">
        <v>0</v>
      </c>
      <c r="D1151" s="68">
        <v>0</v>
      </c>
      <c r="E1151" s="68">
        <v>51200</v>
      </c>
      <c r="F1151" s="68">
        <v>0</v>
      </c>
      <c r="G1151" s="68">
        <v>614400</v>
      </c>
      <c r="H1151" s="68">
        <v>0</v>
      </c>
      <c r="I1151" s="68">
        <v>614400</v>
      </c>
      <c r="J1151" s="68">
        <v>0</v>
      </c>
    </row>
    <row r="1152" spans="1:10" ht="14.25" customHeight="1">
      <c r="A1152" s="66" t="s">
        <v>3001</v>
      </c>
      <c r="B1152" s="66" t="s">
        <v>29</v>
      </c>
      <c r="C1152" s="68">
        <v>0</v>
      </c>
      <c r="D1152" s="68">
        <v>0</v>
      </c>
      <c r="E1152" s="68">
        <v>28360.510000000009</v>
      </c>
      <c r="F1152" s="68">
        <v>0</v>
      </c>
      <c r="G1152" s="68">
        <v>248057.23000000004</v>
      </c>
      <c r="H1152" s="68">
        <v>0</v>
      </c>
      <c r="I1152" s="68">
        <v>248057.23000000004</v>
      </c>
      <c r="J1152" s="68">
        <v>0</v>
      </c>
    </row>
    <row r="1153" spans="1:10" ht="14.25" customHeight="1">
      <c r="A1153" s="66" t="s">
        <v>3002</v>
      </c>
      <c r="B1153" s="66" t="s">
        <v>2766</v>
      </c>
      <c r="C1153" s="68">
        <v>0</v>
      </c>
      <c r="D1153" s="68">
        <v>0</v>
      </c>
      <c r="E1153" s="68">
        <v>8267.93</v>
      </c>
      <c r="F1153" s="68">
        <v>0</v>
      </c>
      <c r="G1153" s="68">
        <v>58557.369999999995</v>
      </c>
      <c r="H1153" s="68">
        <v>0</v>
      </c>
      <c r="I1153" s="68">
        <v>58557.369999999995</v>
      </c>
      <c r="J1153" s="68">
        <v>0</v>
      </c>
    </row>
    <row r="1154" spans="1:10" ht="14.25" customHeight="1">
      <c r="A1154" s="66" t="s">
        <v>3003</v>
      </c>
      <c r="B1154" s="66" t="s">
        <v>2775</v>
      </c>
      <c r="C1154" s="68">
        <v>0</v>
      </c>
      <c r="D1154" s="68">
        <v>0</v>
      </c>
      <c r="E1154" s="68">
        <v>18</v>
      </c>
      <c r="F1154" s="68">
        <v>0</v>
      </c>
      <c r="G1154" s="68">
        <v>110.28</v>
      </c>
      <c r="H1154" s="68">
        <v>0</v>
      </c>
      <c r="I1154" s="68">
        <v>110.28</v>
      </c>
      <c r="J1154" s="68">
        <v>0</v>
      </c>
    </row>
    <row r="1155" spans="1:10" ht="14.25" customHeight="1">
      <c r="A1155" s="66" t="s">
        <v>3004</v>
      </c>
      <c r="B1155" s="66" t="s">
        <v>2780</v>
      </c>
      <c r="C1155" s="68">
        <v>0</v>
      </c>
      <c r="D1155" s="68">
        <v>0</v>
      </c>
      <c r="E1155" s="68">
        <v>272.74000000000024</v>
      </c>
      <c r="F1155" s="68">
        <v>0</v>
      </c>
      <c r="G1155" s="68">
        <v>3272</v>
      </c>
      <c r="H1155" s="68">
        <v>0</v>
      </c>
      <c r="I1155" s="68">
        <v>3272</v>
      </c>
      <c r="J1155" s="68">
        <v>0</v>
      </c>
    </row>
    <row r="1156" spans="1:10" ht="14.25" customHeight="1">
      <c r="A1156" s="66" t="s">
        <v>3005</v>
      </c>
      <c r="B1156" s="66" t="s">
        <v>2782</v>
      </c>
      <c r="C1156" s="68">
        <v>0</v>
      </c>
      <c r="D1156" s="68">
        <v>0</v>
      </c>
      <c r="E1156" s="68">
        <v>320.59999999999991</v>
      </c>
      <c r="F1156" s="68">
        <v>0</v>
      </c>
      <c r="G1156" s="68">
        <v>2155.7299999999996</v>
      </c>
      <c r="H1156" s="68">
        <v>0</v>
      </c>
      <c r="I1156" s="68">
        <v>2155.7299999999996</v>
      </c>
      <c r="J1156" s="68">
        <v>0</v>
      </c>
    </row>
    <row r="1157" spans="1:10" ht="14.25" customHeight="1">
      <c r="A1157" s="66" t="s">
        <v>3006</v>
      </c>
      <c r="B1157" s="66" t="s">
        <v>2798</v>
      </c>
      <c r="C1157" s="68">
        <v>0</v>
      </c>
      <c r="D1157" s="68">
        <v>0</v>
      </c>
      <c r="E1157" s="68">
        <v>642.90999999999985</v>
      </c>
      <c r="F1157" s="68">
        <v>0</v>
      </c>
      <c r="G1157" s="68">
        <v>5890.63</v>
      </c>
      <c r="H1157" s="68">
        <v>0</v>
      </c>
      <c r="I1157" s="68">
        <v>5890.63</v>
      </c>
      <c r="J1157" s="68">
        <v>0</v>
      </c>
    </row>
    <row r="1158" spans="1:10" ht="14.25" customHeight="1">
      <c r="A1158" s="66" t="s">
        <v>3007</v>
      </c>
      <c r="B1158" s="66" t="s">
        <v>2796</v>
      </c>
      <c r="C1158" s="68">
        <v>0</v>
      </c>
      <c r="D1158" s="68">
        <v>0</v>
      </c>
      <c r="E1158" s="68">
        <v>523.07000000000016</v>
      </c>
      <c r="F1158" s="68">
        <v>0</v>
      </c>
      <c r="G1158" s="68">
        <v>3728.36</v>
      </c>
      <c r="H1158" s="68">
        <v>0</v>
      </c>
      <c r="I1158" s="68">
        <v>3728.36</v>
      </c>
      <c r="J1158" s="68">
        <v>0</v>
      </c>
    </row>
    <row r="1159" spans="1:10" ht="14.25" customHeight="1">
      <c r="A1159" s="66" t="s">
        <v>3008</v>
      </c>
      <c r="B1159" s="66" t="s">
        <v>2656</v>
      </c>
      <c r="C1159" s="68">
        <v>0</v>
      </c>
      <c r="D1159" s="68">
        <v>0</v>
      </c>
      <c r="E1159" s="68">
        <v>1729.8799999999974</v>
      </c>
      <c r="F1159" s="68">
        <v>0</v>
      </c>
      <c r="G1159" s="68">
        <v>45184.38</v>
      </c>
      <c r="H1159" s="68">
        <v>0</v>
      </c>
      <c r="I1159" s="68">
        <v>45184.38</v>
      </c>
      <c r="J1159" s="68">
        <v>0</v>
      </c>
    </row>
    <row r="1160" spans="1:10" ht="14.25" customHeight="1">
      <c r="A1160" s="66" t="s">
        <v>3009</v>
      </c>
      <c r="B1160" s="66" t="s">
        <v>2676</v>
      </c>
      <c r="C1160" s="68">
        <v>0</v>
      </c>
      <c r="D1160" s="68">
        <v>0</v>
      </c>
      <c r="E1160" s="68">
        <v>238.3799999999992</v>
      </c>
      <c r="F1160" s="68">
        <v>0</v>
      </c>
      <c r="G1160" s="68">
        <v>8518.59</v>
      </c>
      <c r="H1160" s="68">
        <v>0</v>
      </c>
      <c r="I1160" s="68">
        <v>8518.59</v>
      </c>
      <c r="J1160" s="68">
        <v>0</v>
      </c>
    </row>
    <row r="1161" spans="1:10" ht="14.25" customHeight="1">
      <c r="A1161" s="66" t="s">
        <v>3010</v>
      </c>
      <c r="B1161" s="66" t="s">
        <v>2678</v>
      </c>
      <c r="C1161" s="68">
        <v>0</v>
      </c>
      <c r="D1161" s="68">
        <v>0</v>
      </c>
      <c r="E1161" s="68">
        <v>7665.3800000000047</v>
      </c>
      <c r="F1161" s="68">
        <v>0</v>
      </c>
      <c r="G1161" s="68">
        <v>94100.97</v>
      </c>
      <c r="H1161" s="68">
        <v>0</v>
      </c>
      <c r="I1161" s="68">
        <v>94100.97</v>
      </c>
      <c r="J1161" s="68">
        <v>0</v>
      </c>
    </row>
    <row r="1162" spans="1:10" ht="14.25" customHeight="1">
      <c r="A1162" s="66" t="s">
        <v>3011</v>
      </c>
      <c r="B1162" s="66" t="s">
        <v>2680</v>
      </c>
      <c r="C1162" s="68">
        <v>0</v>
      </c>
      <c r="D1162" s="68">
        <v>0</v>
      </c>
      <c r="E1162" s="68">
        <v>273.14999999999964</v>
      </c>
      <c r="F1162" s="68">
        <v>0</v>
      </c>
      <c r="G1162" s="68">
        <v>4587.12</v>
      </c>
      <c r="H1162" s="68">
        <v>0</v>
      </c>
      <c r="I1162" s="68">
        <v>4587.12</v>
      </c>
      <c r="J1162" s="68">
        <v>0</v>
      </c>
    </row>
    <row r="1163" spans="1:10" ht="14.25" customHeight="1">
      <c r="A1163" s="66" t="s">
        <v>3012</v>
      </c>
      <c r="B1163" s="66" t="s">
        <v>2688</v>
      </c>
      <c r="C1163" s="68">
        <v>0</v>
      </c>
      <c r="D1163" s="68">
        <v>0</v>
      </c>
      <c r="E1163" s="68">
        <v>2422.3700000000026</v>
      </c>
      <c r="F1163" s="68">
        <v>0</v>
      </c>
      <c r="G1163" s="68">
        <v>57464.93</v>
      </c>
      <c r="H1163" s="68">
        <v>0</v>
      </c>
      <c r="I1163" s="68">
        <v>57464.93</v>
      </c>
      <c r="J1163" s="68">
        <v>0</v>
      </c>
    </row>
    <row r="1164" spans="1:10" ht="14.25" customHeight="1">
      <c r="A1164" s="66" t="s">
        <v>3013</v>
      </c>
      <c r="B1164" s="66" t="s">
        <v>2700</v>
      </c>
      <c r="C1164" s="68">
        <v>0</v>
      </c>
      <c r="D1164" s="68">
        <v>0</v>
      </c>
      <c r="E1164" s="68">
        <v>108.05999999999995</v>
      </c>
      <c r="F1164" s="68">
        <v>0</v>
      </c>
      <c r="G1164" s="68">
        <v>1918.39</v>
      </c>
      <c r="H1164" s="68">
        <v>0</v>
      </c>
      <c r="I1164" s="68">
        <v>1918.39</v>
      </c>
      <c r="J1164" s="68">
        <v>0</v>
      </c>
    </row>
    <row r="1165" spans="1:10" ht="14.25" customHeight="1">
      <c r="A1165" s="66" t="s">
        <v>3014</v>
      </c>
      <c r="B1165" s="66" t="s">
        <v>2708</v>
      </c>
      <c r="C1165" s="68">
        <v>0</v>
      </c>
      <c r="D1165" s="68">
        <v>0</v>
      </c>
      <c r="E1165" s="68">
        <v>114.81999999999994</v>
      </c>
      <c r="F1165" s="68">
        <v>0</v>
      </c>
      <c r="G1165" s="68">
        <v>1657.3200000000002</v>
      </c>
      <c r="H1165" s="68">
        <v>0</v>
      </c>
      <c r="I1165" s="68">
        <v>1657.3200000000002</v>
      </c>
      <c r="J1165" s="68">
        <v>0</v>
      </c>
    </row>
    <row r="1166" spans="1:10" ht="14.25" customHeight="1">
      <c r="A1166" s="66" t="s">
        <v>3015</v>
      </c>
      <c r="B1166" s="66" t="s">
        <v>2710</v>
      </c>
      <c r="C1166" s="68">
        <v>0</v>
      </c>
      <c r="D1166" s="68">
        <v>0</v>
      </c>
      <c r="E1166" s="68">
        <v>1455.6800000000003</v>
      </c>
      <c r="F1166" s="68">
        <v>0</v>
      </c>
      <c r="G1166" s="68">
        <v>37928.81</v>
      </c>
      <c r="H1166" s="68">
        <v>0</v>
      </c>
      <c r="I1166" s="68">
        <v>37928.81</v>
      </c>
      <c r="J1166" s="68">
        <v>0</v>
      </c>
    </row>
    <row r="1167" spans="1:10" ht="14.25" customHeight="1">
      <c r="A1167" s="66" t="s">
        <v>3016</v>
      </c>
      <c r="B1167" s="66" t="s">
        <v>2724</v>
      </c>
      <c r="C1167" s="68">
        <v>0</v>
      </c>
      <c r="D1167" s="68">
        <v>0</v>
      </c>
      <c r="E1167" s="68">
        <v>1114</v>
      </c>
      <c r="F1167" s="68">
        <v>0</v>
      </c>
      <c r="G1167" s="68">
        <v>9535.9599999999991</v>
      </c>
      <c r="H1167" s="68">
        <v>0</v>
      </c>
      <c r="I1167" s="68">
        <v>9535.9599999999991</v>
      </c>
      <c r="J1167" s="68">
        <v>0</v>
      </c>
    </row>
    <row r="1168" spans="1:10" ht="14.25" customHeight="1">
      <c r="A1168" s="66" t="s">
        <v>3017</v>
      </c>
      <c r="B1168" s="66" t="s">
        <v>29</v>
      </c>
      <c r="C1168" s="68">
        <v>0</v>
      </c>
      <c r="D1168" s="68">
        <v>0</v>
      </c>
      <c r="E1168" s="68">
        <v>41179.929999999993</v>
      </c>
      <c r="F1168" s="68">
        <v>0</v>
      </c>
      <c r="G1168" s="68">
        <v>431036.45999999996</v>
      </c>
      <c r="H1168" s="68">
        <v>0</v>
      </c>
      <c r="I1168" s="68">
        <v>431036.45999999996</v>
      </c>
      <c r="J1168" s="68">
        <v>0</v>
      </c>
    </row>
    <row r="1169" spans="1:10" ht="14.25" customHeight="1">
      <c r="A1169" s="66" t="s">
        <v>3018</v>
      </c>
      <c r="B1169" s="66" t="s">
        <v>2766</v>
      </c>
      <c r="C1169" s="68">
        <v>0</v>
      </c>
      <c r="D1169" s="68">
        <v>0</v>
      </c>
      <c r="E1169" s="68">
        <v>12005.160000000003</v>
      </c>
      <c r="F1169" s="68">
        <v>0</v>
      </c>
      <c r="G1169" s="68">
        <v>101334.12</v>
      </c>
      <c r="H1169" s="68">
        <v>0</v>
      </c>
      <c r="I1169" s="68">
        <v>101334.12</v>
      </c>
      <c r="J1169" s="68">
        <v>0</v>
      </c>
    </row>
    <row r="1170" spans="1:10" ht="14.25" customHeight="1">
      <c r="A1170" s="66" t="s">
        <v>3019</v>
      </c>
      <c r="B1170" s="66" t="s">
        <v>2782</v>
      </c>
      <c r="C1170" s="68">
        <v>0</v>
      </c>
      <c r="D1170" s="68">
        <v>0</v>
      </c>
      <c r="E1170" s="68">
        <v>109.42000000000007</v>
      </c>
      <c r="F1170" s="68">
        <v>0</v>
      </c>
      <c r="G1170" s="68">
        <v>2666.43</v>
      </c>
      <c r="H1170" s="68">
        <v>0</v>
      </c>
      <c r="I1170" s="68">
        <v>2666.43</v>
      </c>
      <c r="J1170" s="68">
        <v>0</v>
      </c>
    </row>
    <row r="1171" spans="1:10" ht="14.25" customHeight="1">
      <c r="A1171" s="66" t="s">
        <v>3020</v>
      </c>
      <c r="B1171" s="66" t="s">
        <v>2798</v>
      </c>
      <c r="C1171" s="68">
        <v>0</v>
      </c>
      <c r="D1171" s="68">
        <v>0</v>
      </c>
      <c r="E1171" s="68">
        <v>633.09000000000015</v>
      </c>
      <c r="F1171" s="68">
        <v>0</v>
      </c>
      <c r="G1171" s="68">
        <v>9981.6600000000017</v>
      </c>
      <c r="H1171" s="68">
        <v>0</v>
      </c>
      <c r="I1171" s="68">
        <v>9981.6600000000017</v>
      </c>
      <c r="J1171" s="68">
        <v>0</v>
      </c>
    </row>
    <row r="1172" spans="1:10" ht="14.25" customHeight="1">
      <c r="A1172" s="66" t="s">
        <v>3021</v>
      </c>
      <c r="B1172" s="66" t="s">
        <v>2796</v>
      </c>
      <c r="C1172" s="68">
        <v>0</v>
      </c>
      <c r="D1172" s="68">
        <v>0</v>
      </c>
      <c r="E1172" s="68">
        <v>531.94000000000051</v>
      </c>
      <c r="F1172" s="68">
        <v>0</v>
      </c>
      <c r="G1172" s="68">
        <v>7512.2100000000028</v>
      </c>
      <c r="H1172" s="68">
        <v>0</v>
      </c>
      <c r="I1172" s="68">
        <v>7512.2100000000028</v>
      </c>
      <c r="J1172" s="68">
        <v>0</v>
      </c>
    </row>
    <row r="1173" spans="1:10" ht="14.25" customHeight="1">
      <c r="A1173" s="66" t="s">
        <v>3022</v>
      </c>
      <c r="B1173" s="66" t="s">
        <v>2656</v>
      </c>
      <c r="C1173" s="68">
        <v>0</v>
      </c>
      <c r="D1173" s="68">
        <v>0</v>
      </c>
      <c r="E1173" s="68">
        <v>1249.4300000000003</v>
      </c>
      <c r="F1173" s="68">
        <v>0</v>
      </c>
      <c r="G1173" s="68">
        <v>36951.560000000005</v>
      </c>
      <c r="H1173" s="68">
        <v>0</v>
      </c>
      <c r="I1173" s="68">
        <v>36951.560000000005</v>
      </c>
      <c r="J1173" s="68">
        <v>0</v>
      </c>
    </row>
    <row r="1174" spans="1:10" ht="14.25" customHeight="1">
      <c r="A1174" s="66" t="s">
        <v>3023</v>
      </c>
      <c r="B1174" s="66" t="s">
        <v>2676</v>
      </c>
      <c r="C1174" s="68">
        <v>0</v>
      </c>
      <c r="D1174" s="68">
        <v>0</v>
      </c>
      <c r="E1174" s="68">
        <v>0</v>
      </c>
      <c r="F1174" s="68">
        <v>0</v>
      </c>
      <c r="G1174" s="68">
        <v>5969.380000000001</v>
      </c>
      <c r="H1174" s="68">
        <v>0</v>
      </c>
      <c r="I1174" s="68">
        <v>5969.380000000001</v>
      </c>
      <c r="J1174" s="68">
        <v>0</v>
      </c>
    </row>
    <row r="1175" spans="1:10" ht="14.25" customHeight="1">
      <c r="A1175" s="66" t="s">
        <v>3024</v>
      </c>
      <c r="B1175" s="66" t="s">
        <v>2678</v>
      </c>
      <c r="C1175" s="68">
        <v>0</v>
      </c>
      <c r="D1175" s="68">
        <v>0</v>
      </c>
      <c r="E1175" s="68">
        <v>4907.1200000000026</v>
      </c>
      <c r="F1175" s="68">
        <v>0</v>
      </c>
      <c r="G1175" s="68">
        <v>58269.82</v>
      </c>
      <c r="H1175" s="68">
        <v>0</v>
      </c>
      <c r="I1175" s="68">
        <v>58269.82</v>
      </c>
      <c r="J1175" s="68">
        <v>0</v>
      </c>
    </row>
    <row r="1176" spans="1:10" ht="14.25" customHeight="1">
      <c r="A1176" s="66" t="s">
        <v>3025</v>
      </c>
      <c r="B1176" s="66" t="s">
        <v>2680</v>
      </c>
      <c r="C1176" s="68">
        <v>0</v>
      </c>
      <c r="D1176" s="68">
        <v>0</v>
      </c>
      <c r="E1176" s="68">
        <v>15.800000000000182</v>
      </c>
      <c r="F1176" s="68">
        <v>0</v>
      </c>
      <c r="G1176" s="68">
        <v>3056.0400000000009</v>
      </c>
      <c r="H1176" s="68">
        <v>0</v>
      </c>
      <c r="I1176" s="68">
        <v>3056.0400000000009</v>
      </c>
      <c r="J1176" s="68">
        <v>0</v>
      </c>
    </row>
    <row r="1177" spans="1:10" ht="14.25" customHeight="1">
      <c r="A1177" s="66" t="s">
        <v>3026</v>
      </c>
      <c r="B1177" s="66" t="s">
        <v>2688</v>
      </c>
      <c r="C1177" s="68">
        <v>0</v>
      </c>
      <c r="D1177" s="68">
        <v>0</v>
      </c>
      <c r="E1177" s="68">
        <v>1268.3799999999974</v>
      </c>
      <c r="F1177" s="68">
        <v>0</v>
      </c>
      <c r="G1177" s="68">
        <v>33447.659999999996</v>
      </c>
      <c r="H1177" s="68">
        <v>0</v>
      </c>
      <c r="I1177" s="68">
        <v>33447.659999999996</v>
      </c>
      <c r="J1177" s="68">
        <v>0</v>
      </c>
    </row>
    <row r="1178" spans="1:10" ht="14.25" customHeight="1">
      <c r="A1178" s="66" t="s">
        <v>3027</v>
      </c>
      <c r="B1178" s="66" t="s">
        <v>2691</v>
      </c>
      <c r="C1178" s="68">
        <v>0</v>
      </c>
      <c r="D1178" s="68">
        <v>0</v>
      </c>
      <c r="E1178" s="68">
        <v>435.53999999999996</v>
      </c>
      <c r="F1178" s="68">
        <v>0</v>
      </c>
      <c r="G1178" s="68">
        <v>2714</v>
      </c>
      <c r="H1178" s="68">
        <v>0</v>
      </c>
      <c r="I1178" s="68">
        <v>2714</v>
      </c>
      <c r="J1178" s="68">
        <v>0</v>
      </c>
    </row>
    <row r="1179" spans="1:10" ht="14.25" customHeight="1">
      <c r="A1179" s="66" t="s">
        <v>3028</v>
      </c>
      <c r="B1179" s="66" t="s">
        <v>2700</v>
      </c>
      <c r="C1179" s="68">
        <v>0</v>
      </c>
      <c r="D1179" s="68">
        <v>0</v>
      </c>
      <c r="E1179" s="68">
        <v>23.029999999999973</v>
      </c>
      <c r="F1179" s="68">
        <v>0</v>
      </c>
      <c r="G1179" s="68">
        <v>1715.8200000000002</v>
      </c>
      <c r="H1179" s="68">
        <v>0</v>
      </c>
      <c r="I1179" s="68">
        <v>1715.8200000000002</v>
      </c>
      <c r="J1179" s="68">
        <v>0</v>
      </c>
    </row>
    <row r="1180" spans="1:10" ht="14.25" customHeight="1">
      <c r="A1180" s="66" t="s">
        <v>3029</v>
      </c>
      <c r="B1180" s="66" t="s">
        <v>2708</v>
      </c>
      <c r="C1180" s="68">
        <v>0</v>
      </c>
      <c r="D1180" s="68">
        <v>0</v>
      </c>
      <c r="E1180" s="68">
        <v>152.66000000000008</v>
      </c>
      <c r="F1180" s="68">
        <v>0</v>
      </c>
      <c r="G1180" s="68">
        <v>1714.98</v>
      </c>
      <c r="H1180" s="68">
        <v>0</v>
      </c>
      <c r="I1180" s="68">
        <v>1714.98</v>
      </c>
      <c r="J1180" s="68">
        <v>0</v>
      </c>
    </row>
    <row r="1181" spans="1:10" ht="14.25" customHeight="1">
      <c r="A1181" s="66" t="s">
        <v>3030</v>
      </c>
      <c r="B1181" s="66" t="s">
        <v>2710</v>
      </c>
      <c r="C1181" s="68">
        <v>0</v>
      </c>
      <c r="D1181" s="68">
        <v>0</v>
      </c>
      <c r="E1181" s="68">
        <v>985.52999999999884</v>
      </c>
      <c r="F1181" s="68">
        <v>0</v>
      </c>
      <c r="G1181" s="68">
        <v>35536.949999999997</v>
      </c>
      <c r="H1181" s="68">
        <v>0</v>
      </c>
      <c r="I1181" s="68">
        <v>35536.949999999997</v>
      </c>
      <c r="J1181" s="68">
        <v>0</v>
      </c>
    </row>
    <row r="1182" spans="1:10" ht="14.25" customHeight="1">
      <c r="A1182" s="66" t="s">
        <v>3031</v>
      </c>
      <c r="B1182" s="66" t="s">
        <v>2712</v>
      </c>
      <c r="C1182" s="68">
        <v>0</v>
      </c>
      <c r="D1182" s="68">
        <v>0</v>
      </c>
      <c r="E1182" s="68">
        <v>0</v>
      </c>
      <c r="F1182" s="68">
        <v>0</v>
      </c>
      <c r="G1182" s="68">
        <v>358.13</v>
      </c>
      <c r="H1182" s="68">
        <v>0</v>
      </c>
      <c r="I1182" s="68">
        <v>358.13</v>
      </c>
      <c r="J1182" s="68">
        <v>0</v>
      </c>
    </row>
    <row r="1183" spans="1:10" ht="14.25" customHeight="1">
      <c r="A1183" s="66" t="s">
        <v>3032</v>
      </c>
      <c r="B1183" s="66" t="s">
        <v>2722</v>
      </c>
      <c r="C1183" s="68">
        <v>0</v>
      </c>
      <c r="D1183" s="68">
        <v>0</v>
      </c>
      <c r="E1183" s="68">
        <v>642.81999999999971</v>
      </c>
      <c r="F1183" s="68">
        <v>0</v>
      </c>
      <c r="G1183" s="68">
        <v>9172.2599999999984</v>
      </c>
      <c r="H1183" s="68">
        <v>0</v>
      </c>
      <c r="I1183" s="68">
        <v>9172.2599999999984</v>
      </c>
      <c r="J1183" s="68">
        <v>0</v>
      </c>
    </row>
    <row r="1184" spans="1:10" ht="14.25" customHeight="1">
      <c r="A1184" s="66" t="s">
        <v>3033</v>
      </c>
      <c r="B1184" s="66" t="s">
        <v>2724</v>
      </c>
      <c r="C1184" s="68">
        <v>0</v>
      </c>
      <c r="D1184" s="68">
        <v>0</v>
      </c>
      <c r="E1184" s="68">
        <v>791.54999999999927</v>
      </c>
      <c r="F1184" s="68">
        <v>0</v>
      </c>
      <c r="G1184" s="68">
        <v>9937.16</v>
      </c>
      <c r="H1184" s="68">
        <v>0</v>
      </c>
      <c r="I1184" s="68">
        <v>9937.16</v>
      </c>
      <c r="J1184" s="68">
        <v>0</v>
      </c>
    </row>
    <row r="1185" spans="1:10" ht="14.25" customHeight="1">
      <c r="A1185" s="66" t="s">
        <v>3034</v>
      </c>
      <c r="B1185" s="66" t="s">
        <v>2949</v>
      </c>
      <c r="C1185" s="68">
        <v>0</v>
      </c>
      <c r="D1185" s="68">
        <v>0</v>
      </c>
      <c r="E1185" s="68">
        <v>25668</v>
      </c>
      <c r="F1185" s="68">
        <v>0</v>
      </c>
      <c r="G1185" s="68">
        <v>233556</v>
      </c>
      <c r="H1185" s="68">
        <v>0</v>
      </c>
      <c r="I1185" s="68">
        <v>233556</v>
      </c>
      <c r="J1185" s="68">
        <v>0</v>
      </c>
    </row>
    <row r="1186" spans="1:10" ht="14.25" customHeight="1">
      <c r="A1186" s="66" t="s">
        <v>3035</v>
      </c>
      <c r="B1186" s="66" t="s">
        <v>29</v>
      </c>
      <c r="C1186" s="68">
        <v>0</v>
      </c>
      <c r="D1186" s="68">
        <v>0</v>
      </c>
      <c r="E1186" s="68">
        <v>29228.280000000028</v>
      </c>
      <c r="F1186" s="68">
        <v>0</v>
      </c>
      <c r="G1186" s="68">
        <v>303972.40000000002</v>
      </c>
      <c r="H1186" s="68">
        <v>0</v>
      </c>
      <c r="I1186" s="68">
        <v>303972.40000000002</v>
      </c>
      <c r="J1186" s="68">
        <v>0</v>
      </c>
    </row>
    <row r="1187" spans="1:10" ht="14.25" customHeight="1">
      <c r="A1187" s="66" t="s">
        <v>3036</v>
      </c>
      <c r="B1187" s="66" t="s">
        <v>2766</v>
      </c>
      <c r="C1187" s="68">
        <v>0</v>
      </c>
      <c r="D1187" s="68">
        <v>0</v>
      </c>
      <c r="E1187" s="68">
        <v>8520.9100000000035</v>
      </c>
      <c r="F1187" s="68">
        <v>0</v>
      </c>
      <c r="G1187" s="68">
        <v>70789.98</v>
      </c>
      <c r="H1187" s="68">
        <v>0</v>
      </c>
      <c r="I1187" s="68">
        <v>70789.98</v>
      </c>
      <c r="J1187" s="68">
        <v>0</v>
      </c>
    </row>
    <row r="1188" spans="1:10" ht="14.25" customHeight="1">
      <c r="A1188" s="66" t="s">
        <v>3037</v>
      </c>
      <c r="B1188" s="66" t="s">
        <v>2775</v>
      </c>
      <c r="C1188" s="68">
        <v>0</v>
      </c>
      <c r="D1188" s="68">
        <v>0</v>
      </c>
      <c r="E1188" s="68">
        <v>27</v>
      </c>
      <c r="F1188" s="68">
        <v>0</v>
      </c>
      <c r="G1188" s="68">
        <v>132.28</v>
      </c>
      <c r="H1188" s="68">
        <v>0</v>
      </c>
      <c r="I1188" s="68">
        <v>132.28</v>
      </c>
      <c r="J1188" s="68">
        <v>0</v>
      </c>
    </row>
    <row r="1189" spans="1:10" ht="14.25" customHeight="1">
      <c r="A1189" s="66" t="s">
        <v>3038</v>
      </c>
      <c r="B1189" s="66" t="s">
        <v>2782</v>
      </c>
      <c r="C1189" s="68">
        <v>0</v>
      </c>
      <c r="D1189" s="68">
        <v>0</v>
      </c>
      <c r="E1189" s="68">
        <v>174.82000000000016</v>
      </c>
      <c r="F1189" s="68">
        <v>0</v>
      </c>
      <c r="G1189" s="68">
        <v>2862.54</v>
      </c>
      <c r="H1189" s="68">
        <v>0</v>
      </c>
      <c r="I1189" s="68">
        <v>2862.54</v>
      </c>
      <c r="J1189" s="68">
        <v>0</v>
      </c>
    </row>
    <row r="1190" spans="1:10" ht="14.25" customHeight="1">
      <c r="A1190" s="66" t="s">
        <v>3039</v>
      </c>
      <c r="B1190" s="66" t="s">
        <v>2390</v>
      </c>
      <c r="C1190" s="68">
        <v>0</v>
      </c>
      <c r="D1190" s="68">
        <v>0</v>
      </c>
      <c r="E1190" s="68">
        <v>0</v>
      </c>
      <c r="F1190" s="68">
        <v>0</v>
      </c>
      <c r="G1190" s="68">
        <v>196</v>
      </c>
      <c r="H1190" s="68">
        <v>0</v>
      </c>
      <c r="I1190" s="68">
        <v>196</v>
      </c>
      <c r="J1190" s="68">
        <v>0</v>
      </c>
    </row>
    <row r="1191" spans="1:10" ht="14.25" customHeight="1">
      <c r="A1191" s="66" t="s">
        <v>3040</v>
      </c>
      <c r="B1191" s="66" t="s">
        <v>2798</v>
      </c>
      <c r="C1191" s="68">
        <v>0</v>
      </c>
      <c r="D1191" s="68">
        <v>0</v>
      </c>
      <c r="E1191" s="68">
        <v>447.64999999999964</v>
      </c>
      <c r="F1191" s="68">
        <v>0</v>
      </c>
      <c r="G1191" s="68">
        <v>7715.73</v>
      </c>
      <c r="H1191" s="68">
        <v>0</v>
      </c>
      <c r="I1191" s="68">
        <v>7715.73</v>
      </c>
      <c r="J1191" s="68">
        <v>0</v>
      </c>
    </row>
    <row r="1192" spans="1:10" ht="14.25" customHeight="1">
      <c r="A1192" s="66" t="s">
        <v>3041</v>
      </c>
      <c r="B1192" s="66" t="s">
        <v>2802</v>
      </c>
      <c r="C1192" s="68">
        <v>0</v>
      </c>
      <c r="D1192" s="68">
        <v>0</v>
      </c>
      <c r="E1192" s="68">
        <v>0</v>
      </c>
      <c r="F1192" s="68">
        <v>0</v>
      </c>
      <c r="G1192" s="68">
        <v>600</v>
      </c>
      <c r="H1192" s="68">
        <v>0</v>
      </c>
      <c r="I1192" s="68">
        <v>600</v>
      </c>
      <c r="J1192" s="68">
        <v>0</v>
      </c>
    </row>
    <row r="1193" spans="1:10" ht="14.25" customHeight="1">
      <c r="A1193" s="66" t="s">
        <v>3042</v>
      </c>
      <c r="B1193" s="66" t="s">
        <v>2796</v>
      </c>
      <c r="C1193" s="68">
        <v>0</v>
      </c>
      <c r="D1193" s="68">
        <v>0</v>
      </c>
      <c r="E1193" s="68">
        <v>298.82999999999993</v>
      </c>
      <c r="F1193" s="68">
        <v>0</v>
      </c>
      <c r="G1193" s="68">
        <v>4532.92</v>
      </c>
      <c r="H1193" s="68">
        <v>0</v>
      </c>
      <c r="I1193" s="68">
        <v>4532.92</v>
      </c>
      <c r="J1193" s="68">
        <v>0</v>
      </c>
    </row>
    <row r="1194" spans="1:10" ht="14.25" customHeight="1">
      <c r="A1194" s="66" t="s">
        <v>3043</v>
      </c>
      <c r="B1194" s="66" t="s">
        <v>2656</v>
      </c>
      <c r="C1194" s="68">
        <v>0</v>
      </c>
      <c r="D1194" s="68">
        <v>0</v>
      </c>
      <c r="E1194" s="68">
        <v>1900.2099999999991</v>
      </c>
      <c r="F1194" s="68">
        <v>0</v>
      </c>
      <c r="G1194" s="68">
        <v>47798.619999999988</v>
      </c>
      <c r="H1194" s="68">
        <v>0</v>
      </c>
      <c r="I1194" s="68">
        <v>47798.619999999988</v>
      </c>
      <c r="J1194" s="68">
        <v>0</v>
      </c>
    </row>
    <row r="1195" spans="1:10" ht="14.25" customHeight="1">
      <c r="A1195" s="66" t="s">
        <v>3044</v>
      </c>
      <c r="B1195" s="66" t="s">
        <v>2676</v>
      </c>
      <c r="C1195" s="68">
        <v>0</v>
      </c>
      <c r="D1195" s="68">
        <v>0</v>
      </c>
      <c r="E1195" s="68">
        <v>0</v>
      </c>
      <c r="F1195" s="68">
        <v>0</v>
      </c>
      <c r="G1195" s="68">
        <v>2365.3000000000002</v>
      </c>
      <c r="H1195" s="68">
        <v>0</v>
      </c>
      <c r="I1195" s="68">
        <v>2365.3000000000002</v>
      </c>
      <c r="J1195" s="68">
        <v>0</v>
      </c>
    </row>
    <row r="1196" spans="1:10" ht="14.25" customHeight="1">
      <c r="A1196" s="66" t="s">
        <v>3045</v>
      </c>
      <c r="B1196" s="66" t="s">
        <v>2678</v>
      </c>
      <c r="C1196" s="68">
        <v>0</v>
      </c>
      <c r="D1196" s="68">
        <v>0</v>
      </c>
      <c r="E1196" s="68">
        <v>4931.3899999999994</v>
      </c>
      <c r="F1196" s="68">
        <v>0</v>
      </c>
      <c r="G1196" s="68">
        <v>50440.790000000008</v>
      </c>
      <c r="H1196" s="68">
        <v>0</v>
      </c>
      <c r="I1196" s="68">
        <v>50440.790000000008</v>
      </c>
      <c r="J1196" s="68">
        <v>0</v>
      </c>
    </row>
    <row r="1197" spans="1:10" ht="14.25" customHeight="1">
      <c r="A1197" s="66" t="s">
        <v>3046</v>
      </c>
      <c r="B1197" s="66" t="s">
        <v>2680</v>
      </c>
      <c r="C1197" s="68">
        <v>0</v>
      </c>
      <c r="D1197" s="68">
        <v>0</v>
      </c>
      <c r="E1197" s="68">
        <v>111.88999999999987</v>
      </c>
      <c r="F1197" s="68">
        <v>0</v>
      </c>
      <c r="G1197" s="68">
        <v>3484.2299999999996</v>
      </c>
      <c r="H1197" s="68">
        <v>0</v>
      </c>
      <c r="I1197" s="68">
        <v>3484.2299999999996</v>
      </c>
      <c r="J1197" s="68">
        <v>0</v>
      </c>
    </row>
    <row r="1198" spans="1:10" ht="14.25" customHeight="1">
      <c r="A1198" s="66" t="s">
        <v>3047</v>
      </c>
      <c r="B1198" s="66" t="s">
        <v>2688</v>
      </c>
      <c r="C1198" s="68">
        <v>0</v>
      </c>
      <c r="D1198" s="68">
        <v>0</v>
      </c>
      <c r="E1198" s="68">
        <v>67953.219999999972</v>
      </c>
      <c r="F1198" s="68">
        <v>0</v>
      </c>
      <c r="G1198" s="68">
        <v>124907.38999999998</v>
      </c>
      <c r="H1198" s="68">
        <v>0</v>
      </c>
      <c r="I1198" s="68">
        <v>124907.38999999998</v>
      </c>
      <c r="J1198" s="68">
        <v>0</v>
      </c>
    </row>
    <row r="1199" spans="1:10" ht="14.25" customHeight="1">
      <c r="A1199" s="66" t="s">
        <v>3048</v>
      </c>
      <c r="B1199" s="66" t="s">
        <v>2700</v>
      </c>
      <c r="C1199" s="68">
        <v>0</v>
      </c>
      <c r="D1199" s="68">
        <v>0</v>
      </c>
      <c r="E1199" s="68">
        <v>0</v>
      </c>
      <c r="F1199" s="68">
        <v>0</v>
      </c>
      <c r="G1199" s="68">
        <v>124.9</v>
      </c>
      <c r="H1199" s="68">
        <v>0</v>
      </c>
      <c r="I1199" s="68">
        <v>124.9</v>
      </c>
      <c r="J1199" s="68">
        <v>0</v>
      </c>
    </row>
    <row r="1200" spans="1:10" ht="14.25" customHeight="1">
      <c r="A1200" s="66" t="s">
        <v>3049</v>
      </c>
      <c r="B1200" s="66" t="s">
        <v>2708</v>
      </c>
      <c r="C1200" s="68">
        <v>0</v>
      </c>
      <c r="D1200" s="68">
        <v>0</v>
      </c>
      <c r="E1200" s="68">
        <v>215.76999999999998</v>
      </c>
      <c r="F1200" s="68">
        <v>0</v>
      </c>
      <c r="G1200" s="68">
        <v>1848.6399999999996</v>
      </c>
      <c r="H1200" s="68">
        <v>0</v>
      </c>
      <c r="I1200" s="68">
        <v>1848.6399999999996</v>
      </c>
      <c r="J1200" s="68">
        <v>0</v>
      </c>
    </row>
    <row r="1201" spans="1:10" ht="14.25" customHeight="1">
      <c r="A1201" s="66" t="s">
        <v>3050</v>
      </c>
      <c r="B1201" s="66" t="s">
        <v>2710</v>
      </c>
      <c r="C1201" s="68">
        <v>0</v>
      </c>
      <c r="D1201" s="68">
        <v>0</v>
      </c>
      <c r="E1201" s="68">
        <v>8740.4400000000023</v>
      </c>
      <c r="F1201" s="68">
        <v>0</v>
      </c>
      <c r="G1201" s="68">
        <v>47660.05</v>
      </c>
      <c r="H1201" s="68">
        <v>0</v>
      </c>
      <c r="I1201" s="68">
        <v>47660.05</v>
      </c>
      <c r="J1201" s="68">
        <v>0</v>
      </c>
    </row>
    <row r="1202" spans="1:10" ht="14.25" customHeight="1">
      <c r="A1202" s="66" t="s">
        <v>3051</v>
      </c>
      <c r="B1202" s="66" t="s">
        <v>2712</v>
      </c>
      <c r="C1202" s="68">
        <v>0</v>
      </c>
      <c r="D1202" s="68">
        <v>0</v>
      </c>
      <c r="E1202" s="68">
        <v>0</v>
      </c>
      <c r="F1202" s="68">
        <v>0</v>
      </c>
      <c r="G1202" s="68">
        <v>4842.5</v>
      </c>
      <c r="H1202" s="68">
        <v>0</v>
      </c>
      <c r="I1202" s="68">
        <v>4842.5</v>
      </c>
      <c r="J1202" s="68">
        <v>0</v>
      </c>
    </row>
    <row r="1203" spans="1:10" ht="14.25" customHeight="1">
      <c r="A1203" s="66" t="s">
        <v>3052</v>
      </c>
      <c r="B1203" s="66" t="s">
        <v>2720</v>
      </c>
      <c r="C1203" s="68">
        <v>0</v>
      </c>
      <c r="D1203" s="68">
        <v>0</v>
      </c>
      <c r="E1203" s="68">
        <v>1017672.4000000004</v>
      </c>
      <c r="F1203" s="68">
        <v>0</v>
      </c>
      <c r="G1203" s="68">
        <v>5527966.2400000002</v>
      </c>
      <c r="H1203" s="68">
        <v>0</v>
      </c>
      <c r="I1203" s="68">
        <v>5527966.2400000002</v>
      </c>
      <c r="J1203" s="68">
        <v>0</v>
      </c>
    </row>
    <row r="1204" spans="1:10" ht="14.25" customHeight="1">
      <c r="A1204" s="66" t="s">
        <v>3053</v>
      </c>
      <c r="B1204" s="66" t="s">
        <v>2724</v>
      </c>
      <c r="C1204" s="68">
        <v>0</v>
      </c>
      <c r="D1204" s="68">
        <v>0</v>
      </c>
      <c r="E1204" s="68">
        <v>264.93000000000029</v>
      </c>
      <c r="F1204" s="68">
        <v>0</v>
      </c>
      <c r="G1204" s="68">
        <v>8499.89</v>
      </c>
      <c r="H1204" s="68">
        <v>0</v>
      </c>
      <c r="I1204" s="68">
        <v>8499.89</v>
      </c>
      <c r="J1204" s="68">
        <v>0</v>
      </c>
    </row>
    <row r="1205" spans="1:10" ht="14.25" customHeight="1">
      <c r="A1205" s="66" t="s">
        <v>3054</v>
      </c>
      <c r="B1205" s="66" t="s">
        <v>29</v>
      </c>
      <c r="C1205" s="68">
        <v>0</v>
      </c>
      <c r="D1205" s="68">
        <v>0</v>
      </c>
      <c r="E1205" s="68">
        <v>17868.28</v>
      </c>
      <c r="F1205" s="68">
        <v>0</v>
      </c>
      <c r="G1205" s="68">
        <v>137307.39000000001</v>
      </c>
      <c r="H1205" s="68">
        <v>0</v>
      </c>
      <c r="I1205" s="68">
        <v>137307.39000000001</v>
      </c>
      <c r="J1205" s="68">
        <v>0</v>
      </c>
    </row>
    <row r="1206" spans="1:10" ht="14.25" customHeight="1">
      <c r="A1206" s="66" t="s">
        <v>3055</v>
      </c>
      <c r="B1206" s="66" t="s">
        <v>2766</v>
      </c>
      <c r="C1206" s="68">
        <v>0</v>
      </c>
      <c r="D1206" s="68">
        <v>0</v>
      </c>
      <c r="E1206" s="68">
        <v>5209.1099999999969</v>
      </c>
      <c r="F1206" s="68">
        <v>0</v>
      </c>
      <c r="G1206" s="68">
        <v>33282.119999999995</v>
      </c>
      <c r="H1206" s="68">
        <v>0</v>
      </c>
      <c r="I1206" s="68">
        <v>33282.119999999995</v>
      </c>
      <c r="J1206" s="68">
        <v>0</v>
      </c>
    </row>
    <row r="1207" spans="1:10" ht="14.25" customHeight="1">
      <c r="A1207" s="66" t="s">
        <v>3056</v>
      </c>
      <c r="B1207" s="66" t="s">
        <v>2782</v>
      </c>
      <c r="C1207" s="68">
        <v>0</v>
      </c>
      <c r="D1207" s="68">
        <v>0</v>
      </c>
      <c r="E1207" s="68">
        <v>335.49</v>
      </c>
      <c r="F1207" s="68">
        <v>0</v>
      </c>
      <c r="G1207" s="68">
        <v>1851.0400000000002</v>
      </c>
      <c r="H1207" s="68">
        <v>0</v>
      </c>
      <c r="I1207" s="68">
        <v>1851.0400000000002</v>
      </c>
      <c r="J1207" s="68">
        <v>0</v>
      </c>
    </row>
    <row r="1208" spans="1:10" ht="14.25" customHeight="1">
      <c r="A1208" s="66" t="s">
        <v>3057</v>
      </c>
      <c r="B1208" s="66" t="s">
        <v>2798</v>
      </c>
      <c r="C1208" s="68">
        <v>0</v>
      </c>
      <c r="D1208" s="68">
        <v>0</v>
      </c>
      <c r="E1208" s="68">
        <v>1642.8500000000004</v>
      </c>
      <c r="F1208" s="68">
        <v>0</v>
      </c>
      <c r="G1208" s="68">
        <v>14566.800000000001</v>
      </c>
      <c r="H1208" s="68">
        <v>0</v>
      </c>
      <c r="I1208" s="68">
        <v>14566.800000000001</v>
      </c>
      <c r="J1208" s="68">
        <v>0</v>
      </c>
    </row>
    <row r="1209" spans="1:10" ht="14.25" customHeight="1">
      <c r="A1209" s="66" t="s">
        <v>3058</v>
      </c>
      <c r="B1209" s="66" t="s">
        <v>2656</v>
      </c>
      <c r="C1209" s="68">
        <v>0</v>
      </c>
      <c r="D1209" s="68">
        <v>0</v>
      </c>
      <c r="E1209" s="68">
        <v>862.7400000000016</v>
      </c>
      <c r="F1209" s="68">
        <v>0</v>
      </c>
      <c r="G1209" s="68">
        <v>22639.440000000002</v>
      </c>
      <c r="H1209" s="68">
        <v>0</v>
      </c>
      <c r="I1209" s="68">
        <v>22639.440000000002</v>
      </c>
      <c r="J1209" s="68">
        <v>0</v>
      </c>
    </row>
    <row r="1210" spans="1:10" ht="14.25" customHeight="1">
      <c r="A1210" s="66" t="s">
        <v>3059</v>
      </c>
      <c r="B1210" s="66" t="s">
        <v>2676</v>
      </c>
      <c r="C1210" s="68">
        <v>0</v>
      </c>
      <c r="D1210" s="68">
        <v>0</v>
      </c>
      <c r="E1210" s="68">
        <v>0</v>
      </c>
      <c r="F1210" s="68">
        <v>0</v>
      </c>
      <c r="G1210" s="68">
        <v>3793.9400000000005</v>
      </c>
      <c r="H1210" s="68">
        <v>0</v>
      </c>
      <c r="I1210" s="68">
        <v>3793.9400000000005</v>
      </c>
      <c r="J1210" s="68">
        <v>0</v>
      </c>
    </row>
    <row r="1211" spans="1:10" ht="14.25" customHeight="1">
      <c r="A1211" s="66" t="s">
        <v>3060</v>
      </c>
      <c r="B1211" s="66" t="s">
        <v>2678</v>
      </c>
      <c r="C1211" s="68">
        <v>0</v>
      </c>
      <c r="D1211" s="68">
        <v>0</v>
      </c>
      <c r="E1211" s="68">
        <v>3548.2799999999988</v>
      </c>
      <c r="F1211" s="68">
        <v>0</v>
      </c>
      <c r="G1211" s="68">
        <v>36795.130000000005</v>
      </c>
      <c r="H1211" s="68">
        <v>0</v>
      </c>
      <c r="I1211" s="68">
        <v>36795.130000000005</v>
      </c>
      <c r="J1211" s="68">
        <v>0</v>
      </c>
    </row>
    <row r="1212" spans="1:10" ht="14.25" customHeight="1">
      <c r="A1212" s="66" t="s">
        <v>3061</v>
      </c>
      <c r="B1212" s="66" t="s">
        <v>2680</v>
      </c>
      <c r="C1212" s="68">
        <v>0</v>
      </c>
      <c r="D1212" s="68">
        <v>0</v>
      </c>
      <c r="E1212" s="68">
        <v>14.649999999999977</v>
      </c>
      <c r="F1212" s="68">
        <v>0</v>
      </c>
      <c r="G1212" s="68">
        <v>821.58</v>
      </c>
      <c r="H1212" s="68">
        <v>0</v>
      </c>
      <c r="I1212" s="68">
        <v>821.58</v>
      </c>
      <c r="J1212" s="68">
        <v>0</v>
      </c>
    </row>
    <row r="1213" spans="1:10" ht="14.25" customHeight="1">
      <c r="A1213" s="66" t="s">
        <v>3062</v>
      </c>
      <c r="B1213" s="66" t="s">
        <v>2688</v>
      </c>
      <c r="C1213" s="68">
        <v>0</v>
      </c>
      <c r="D1213" s="68">
        <v>0</v>
      </c>
      <c r="E1213" s="68">
        <v>182.18000000000029</v>
      </c>
      <c r="F1213" s="68">
        <v>0</v>
      </c>
      <c r="G1213" s="68">
        <v>11813.86</v>
      </c>
      <c r="H1213" s="68">
        <v>0</v>
      </c>
      <c r="I1213" s="68">
        <v>11813.86</v>
      </c>
      <c r="J1213" s="68">
        <v>0</v>
      </c>
    </row>
    <row r="1214" spans="1:10" ht="14.25" customHeight="1">
      <c r="A1214" s="66" t="s">
        <v>3063</v>
      </c>
      <c r="B1214" s="66" t="s">
        <v>2691</v>
      </c>
      <c r="C1214" s="68">
        <v>0</v>
      </c>
      <c r="D1214" s="68">
        <v>0</v>
      </c>
      <c r="E1214" s="68">
        <v>1088.9399999999996</v>
      </c>
      <c r="F1214" s="68">
        <v>0</v>
      </c>
      <c r="G1214" s="68">
        <v>5565.369999999999</v>
      </c>
      <c r="H1214" s="68">
        <v>0</v>
      </c>
      <c r="I1214" s="68">
        <v>5565.369999999999</v>
      </c>
      <c r="J1214" s="68">
        <v>0</v>
      </c>
    </row>
    <row r="1215" spans="1:10" ht="14.25" customHeight="1">
      <c r="A1215" s="66" t="s">
        <v>3064</v>
      </c>
      <c r="B1215" s="66" t="s">
        <v>2700</v>
      </c>
      <c r="C1215" s="68">
        <v>0</v>
      </c>
      <c r="D1215" s="68">
        <v>0</v>
      </c>
      <c r="E1215" s="68">
        <v>54.649999999999977</v>
      </c>
      <c r="F1215" s="68">
        <v>0</v>
      </c>
      <c r="G1215" s="68">
        <v>616.49</v>
      </c>
      <c r="H1215" s="68">
        <v>0</v>
      </c>
      <c r="I1215" s="68">
        <v>616.49</v>
      </c>
      <c r="J1215" s="68">
        <v>0</v>
      </c>
    </row>
    <row r="1216" spans="1:10" ht="14.25" customHeight="1">
      <c r="A1216" s="66" t="s">
        <v>3065</v>
      </c>
      <c r="B1216" s="66" t="s">
        <v>2706</v>
      </c>
      <c r="C1216" s="68">
        <v>0</v>
      </c>
      <c r="D1216" s="68">
        <v>0</v>
      </c>
      <c r="E1216" s="68">
        <v>0</v>
      </c>
      <c r="F1216" s="68">
        <v>0</v>
      </c>
      <c r="G1216" s="68">
        <v>700</v>
      </c>
      <c r="H1216" s="68">
        <v>0</v>
      </c>
      <c r="I1216" s="68">
        <v>700</v>
      </c>
      <c r="J1216" s="68">
        <v>0</v>
      </c>
    </row>
    <row r="1217" spans="1:10" ht="14.25" customHeight="1">
      <c r="A1217" s="66" t="s">
        <v>3066</v>
      </c>
      <c r="B1217" s="66" t="s">
        <v>2708</v>
      </c>
      <c r="C1217" s="68">
        <v>0</v>
      </c>
      <c r="D1217" s="68">
        <v>0</v>
      </c>
      <c r="E1217" s="68">
        <v>159.69000000000005</v>
      </c>
      <c r="F1217" s="68">
        <v>0</v>
      </c>
      <c r="G1217" s="68">
        <v>1229.6500000000001</v>
      </c>
      <c r="H1217" s="68">
        <v>0</v>
      </c>
      <c r="I1217" s="68">
        <v>1229.6500000000001</v>
      </c>
      <c r="J1217" s="68">
        <v>0</v>
      </c>
    </row>
    <row r="1218" spans="1:10" ht="14.25" customHeight="1">
      <c r="A1218" s="66" t="s">
        <v>3067</v>
      </c>
      <c r="B1218" s="66" t="s">
        <v>2710</v>
      </c>
      <c r="C1218" s="68">
        <v>0</v>
      </c>
      <c r="D1218" s="68">
        <v>0</v>
      </c>
      <c r="E1218" s="68">
        <v>608.95999999999913</v>
      </c>
      <c r="F1218" s="68">
        <v>0</v>
      </c>
      <c r="G1218" s="68">
        <v>17348.429999999997</v>
      </c>
      <c r="H1218" s="68">
        <v>0</v>
      </c>
      <c r="I1218" s="68">
        <v>17348.429999999997</v>
      </c>
      <c r="J1218" s="68">
        <v>0</v>
      </c>
    </row>
    <row r="1219" spans="1:10" ht="14.25" customHeight="1">
      <c r="A1219" s="66" t="s">
        <v>3068</v>
      </c>
      <c r="B1219" s="66" t="s">
        <v>2712</v>
      </c>
      <c r="C1219" s="68">
        <v>0</v>
      </c>
      <c r="D1219" s="68">
        <v>0</v>
      </c>
      <c r="E1219" s="68">
        <v>9000</v>
      </c>
      <c r="F1219" s="68">
        <v>0</v>
      </c>
      <c r="G1219" s="68">
        <v>21824.39</v>
      </c>
      <c r="H1219" s="68">
        <v>0</v>
      </c>
      <c r="I1219" s="68">
        <v>21824.39</v>
      </c>
      <c r="J1219" s="68">
        <v>0</v>
      </c>
    </row>
    <row r="1220" spans="1:10" ht="14.25" customHeight="1">
      <c r="A1220" s="66" t="s">
        <v>3069</v>
      </c>
      <c r="B1220" s="66" t="s">
        <v>2722</v>
      </c>
      <c r="C1220" s="68">
        <v>0</v>
      </c>
      <c r="D1220" s="68">
        <v>0</v>
      </c>
      <c r="E1220" s="68">
        <v>6002</v>
      </c>
      <c r="F1220" s="68">
        <v>0</v>
      </c>
      <c r="G1220" s="68">
        <v>72010</v>
      </c>
      <c r="H1220" s="68">
        <v>0</v>
      </c>
      <c r="I1220" s="68">
        <v>72010</v>
      </c>
      <c r="J1220" s="68">
        <v>0</v>
      </c>
    </row>
    <row r="1221" spans="1:10" ht="14.25" customHeight="1">
      <c r="A1221" s="66" t="s">
        <v>3070</v>
      </c>
      <c r="B1221" s="66" t="s">
        <v>2724</v>
      </c>
      <c r="C1221" s="68">
        <v>0</v>
      </c>
      <c r="D1221" s="68">
        <v>0</v>
      </c>
      <c r="E1221" s="68">
        <v>34.260000000000218</v>
      </c>
      <c r="F1221" s="68">
        <v>0</v>
      </c>
      <c r="G1221" s="68">
        <v>4776.53</v>
      </c>
      <c r="H1221" s="68">
        <v>0</v>
      </c>
      <c r="I1221" s="68">
        <v>4776.53</v>
      </c>
      <c r="J1221" s="68">
        <v>0</v>
      </c>
    </row>
    <row r="1222" spans="1:10" ht="14.25" customHeight="1">
      <c r="A1222" s="66" t="s">
        <v>3071</v>
      </c>
      <c r="B1222" s="66" t="s">
        <v>29</v>
      </c>
      <c r="C1222" s="68">
        <v>0</v>
      </c>
      <c r="D1222" s="68">
        <v>0</v>
      </c>
      <c r="E1222" s="68">
        <v>8463.0300000000061</v>
      </c>
      <c r="F1222" s="68">
        <v>0</v>
      </c>
      <c r="G1222" s="68">
        <v>73396.98000000001</v>
      </c>
      <c r="H1222" s="68">
        <v>0</v>
      </c>
      <c r="I1222" s="68">
        <v>73396.98000000001</v>
      </c>
      <c r="J1222" s="68">
        <v>0</v>
      </c>
    </row>
    <row r="1223" spans="1:10" ht="14.25" customHeight="1">
      <c r="A1223" s="66" t="s">
        <v>3072</v>
      </c>
      <c r="B1223" s="66" t="s">
        <v>2766</v>
      </c>
      <c r="C1223" s="68">
        <v>0</v>
      </c>
      <c r="D1223" s="68">
        <v>0</v>
      </c>
      <c r="E1223" s="68">
        <v>4323.7000000000007</v>
      </c>
      <c r="F1223" s="68">
        <v>0</v>
      </c>
      <c r="G1223" s="68">
        <v>31246.26</v>
      </c>
      <c r="H1223" s="68">
        <v>0</v>
      </c>
      <c r="I1223" s="68">
        <v>31246.26</v>
      </c>
      <c r="J1223" s="68">
        <v>0</v>
      </c>
    </row>
    <row r="1224" spans="1:10" ht="14.25" customHeight="1">
      <c r="A1224" s="66" t="s">
        <v>3073</v>
      </c>
      <c r="B1224" s="66" t="s">
        <v>2775</v>
      </c>
      <c r="C1224" s="68">
        <v>0</v>
      </c>
      <c r="D1224" s="68">
        <v>0</v>
      </c>
      <c r="E1224" s="68">
        <v>144</v>
      </c>
      <c r="F1224" s="68">
        <v>0</v>
      </c>
      <c r="G1224" s="68">
        <v>1599.5800000000002</v>
      </c>
      <c r="H1224" s="68">
        <v>0</v>
      </c>
      <c r="I1224" s="68">
        <v>1599.5800000000002</v>
      </c>
      <c r="J1224" s="68">
        <v>0</v>
      </c>
    </row>
    <row r="1225" spans="1:10" ht="14.25" customHeight="1">
      <c r="A1225" s="66" t="s">
        <v>3074</v>
      </c>
      <c r="B1225" s="66" t="s">
        <v>2782</v>
      </c>
      <c r="C1225" s="68">
        <v>0</v>
      </c>
      <c r="D1225" s="68">
        <v>0</v>
      </c>
      <c r="E1225" s="68">
        <v>98.119999999999891</v>
      </c>
      <c r="F1225" s="68">
        <v>0</v>
      </c>
      <c r="G1225" s="68">
        <v>1754.17</v>
      </c>
      <c r="H1225" s="68">
        <v>0</v>
      </c>
      <c r="I1225" s="68">
        <v>1754.17</v>
      </c>
      <c r="J1225" s="68">
        <v>0</v>
      </c>
    </row>
    <row r="1226" spans="1:10" ht="14.25" customHeight="1">
      <c r="A1226" s="66" t="s">
        <v>3075</v>
      </c>
      <c r="B1226" s="66" t="s">
        <v>2798</v>
      </c>
      <c r="C1226" s="68">
        <v>0</v>
      </c>
      <c r="D1226" s="68">
        <v>0</v>
      </c>
      <c r="E1226" s="68">
        <v>233.90000000000009</v>
      </c>
      <c r="F1226" s="68">
        <v>0</v>
      </c>
      <c r="G1226" s="68">
        <v>4267.6900000000005</v>
      </c>
      <c r="H1226" s="68">
        <v>0</v>
      </c>
      <c r="I1226" s="68">
        <v>4267.6900000000005</v>
      </c>
      <c r="J1226" s="68">
        <v>0</v>
      </c>
    </row>
    <row r="1227" spans="1:10" ht="14.25" customHeight="1">
      <c r="A1227" s="66" t="s">
        <v>3076</v>
      </c>
      <c r="B1227" s="66" t="s">
        <v>2656</v>
      </c>
      <c r="C1227" s="68">
        <v>0</v>
      </c>
      <c r="D1227" s="68">
        <v>0</v>
      </c>
      <c r="E1227" s="68">
        <v>2107.1399999999994</v>
      </c>
      <c r="F1227" s="68">
        <v>0</v>
      </c>
      <c r="G1227" s="68">
        <v>64967.98000000001</v>
      </c>
      <c r="H1227" s="68">
        <v>0</v>
      </c>
      <c r="I1227" s="68">
        <v>64967.98000000001</v>
      </c>
      <c r="J1227" s="68">
        <v>0</v>
      </c>
    </row>
    <row r="1228" spans="1:10" ht="14.25" customHeight="1">
      <c r="A1228" s="66" t="s">
        <v>3077</v>
      </c>
      <c r="B1228" s="66" t="s">
        <v>2676</v>
      </c>
      <c r="C1228" s="68">
        <v>0</v>
      </c>
      <c r="D1228" s="68">
        <v>0</v>
      </c>
      <c r="E1228" s="68">
        <v>17.340000000000146</v>
      </c>
      <c r="F1228" s="68">
        <v>0</v>
      </c>
      <c r="G1228" s="68">
        <v>8801.9600000000009</v>
      </c>
      <c r="H1228" s="68">
        <v>0</v>
      </c>
      <c r="I1228" s="68">
        <v>8801.9600000000009</v>
      </c>
      <c r="J1228" s="68">
        <v>0</v>
      </c>
    </row>
    <row r="1229" spans="1:10" ht="14.25" customHeight="1">
      <c r="A1229" s="66" t="s">
        <v>3078</v>
      </c>
      <c r="B1229" s="66" t="s">
        <v>2678</v>
      </c>
      <c r="C1229" s="68">
        <v>0</v>
      </c>
      <c r="D1229" s="68">
        <v>0</v>
      </c>
      <c r="E1229" s="68">
        <v>7077.3300000000017</v>
      </c>
      <c r="F1229" s="68">
        <v>0</v>
      </c>
      <c r="G1229" s="68">
        <v>102226.51999999999</v>
      </c>
      <c r="H1229" s="68">
        <v>0</v>
      </c>
      <c r="I1229" s="68">
        <v>102226.51999999999</v>
      </c>
      <c r="J1229" s="68">
        <v>0</v>
      </c>
    </row>
    <row r="1230" spans="1:10" ht="14.25" customHeight="1">
      <c r="A1230" s="66" t="s">
        <v>3079</v>
      </c>
      <c r="B1230" s="66" t="s">
        <v>2680</v>
      </c>
      <c r="C1230" s="68">
        <v>0</v>
      </c>
      <c r="D1230" s="68">
        <v>0</v>
      </c>
      <c r="E1230" s="68">
        <v>57.75</v>
      </c>
      <c r="F1230" s="68">
        <v>0</v>
      </c>
      <c r="G1230" s="68">
        <v>3315.86</v>
      </c>
      <c r="H1230" s="68">
        <v>0</v>
      </c>
      <c r="I1230" s="68">
        <v>3315.86</v>
      </c>
      <c r="J1230" s="68">
        <v>0</v>
      </c>
    </row>
    <row r="1231" spans="1:10" ht="14.25" customHeight="1">
      <c r="A1231" s="66" t="s">
        <v>3080</v>
      </c>
      <c r="B1231" s="66" t="s">
        <v>2688</v>
      </c>
      <c r="C1231" s="68">
        <v>0</v>
      </c>
      <c r="D1231" s="68">
        <v>0</v>
      </c>
      <c r="E1231" s="68">
        <v>5.0100000000000051</v>
      </c>
      <c r="F1231" s="68">
        <v>0</v>
      </c>
      <c r="G1231" s="68">
        <v>78.009999999999991</v>
      </c>
      <c r="H1231" s="68">
        <v>0</v>
      </c>
      <c r="I1231" s="68">
        <v>78.009999999999991</v>
      </c>
      <c r="J1231" s="68">
        <v>0</v>
      </c>
    </row>
    <row r="1232" spans="1:10" ht="14.25" customHeight="1">
      <c r="A1232" s="66" t="s">
        <v>3081</v>
      </c>
      <c r="B1232" s="66" t="s">
        <v>2700</v>
      </c>
      <c r="C1232" s="68">
        <v>0</v>
      </c>
      <c r="D1232" s="68">
        <v>0</v>
      </c>
      <c r="E1232" s="68">
        <v>81.960000000000036</v>
      </c>
      <c r="F1232" s="68">
        <v>0</v>
      </c>
      <c r="G1232" s="68">
        <v>2311.3200000000002</v>
      </c>
      <c r="H1232" s="68">
        <v>0</v>
      </c>
      <c r="I1232" s="68">
        <v>2311.3200000000002</v>
      </c>
      <c r="J1232" s="68">
        <v>0</v>
      </c>
    </row>
    <row r="1233" spans="1:10" ht="14.25" customHeight="1">
      <c r="A1233" s="66" t="s">
        <v>3082</v>
      </c>
      <c r="B1233" s="66" t="s">
        <v>2708</v>
      </c>
      <c r="C1233" s="68">
        <v>0</v>
      </c>
      <c r="D1233" s="68">
        <v>0</v>
      </c>
      <c r="E1233" s="68">
        <v>107.01999999999998</v>
      </c>
      <c r="F1233" s="68">
        <v>0</v>
      </c>
      <c r="G1233" s="68">
        <v>2040.1100000000004</v>
      </c>
      <c r="H1233" s="68">
        <v>0</v>
      </c>
      <c r="I1233" s="68">
        <v>2040.1100000000004</v>
      </c>
      <c r="J1233" s="68">
        <v>0</v>
      </c>
    </row>
    <row r="1234" spans="1:10" ht="14.25" customHeight="1">
      <c r="A1234" s="66" t="s">
        <v>3083</v>
      </c>
      <c r="B1234" s="66" t="s">
        <v>2710</v>
      </c>
      <c r="C1234" s="68">
        <v>0</v>
      </c>
      <c r="D1234" s="68">
        <v>0</v>
      </c>
      <c r="E1234" s="68">
        <v>1246.0099999999948</v>
      </c>
      <c r="F1234" s="68">
        <v>0</v>
      </c>
      <c r="G1234" s="68">
        <v>70380.159999999989</v>
      </c>
      <c r="H1234" s="68">
        <v>0</v>
      </c>
      <c r="I1234" s="68">
        <v>70380.159999999989</v>
      </c>
      <c r="J1234" s="68">
        <v>0</v>
      </c>
    </row>
    <row r="1235" spans="1:10" ht="14.25" customHeight="1">
      <c r="A1235" s="66" t="s">
        <v>3084</v>
      </c>
      <c r="B1235" s="66" t="s">
        <v>2724</v>
      </c>
      <c r="C1235" s="68">
        <v>0</v>
      </c>
      <c r="D1235" s="68">
        <v>0</v>
      </c>
      <c r="E1235" s="68">
        <v>85.019999999999982</v>
      </c>
      <c r="F1235" s="68">
        <v>0</v>
      </c>
      <c r="G1235" s="68">
        <v>3757.58</v>
      </c>
      <c r="H1235" s="68">
        <v>0</v>
      </c>
      <c r="I1235" s="68">
        <v>3757.58</v>
      </c>
      <c r="J1235" s="68">
        <v>0</v>
      </c>
    </row>
    <row r="1236" spans="1:10" ht="14.25" customHeight="1">
      <c r="A1236" s="66" t="s">
        <v>3085</v>
      </c>
      <c r="B1236" s="66" t="s">
        <v>29</v>
      </c>
      <c r="C1236" s="68">
        <v>0</v>
      </c>
      <c r="D1236" s="68">
        <v>0</v>
      </c>
      <c r="E1236" s="68">
        <v>33369.94</v>
      </c>
      <c r="F1236" s="68">
        <v>0</v>
      </c>
      <c r="G1236" s="68">
        <v>410356.35</v>
      </c>
      <c r="H1236" s="68">
        <v>0</v>
      </c>
      <c r="I1236" s="68">
        <v>410356.35</v>
      </c>
      <c r="J1236" s="68">
        <v>0</v>
      </c>
    </row>
    <row r="1237" spans="1:10" ht="14.25" customHeight="1">
      <c r="A1237" s="66" t="s">
        <v>3086</v>
      </c>
      <c r="B1237" s="66" t="s">
        <v>2766</v>
      </c>
      <c r="C1237" s="68">
        <v>0</v>
      </c>
      <c r="D1237" s="68">
        <v>0</v>
      </c>
      <c r="E1237" s="68">
        <v>9728.320000000007</v>
      </c>
      <c r="F1237" s="68">
        <v>0</v>
      </c>
      <c r="G1237" s="68">
        <v>94211.69</v>
      </c>
      <c r="H1237" s="68">
        <v>0</v>
      </c>
      <c r="I1237" s="68">
        <v>94211.69</v>
      </c>
      <c r="J1237" s="68">
        <v>0</v>
      </c>
    </row>
    <row r="1238" spans="1:10" ht="14.25" customHeight="1">
      <c r="A1238" s="66" t="s">
        <v>3087</v>
      </c>
      <c r="B1238" s="66" t="s">
        <v>2782</v>
      </c>
      <c r="C1238" s="68">
        <v>0</v>
      </c>
      <c r="D1238" s="68">
        <v>0</v>
      </c>
      <c r="E1238" s="68">
        <v>222.98999999999978</v>
      </c>
      <c r="F1238" s="68">
        <v>0</v>
      </c>
      <c r="G1238" s="68">
        <v>4767.07</v>
      </c>
      <c r="H1238" s="68">
        <v>0</v>
      </c>
      <c r="I1238" s="68">
        <v>4767.07</v>
      </c>
      <c r="J1238" s="68">
        <v>0</v>
      </c>
    </row>
    <row r="1239" spans="1:10" ht="14.25" customHeight="1">
      <c r="A1239" s="66" t="s">
        <v>3088</v>
      </c>
      <c r="B1239" s="66" t="s">
        <v>2798</v>
      </c>
      <c r="C1239" s="68">
        <v>0</v>
      </c>
      <c r="D1239" s="68">
        <v>0</v>
      </c>
      <c r="E1239" s="68">
        <v>663.64999999999964</v>
      </c>
      <c r="F1239" s="68">
        <v>0</v>
      </c>
      <c r="G1239" s="68">
        <v>12773.459999999997</v>
      </c>
      <c r="H1239" s="68">
        <v>0</v>
      </c>
      <c r="I1239" s="68">
        <v>12773.459999999997</v>
      </c>
      <c r="J1239" s="68">
        <v>0</v>
      </c>
    </row>
    <row r="1240" spans="1:10" ht="14.25" customHeight="1">
      <c r="A1240" s="66" t="s">
        <v>3089</v>
      </c>
      <c r="B1240" s="66" t="s">
        <v>2667</v>
      </c>
      <c r="C1240" s="68">
        <v>0</v>
      </c>
      <c r="D1240" s="68">
        <v>0</v>
      </c>
      <c r="E1240" s="68">
        <v>98794.489999999991</v>
      </c>
      <c r="F1240" s="68">
        <v>0</v>
      </c>
      <c r="G1240" s="68">
        <v>1091900.77</v>
      </c>
      <c r="H1240" s="68">
        <v>0</v>
      </c>
      <c r="I1240" s="68">
        <v>1091900.77</v>
      </c>
      <c r="J1240" s="68">
        <v>0</v>
      </c>
    </row>
    <row r="1241" spans="1:10" ht="14.25" customHeight="1">
      <c r="A1241" s="66" t="s">
        <v>3090</v>
      </c>
      <c r="B1241" s="66" t="s">
        <v>2822</v>
      </c>
      <c r="C1241" s="68">
        <v>0</v>
      </c>
      <c r="D1241" s="68">
        <v>0</v>
      </c>
      <c r="E1241" s="68">
        <v>625.14999999999964</v>
      </c>
      <c r="F1241" s="68">
        <v>0</v>
      </c>
      <c r="G1241" s="68">
        <v>6984.8600000000006</v>
      </c>
      <c r="H1241" s="68">
        <v>0</v>
      </c>
      <c r="I1241" s="68">
        <v>6984.8600000000006</v>
      </c>
      <c r="J1241" s="68">
        <v>0</v>
      </c>
    </row>
    <row r="1242" spans="1:10" ht="14.25" customHeight="1">
      <c r="A1242" s="66" t="s">
        <v>3091</v>
      </c>
      <c r="B1242" s="66" t="s">
        <v>2671</v>
      </c>
      <c r="C1242" s="68">
        <v>0</v>
      </c>
      <c r="D1242" s="68">
        <v>0</v>
      </c>
      <c r="E1242" s="68">
        <v>1712.3400000000001</v>
      </c>
      <c r="F1242" s="68">
        <v>0</v>
      </c>
      <c r="G1242" s="68">
        <v>8088.8200000000006</v>
      </c>
      <c r="H1242" s="68">
        <v>0</v>
      </c>
      <c r="I1242" s="68">
        <v>8088.8200000000006</v>
      </c>
      <c r="J1242" s="68">
        <v>0</v>
      </c>
    </row>
    <row r="1243" spans="1:10" ht="14.25" customHeight="1">
      <c r="A1243" s="66" t="s">
        <v>3092</v>
      </c>
      <c r="B1243" s="66" t="s">
        <v>2656</v>
      </c>
      <c r="C1243" s="68">
        <v>0</v>
      </c>
      <c r="D1243" s="68">
        <v>0</v>
      </c>
      <c r="E1243" s="68">
        <v>2839.8499999999985</v>
      </c>
      <c r="F1243" s="68">
        <v>0</v>
      </c>
      <c r="G1243" s="68">
        <v>33020.149999999994</v>
      </c>
      <c r="H1243" s="68">
        <v>0</v>
      </c>
      <c r="I1243" s="68">
        <v>33020.149999999994</v>
      </c>
      <c r="J1243" s="68">
        <v>0</v>
      </c>
    </row>
    <row r="1244" spans="1:10" ht="14.25" customHeight="1">
      <c r="A1244" s="66" t="s">
        <v>3093</v>
      </c>
      <c r="B1244" s="66" t="s">
        <v>2678</v>
      </c>
      <c r="C1244" s="68">
        <v>0</v>
      </c>
      <c r="D1244" s="68">
        <v>0</v>
      </c>
      <c r="E1244" s="68">
        <v>416.42000000000007</v>
      </c>
      <c r="F1244" s="68">
        <v>0</v>
      </c>
      <c r="G1244" s="68">
        <v>5937.38</v>
      </c>
      <c r="H1244" s="68">
        <v>0</v>
      </c>
      <c r="I1244" s="68">
        <v>5937.38</v>
      </c>
      <c r="J1244" s="68">
        <v>0</v>
      </c>
    </row>
    <row r="1245" spans="1:10" ht="14.25" customHeight="1">
      <c r="A1245" s="66" t="s">
        <v>3094</v>
      </c>
      <c r="B1245" s="66" t="s">
        <v>2680</v>
      </c>
      <c r="C1245" s="68">
        <v>0</v>
      </c>
      <c r="D1245" s="68">
        <v>0</v>
      </c>
      <c r="E1245" s="68">
        <v>614.08000000000084</v>
      </c>
      <c r="F1245" s="68">
        <v>0</v>
      </c>
      <c r="G1245" s="68">
        <v>8239.7000000000007</v>
      </c>
      <c r="H1245" s="68">
        <v>0</v>
      </c>
      <c r="I1245" s="68">
        <v>8239.7000000000007</v>
      </c>
      <c r="J1245" s="68">
        <v>0</v>
      </c>
    </row>
    <row r="1246" spans="1:10" ht="14.25" customHeight="1">
      <c r="A1246" s="66" t="s">
        <v>3095</v>
      </c>
      <c r="B1246" s="66" t="s">
        <v>2682</v>
      </c>
      <c r="C1246" s="68">
        <v>0</v>
      </c>
      <c r="D1246" s="68">
        <v>0</v>
      </c>
      <c r="E1246" s="68">
        <v>0</v>
      </c>
      <c r="F1246" s="68">
        <v>0</v>
      </c>
      <c r="G1246" s="68">
        <v>806.64</v>
      </c>
      <c r="H1246" s="68">
        <v>0</v>
      </c>
      <c r="I1246" s="68">
        <v>806.64</v>
      </c>
      <c r="J1246" s="68">
        <v>0</v>
      </c>
    </row>
    <row r="1247" spans="1:10" ht="14.25" customHeight="1">
      <c r="A1247" s="66" t="s">
        <v>3096</v>
      </c>
      <c r="B1247" s="66" t="s">
        <v>2684</v>
      </c>
      <c r="C1247" s="68">
        <v>0</v>
      </c>
      <c r="D1247" s="68">
        <v>0</v>
      </c>
      <c r="E1247" s="68">
        <v>0</v>
      </c>
      <c r="F1247" s="68">
        <v>0</v>
      </c>
      <c r="G1247" s="68">
        <v>17057.62</v>
      </c>
      <c r="H1247" s="68">
        <v>0</v>
      </c>
      <c r="I1247" s="68">
        <v>17057.62</v>
      </c>
      <c r="J1247" s="68">
        <v>0</v>
      </c>
    </row>
    <row r="1248" spans="1:10" ht="14.25" customHeight="1">
      <c r="A1248" s="66" t="s">
        <v>3097</v>
      </c>
      <c r="B1248" s="66" t="s">
        <v>2686</v>
      </c>
      <c r="C1248" s="68">
        <v>0</v>
      </c>
      <c r="D1248" s="68">
        <v>0</v>
      </c>
      <c r="E1248" s="68">
        <v>8936.5299999999988</v>
      </c>
      <c r="F1248" s="68">
        <v>0</v>
      </c>
      <c r="G1248" s="68">
        <v>47780.939999999988</v>
      </c>
      <c r="H1248" s="68">
        <v>0</v>
      </c>
      <c r="I1248" s="68">
        <v>47780.939999999988</v>
      </c>
      <c r="J1248" s="68">
        <v>0</v>
      </c>
    </row>
    <row r="1249" spans="1:10" ht="14.25" customHeight="1">
      <c r="A1249" s="66" t="s">
        <v>3098</v>
      </c>
      <c r="B1249" s="66" t="s">
        <v>2688</v>
      </c>
      <c r="C1249" s="68">
        <v>0</v>
      </c>
      <c r="D1249" s="68">
        <v>0</v>
      </c>
      <c r="E1249" s="68">
        <v>288</v>
      </c>
      <c r="F1249" s="68">
        <v>0</v>
      </c>
      <c r="G1249" s="68">
        <v>29215.950000000004</v>
      </c>
      <c r="H1249" s="68">
        <v>0</v>
      </c>
      <c r="I1249" s="68">
        <v>29215.950000000004</v>
      </c>
      <c r="J1249" s="68">
        <v>0</v>
      </c>
    </row>
    <row r="1250" spans="1:10" ht="14.25" customHeight="1">
      <c r="A1250" s="66" t="s">
        <v>3099</v>
      </c>
      <c r="B1250" s="66" t="s">
        <v>2700</v>
      </c>
      <c r="C1250" s="68">
        <v>0</v>
      </c>
      <c r="D1250" s="68">
        <v>0</v>
      </c>
      <c r="E1250" s="68">
        <v>0</v>
      </c>
      <c r="F1250" s="68">
        <v>0</v>
      </c>
      <c r="G1250" s="68">
        <v>780</v>
      </c>
      <c r="H1250" s="68">
        <v>0</v>
      </c>
      <c r="I1250" s="68">
        <v>780</v>
      </c>
      <c r="J1250" s="68">
        <v>0</v>
      </c>
    </row>
    <row r="1251" spans="1:10" ht="14.25" customHeight="1">
      <c r="A1251" s="66" t="s">
        <v>3100</v>
      </c>
      <c r="B1251" s="66" t="s">
        <v>2702</v>
      </c>
      <c r="C1251" s="68">
        <v>0</v>
      </c>
      <c r="D1251" s="68">
        <v>0</v>
      </c>
      <c r="E1251" s="68">
        <v>847.1200000000008</v>
      </c>
      <c r="F1251" s="68">
        <v>0</v>
      </c>
      <c r="G1251" s="68">
        <v>10164.779999999997</v>
      </c>
      <c r="H1251" s="68">
        <v>0</v>
      </c>
      <c r="I1251" s="68">
        <v>10164.779999999997</v>
      </c>
      <c r="J1251" s="68">
        <v>0</v>
      </c>
    </row>
    <row r="1252" spans="1:10" ht="14.25" customHeight="1">
      <c r="A1252" s="66" t="s">
        <v>3101</v>
      </c>
      <c r="B1252" s="66" t="s">
        <v>2706</v>
      </c>
      <c r="C1252" s="68">
        <v>0</v>
      </c>
      <c r="D1252" s="68">
        <v>0</v>
      </c>
      <c r="E1252" s="68">
        <v>0</v>
      </c>
      <c r="F1252" s="68">
        <v>0</v>
      </c>
      <c r="G1252" s="68">
        <v>2350</v>
      </c>
      <c r="H1252" s="68">
        <v>0</v>
      </c>
      <c r="I1252" s="68">
        <v>2350</v>
      </c>
      <c r="J1252" s="68">
        <v>0</v>
      </c>
    </row>
    <row r="1253" spans="1:10" ht="14.25" customHeight="1">
      <c r="A1253" s="66" t="s">
        <v>3102</v>
      </c>
      <c r="B1253" s="66" t="s">
        <v>2708</v>
      </c>
      <c r="C1253" s="68">
        <v>0</v>
      </c>
      <c r="D1253" s="68">
        <v>0</v>
      </c>
      <c r="E1253" s="68">
        <v>1501.1099999999988</v>
      </c>
      <c r="F1253" s="68">
        <v>0</v>
      </c>
      <c r="G1253" s="68">
        <v>16981.03</v>
      </c>
      <c r="H1253" s="68">
        <v>0</v>
      </c>
      <c r="I1253" s="68">
        <v>16981.03</v>
      </c>
      <c r="J1253" s="68">
        <v>0</v>
      </c>
    </row>
    <row r="1254" spans="1:10" ht="14.25" customHeight="1">
      <c r="A1254" s="66" t="s">
        <v>3103</v>
      </c>
      <c r="B1254" s="66" t="s">
        <v>2710</v>
      </c>
      <c r="C1254" s="68">
        <v>0</v>
      </c>
      <c r="D1254" s="68">
        <v>0</v>
      </c>
      <c r="E1254" s="68">
        <v>215.91000000000349</v>
      </c>
      <c r="F1254" s="68">
        <v>0</v>
      </c>
      <c r="G1254" s="68">
        <v>43360.42</v>
      </c>
      <c r="H1254" s="68">
        <v>0</v>
      </c>
      <c r="I1254" s="68">
        <v>43360.42</v>
      </c>
      <c r="J1254" s="68">
        <v>0</v>
      </c>
    </row>
    <row r="1255" spans="1:10" ht="14.25" customHeight="1">
      <c r="A1255" s="66" t="s">
        <v>3104</v>
      </c>
      <c r="B1255" s="66" t="s">
        <v>2722</v>
      </c>
      <c r="C1255" s="68">
        <v>0</v>
      </c>
      <c r="D1255" s="68">
        <v>0</v>
      </c>
      <c r="E1255" s="68">
        <v>4610</v>
      </c>
      <c r="F1255" s="68">
        <v>0</v>
      </c>
      <c r="G1255" s="68">
        <v>60151.229999999996</v>
      </c>
      <c r="H1255" s="68">
        <v>0</v>
      </c>
      <c r="I1255" s="68">
        <v>60151.229999999996</v>
      </c>
      <c r="J1255" s="68">
        <v>0</v>
      </c>
    </row>
    <row r="1256" spans="1:10" ht="14.25" customHeight="1">
      <c r="A1256" s="66" t="s">
        <v>3105</v>
      </c>
      <c r="B1256" s="66" t="s">
        <v>2724</v>
      </c>
      <c r="C1256" s="68">
        <v>0</v>
      </c>
      <c r="D1256" s="68">
        <v>0</v>
      </c>
      <c r="E1256" s="68">
        <v>16261.900000000023</v>
      </c>
      <c r="F1256" s="68">
        <v>0</v>
      </c>
      <c r="G1256" s="68">
        <v>304353.84999999998</v>
      </c>
      <c r="H1256" s="68">
        <v>0</v>
      </c>
      <c r="I1256" s="68">
        <v>304353.84999999998</v>
      </c>
      <c r="J1256" s="68">
        <v>0</v>
      </c>
    </row>
    <row r="1257" spans="1:10" ht="14.25" customHeight="1">
      <c r="A1257" s="66" t="s">
        <v>3106</v>
      </c>
      <c r="B1257" s="66" t="s">
        <v>29</v>
      </c>
      <c r="C1257" s="68">
        <v>0</v>
      </c>
      <c r="D1257" s="68">
        <v>0</v>
      </c>
      <c r="E1257" s="68">
        <v>555388.81000000052</v>
      </c>
      <c r="F1257" s="68">
        <v>394443.73</v>
      </c>
      <c r="G1257" s="68">
        <v>5057184.8900000006</v>
      </c>
      <c r="H1257" s="68">
        <v>3880436.1999999997</v>
      </c>
      <c r="I1257" s="68">
        <v>1176748.6900000009</v>
      </c>
      <c r="J1257" s="68">
        <v>0</v>
      </c>
    </row>
    <row r="1258" spans="1:10" ht="14.25" customHeight="1">
      <c r="A1258" s="66" t="s">
        <v>3107</v>
      </c>
      <c r="B1258" s="66" t="s">
        <v>2766</v>
      </c>
      <c r="C1258" s="68">
        <v>0</v>
      </c>
      <c r="D1258" s="68">
        <v>0</v>
      </c>
      <c r="E1258" s="68">
        <v>26047.790000000037</v>
      </c>
      <c r="F1258" s="68">
        <v>114991.94999999995</v>
      </c>
      <c r="G1258" s="68">
        <v>962935.06999999983</v>
      </c>
      <c r="H1258" s="68">
        <v>907681.95</v>
      </c>
      <c r="I1258" s="68">
        <v>55253.119999999879</v>
      </c>
      <c r="J1258" s="68">
        <v>0</v>
      </c>
    </row>
    <row r="1259" spans="1:10" ht="14.25" customHeight="1">
      <c r="A1259" s="66" t="s">
        <v>3108</v>
      </c>
      <c r="B1259" s="66" t="s">
        <v>2768</v>
      </c>
      <c r="C1259" s="68">
        <v>0</v>
      </c>
      <c r="D1259" s="68">
        <v>0</v>
      </c>
      <c r="E1259" s="68">
        <v>322.5</v>
      </c>
      <c r="F1259" s="68">
        <v>0</v>
      </c>
      <c r="G1259" s="68">
        <v>5956.36</v>
      </c>
      <c r="H1259" s="68">
        <v>0</v>
      </c>
      <c r="I1259" s="68">
        <v>5956.36</v>
      </c>
      <c r="J1259" s="68">
        <v>0</v>
      </c>
    </row>
    <row r="1260" spans="1:10" ht="14.25" customHeight="1">
      <c r="A1260" s="66" t="s">
        <v>3109</v>
      </c>
      <c r="B1260" s="66" t="s">
        <v>2851</v>
      </c>
      <c r="C1260" s="68">
        <v>0</v>
      </c>
      <c r="D1260" s="68">
        <v>0</v>
      </c>
      <c r="E1260" s="68">
        <v>96583.660000000018</v>
      </c>
      <c r="F1260" s="68">
        <v>0</v>
      </c>
      <c r="G1260" s="68">
        <v>180849.03000000003</v>
      </c>
      <c r="H1260" s="68">
        <v>0</v>
      </c>
      <c r="I1260" s="68">
        <v>180849.03000000003</v>
      </c>
      <c r="J1260" s="68">
        <v>0</v>
      </c>
    </row>
    <row r="1261" spans="1:10" ht="14.25" customHeight="1">
      <c r="A1261" s="66" t="s">
        <v>3110</v>
      </c>
      <c r="B1261" s="66" t="s">
        <v>2772</v>
      </c>
      <c r="C1261" s="68">
        <v>0</v>
      </c>
      <c r="D1261" s="68">
        <v>0</v>
      </c>
      <c r="E1261" s="68">
        <v>1984.7299999999996</v>
      </c>
      <c r="F1261" s="68">
        <v>0</v>
      </c>
      <c r="G1261" s="68">
        <v>24096.75</v>
      </c>
      <c r="H1261" s="68">
        <v>0</v>
      </c>
      <c r="I1261" s="68">
        <v>24096.75</v>
      </c>
      <c r="J1261" s="68">
        <v>0</v>
      </c>
    </row>
    <row r="1262" spans="1:10" ht="14.25" customHeight="1">
      <c r="A1262" s="66" t="s">
        <v>3111</v>
      </c>
      <c r="B1262" s="66" t="s">
        <v>2775</v>
      </c>
      <c r="C1262" s="68">
        <v>0</v>
      </c>
      <c r="D1262" s="68">
        <v>0</v>
      </c>
      <c r="E1262" s="68">
        <v>5764.8199999999924</v>
      </c>
      <c r="F1262" s="68">
        <v>0</v>
      </c>
      <c r="G1262" s="68">
        <v>98190.76999999999</v>
      </c>
      <c r="H1262" s="68">
        <v>0</v>
      </c>
      <c r="I1262" s="68">
        <v>98190.76999999999</v>
      </c>
      <c r="J1262" s="68">
        <v>0</v>
      </c>
    </row>
    <row r="1263" spans="1:10" ht="14.25" customHeight="1">
      <c r="A1263" s="66" t="s">
        <v>3112</v>
      </c>
      <c r="B1263" s="66" t="s">
        <v>2777</v>
      </c>
      <c r="C1263" s="68">
        <v>0</v>
      </c>
      <c r="D1263" s="68">
        <v>0</v>
      </c>
      <c r="E1263" s="68">
        <v>3396.1</v>
      </c>
      <c r="F1263" s="68">
        <v>0</v>
      </c>
      <c r="G1263" s="68">
        <v>3614.88</v>
      </c>
      <c r="H1263" s="68">
        <v>0</v>
      </c>
      <c r="I1263" s="68">
        <v>3614.88</v>
      </c>
      <c r="J1263" s="68">
        <v>0</v>
      </c>
    </row>
    <row r="1264" spans="1:10" ht="14.25" customHeight="1">
      <c r="A1264" s="66" t="s">
        <v>3113</v>
      </c>
      <c r="B1264" s="66" t="s">
        <v>2782</v>
      </c>
      <c r="C1264" s="68">
        <v>0</v>
      </c>
      <c r="D1264" s="68">
        <v>0</v>
      </c>
      <c r="E1264" s="68">
        <v>-745</v>
      </c>
      <c r="F1264" s="68">
        <v>0</v>
      </c>
      <c r="G1264" s="68">
        <v>4662.3500000000004</v>
      </c>
      <c r="H1264" s="68">
        <v>0</v>
      </c>
      <c r="I1264" s="68">
        <v>4662.3500000000004</v>
      </c>
      <c r="J1264" s="68">
        <v>0</v>
      </c>
    </row>
    <row r="1265" spans="1:10" ht="14.25" customHeight="1">
      <c r="A1265" s="66" t="s">
        <v>3114</v>
      </c>
      <c r="B1265" s="66" t="s">
        <v>2390</v>
      </c>
      <c r="C1265" s="68">
        <v>0</v>
      </c>
      <c r="D1265" s="68">
        <v>0</v>
      </c>
      <c r="E1265" s="68">
        <v>329.5</v>
      </c>
      <c r="F1265" s="68">
        <v>0</v>
      </c>
      <c r="G1265" s="68">
        <v>8564</v>
      </c>
      <c r="H1265" s="68">
        <v>0</v>
      </c>
      <c r="I1265" s="68">
        <v>8564</v>
      </c>
      <c r="J1265" s="68">
        <v>0</v>
      </c>
    </row>
    <row r="1266" spans="1:10" ht="14.25" customHeight="1">
      <c r="A1266" s="66" t="s">
        <v>3115</v>
      </c>
      <c r="B1266" s="66" t="s">
        <v>2798</v>
      </c>
      <c r="C1266" s="68">
        <v>0</v>
      </c>
      <c r="D1266" s="68">
        <v>0</v>
      </c>
      <c r="E1266" s="68">
        <v>452.71999999999935</v>
      </c>
      <c r="F1266" s="68">
        <v>0</v>
      </c>
      <c r="G1266" s="68">
        <v>8883.6299999999992</v>
      </c>
      <c r="H1266" s="68">
        <v>0</v>
      </c>
      <c r="I1266" s="68">
        <v>8883.6299999999992</v>
      </c>
      <c r="J1266" s="68">
        <v>0</v>
      </c>
    </row>
    <row r="1267" spans="1:10" ht="14.25" customHeight="1">
      <c r="A1267" s="66" t="s">
        <v>3116</v>
      </c>
      <c r="B1267" s="66" t="s">
        <v>2804</v>
      </c>
      <c r="C1267" s="68">
        <v>0</v>
      </c>
      <c r="D1267" s="68">
        <v>0</v>
      </c>
      <c r="E1267" s="68">
        <v>272.88000000000011</v>
      </c>
      <c r="F1267" s="68">
        <v>0</v>
      </c>
      <c r="G1267" s="68">
        <v>3477.6000000000004</v>
      </c>
      <c r="H1267" s="68">
        <v>0</v>
      </c>
      <c r="I1267" s="68">
        <v>3477.6000000000004</v>
      </c>
      <c r="J1267" s="68">
        <v>0</v>
      </c>
    </row>
    <row r="1268" spans="1:10" ht="14.25" customHeight="1">
      <c r="A1268" s="66" t="s">
        <v>3117</v>
      </c>
      <c r="B1268" s="66" t="s">
        <v>2806</v>
      </c>
      <c r="C1268" s="68">
        <v>0</v>
      </c>
      <c r="D1268" s="68">
        <v>0</v>
      </c>
      <c r="E1268" s="68">
        <v>503.3799999999992</v>
      </c>
      <c r="F1268" s="68">
        <v>0</v>
      </c>
      <c r="G1268" s="68">
        <v>12024.439999999999</v>
      </c>
      <c r="H1268" s="68">
        <v>0</v>
      </c>
      <c r="I1268" s="68">
        <v>12024.439999999999</v>
      </c>
      <c r="J1268" s="68">
        <v>0</v>
      </c>
    </row>
    <row r="1269" spans="1:10" ht="14.25" customHeight="1">
      <c r="A1269" s="66" t="s">
        <v>3118</v>
      </c>
      <c r="B1269" s="66" t="s">
        <v>2796</v>
      </c>
      <c r="C1269" s="68">
        <v>0</v>
      </c>
      <c r="D1269" s="68">
        <v>0</v>
      </c>
      <c r="E1269" s="68">
        <v>66.659999999999968</v>
      </c>
      <c r="F1269" s="68">
        <v>0</v>
      </c>
      <c r="G1269" s="68">
        <v>399.95999999999992</v>
      </c>
      <c r="H1269" s="68">
        <v>0</v>
      </c>
      <c r="I1269" s="68">
        <v>399.95999999999992</v>
      </c>
      <c r="J1269" s="68">
        <v>0</v>
      </c>
    </row>
    <row r="1270" spans="1:10" ht="14.25" customHeight="1">
      <c r="A1270" s="66" t="s">
        <v>3119</v>
      </c>
      <c r="B1270" s="66" t="s">
        <v>898</v>
      </c>
      <c r="C1270" s="68">
        <v>0</v>
      </c>
      <c r="D1270" s="68">
        <v>0</v>
      </c>
      <c r="E1270" s="68">
        <v>904022.75999999978</v>
      </c>
      <c r="F1270" s="68">
        <v>0</v>
      </c>
      <c r="G1270" s="68">
        <v>10361520.65</v>
      </c>
      <c r="H1270" s="68">
        <v>0</v>
      </c>
      <c r="I1270" s="68">
        <v>10361520.65</v>
      </c>
      <c r="J1270" s="68">
        <v>0</v>
      </c>
    </row>
    <row r="1271" spans="1:10" ht="14.25" customHeight="1">
      <c r="A1271" s="66" t="s">
        <v>3120</v>
      </c>
      <c r="B1271" s="66" t="s">
        <v>2667</v>
      </c>
      <c r="C1271" s="68">
        <v>0</v>
      </c>
      <c r="D1271" s="68">
        <v>0</v>
      </c>
      <c r="E1271" s="68">
        <v>53450.119999999995</v>
      </c>
      <c r="F1271" s="68">
        <v>0</v>
      </c>
      <c r="G1271" s="68">
        <v>641508.80000000005</v>
      </c>
      <c r="H1271" s="68">
        <v>0</v>
      </c>
      <c r="I1271" s="68">
        <v>641508.80000000005</v>
      </c>
      <c r="J1271" s="68">
        <v>0</v>
      </c>
    </row>
    <row r="1272" spans="1:10" ht="14.25" customHeight="1">
      <c r="A1272" s="66" t="s">
        <v>3121</v>
      </c>
      <c r="B1272" s="66" t="s">
        <v>2671</v>
      </c>
      <c r="C1272" s="68">
        <v>0</v>
      </c>
      <c r="D1272" s="68">
        <v>0</v>
      </c>
      <c r="E1272" s="68">
        <v>423.31999999999994</v>
      </c>
      <c r="F1272" s="68">
        <v>0</v>
      </c>
      <c r="G1272" s="68">
        <v>1882.29</v>
      </c>
      <c r="H1272" s="68">
        <v>0</v>
      </c>
      <c r="I1272" s="68">
        <v>1882.29</v>
      </c>
      <c r="J1272" s="68">
        <v>0</v>
      </c>
    </row>
    <row r="1273" spans="1:10" ht="14.25" customHeight="1">
      <c r="A1273" s="66" t="s">
        <v>3122</v>
      </c>
      <c r="B1273" s="66" t="s">
        <v>2676</v>
      </c>
      <c r="C1273" s="68">
        <v>0</v>
      </c>
      <c r="D1273" s="68">
        <v>0</v>
      </c>
      <c r="E1273" s="68">
        <v>3671.869999999999</v>
      </c>
      <c r="F1273" s="68">
        <v>0</v>
      </c>
      <c r="G1273" s="68">
        <v>22112.609999999997</v>
      </c>
      <c r="H1273" s="68">
        <v>0</v>
      </c>
      <c r="I1273" s="68">
        <v>22112.609999999997</v>
      </c>
      <c r="J1273" s="68">
        <v>0</v>
      </c>
    </row>
    <row r="1274" spans="1:10" ht="14.25" customHeight="1">
      <c r="A1274" s="66" t="s">
        <v>3123</v>
      </c>
      <c r="B1274" s="66" t="s">
        <v>2678</v>
      </c>
      <c r="C1274" s="68">
        <v>0</v>
      </c>
      <c r="D1274" s="68">
        <v>0</v>
      </c>
      <c r="E1274" s="68">
        <v>14117.739999999991</v>
      </c>
      <c r="F1274" s="68">
        <v>0</v>
      </c>
      <c r="G1274" s="68">
        <v>152247.94999999998</v>
      </c>
      <c r="H1274" s="68">
        <v>0</v>
      </c>
      <c r="I1274" s="68">
        <v>152247.94999999998</v>
      </c>
      <c r="J1274" s="68">
        <v>0</v>
      </c>
    </row>
    <row r="1275" spans="1:10" ht="14.25" customHeight="1">
      <c r="A1275" s="66" t="s">
        <v>3124</v>
      </c>
      <c r="B1275" s="66" t="s">
        <v>2680</v>
      </c>
      <c r="C1275" s="68">
        <v>0</v>
      </c>
      <c r="D1275" s="68">
        <v>0</v>
      </c>
      <c r="E1275" s="68">
        <v>239.19999999999982</v>
      </c>
      <c r="F1275" s="68">
        <v>0</v>
      </c>
      <c r="G1275" s="68">
        <v>3775.29</v>
      </c>
      <c r="H1275" s="68">
        <v>0</v>
      </c>
      <c r="I1275" s="68">
        <v>3775.29</v>
      </c>
      <c r="J1275" s="68">
        <v>0</v>
      </c>
    </row>
    <row r="1276" spans="1:10" ht="14.25" customHeight="1">
      <c r="A1276" s="66" t="s">
        <v>3125</v>
      </c>
      <c r="B1276" s="66" t="s">
        <v>2682</v>
      </c>
      <c r="C1276" s="68">
        <v>0</v>
      </c>
      <c r="D1276" s="68">
        <v>0</v>
      </c>
      <c r="E1276" s="68">
        <v>0</v>
      </c>
      <c r="F1276" s="68">
        <v>0</v>
      </c>
      <c r="G1276" s="68">
        <v>104.19000000000001</v>
      </c>
      <c r="H1276" s="68">
        <v>0</v>
      </c>
      <c r="I1276" s="68">
        <v>104.19000000000001</v>
      </c>
      <c r="J1276" s="68">
        <v>0</v>
      </c>
    </row>
    <row r="1277" spans="1:10" ht="14.25" customHeight="1">
      <c r="A1277" s="66" t="s">
        <v>3126</v>
      </c>
      <c r="B1277" s="66" t="s">
        <v>2684</v>
      </c>
      <c r="C1277" s="68">
        <v>0</v>
      </c>
      <c r="D1277" s="68">
        <v>0</v>
      </c>
      <c r="E1277" s="68">
        <v>217.63999999999987</v>
      </c>
      <c r="F1277" s="68">
        <v>0</v>
      </c>
      <c r="G1277" s="68">
        <v>1298.83</v>
      </c>
      <c r="H1277" s="68">
        <v>0</v>
      </c>
      <c r="I1277" s="68">
        <v>1298.83</v>
      </c>
      <c r="J1277" s="68">
        <v>0</v>
      </c>
    </row>
    <row r="1278" spans="1:10" ht="14.25" customHeight="1">
      <c r="A1278" s="66" t="s">
        <v>3127</v>
      </c>
      <c r="B1278" s="66" t="s">
        <v>2688</v>
      </c>
      <c r="C1278" s="68">
        <v>0</v>
      </c>
      <c r="D1278" s="68">
        <v>0</v>
      </c>
      <c r="E1278" s="68">
        <v>631.27999999999884</v>
      </c>
      <c r="F1278" s="68">
        <v>0</v>
      </c>
      <c r="G1278" s="68">
        <v>68737.3</v>
      </c>
      <c r="H1278" s="68">
        <v>0</v>
      </c>
      <c r="I1278" s="68">
        <v>68737.3</v>
      </c>
      <c r="J1278" s="68">
        <v>0</v>
      </c>
    </row>
    <row r="1279" spans="1:10" ht="14.25" customHeight="1">
      <c r="A1279" s="66" t="s">
        <v>3128</v>
      </c>
      <c r="B1279" s="66" t="s">
        <v>2691</v>
      </c>
      <c r="C1279" s="68">
        <v>0</v>
      </c>
      <c r="D1279" s="68">
        <v>0</v>
      </c>
      <c r="E1279" s="68">
        <v>3329.0500000000029</v>
      </c>
      <c r="F1279" s="68">
        <v>0</v>
      </c>
      <c r="G1279" s="68">
        <v>59648.41</v>
      </c>
      <c r="H1279" s="68">
        <v>0</v>
      </c>
      <c r="I1279" s="68">
        <v>59648.41</v>
      </c>
      <c r="J1279" s="68">
        <v>0</v>
      </c>
    </row>
    <row r="1280" spans="1:10" ht="14.25" customHeight="1">
      <c r="A1280" s="66" t="s">
        <v>3129</v>
      </c>
      <c r="B1280" s="66" t="s">
        <v>2695</v>
      </c>
      <c r="C1280" s="68">
        <v>0</v>
      </c>
      <c r="D1280" s="68">
        <v>0</v>
      </c>
      <c r="E1280" s="68">
        <v>1829.5299999999988</v>
      </c>
      <c r="F1280" s="68">
        <v>0</v>
      </c>
      <c r="G1280" s="68">
        <v>34328.75</v>
      </c>
      <c r="H1280" s="68">
        <v>0</v>
      </c>
      <c r="I1280" s="68">
        <v>34328.75</v>
      </c>
      <c r="J1280" s="68">
        <v>0</v>
      </c>
    </row>
    <row r="1281" spans="1:10" ht="14.25" customHeight="1">
      <c r="A1281" s="66" t="s">
        <v>3130</v>
      </c>
      <c r="B1281" s="66" t="s">
        <v>2702</v>
      </c>
      <c r="C1281" s="68">
        <v>0</v>
      </c>
      <c r="D1281" s="68">
        <v>0</v>
      </c>
      <c r="E1281" s="68">
        <v>2287.0599999999995</v>
      </c>
      <c r="F1281" s="68">
        <v>0</v>
      </c>
      <c r="G1281" s="68">
        <v>4150.57</v>
      </c>
      <c r="H1281" s="68">
        <v>0</v>
      </c>
      <c r="I1281" s="68">
        <v>4150.57</v>
      </c>
      <c r="J1281" s="68">
        <v>0</v>
      </c>
    </row>
    <row r="1282" spans="1:10" ht="14.25" customHeight="1">
      <c r="A1282" s="66" t="s">
        <v>3131</v>
      </c>
      <c r="B1282" s="66" t="s">
        <v>2708</v>
      </c>
      <c r="C1282" s="68">
        <v>0</v>
      </c>
      <c r="D1282" s="68">
        <v>0</v>
      </c>
      <c r="E1282" s="68">
        <v>608.47000000000025</v>
      </c>
      <c r="F1282" s="68">
        <v>0</v>
      </c>
      <c r="G1282" s="68">
        <v>7080.95</v>
      </c>
      <c r="H1282" s="68">
        <v>0</v>
      </c>
      <c r="I1282" s="68">
        <v>7080.95</v>
      </c>
      <c r="J1282" s="68">
        <v>0</v>
      </c>
    </row>
    <row r="1283" spans="1:10" ht="14.25" customHeight="1">
      <c r="A1283" s="66" t="s">
        <v>3132</v>
      </c>
      <c r="B1283" s="66" t="s">
        <v>2712</v>
      </c>
      <c r="C1283" s="68">
        <v>0</v>
      </c>
      <c r="D1283" s="68">
        <v>0</v>
      </c>
      <c r="E1283" s="68">
        <v>40250</v>
      </c>
      <c r="F1283" s="68">
        <v>0</v>
      </c>
      <c r="G1283" s="68">
        <v>178710.78999999998</v>
      </c>
      <c r="H1283" s="68">
        <v>0</v>
      </c>
      <c r="I1283" s="68">
        <v>178710.78999999998</v>
      </c>
      <c r="J1283" s="68">
        <v>0</v>
      </c>
    </row>
    <row r="1284" spans="1:10" ht="14.25" customHeight="1">
      <c r="A1284" s="66" t="s">
        <v>3133</v>
      </c>
      <c r="B1284" s="66" t="s">
        <v>2716</v>
      </c>
      <c r="C1284" s="68">
        <v>0</v>
      </c>
      <c r="D1284" s="68">
        <v>0</v>
      </c>
      <c r="E1284" s="68">
        <v>665</v>
      </c>
      <c r="F1284" s="68">
        <v>0</v>
      </c>
      <c r="G1284" s="68">
        <v>41388</v>
      </c>
      <c r="H1284" s="68">
        <v>0</v>
      </c>
      <c r="I1284" s="68">
        <v>41388</v>
      </c>
      <c r="J1284" s="68">
        <v>0</v>
      </c>
    </row>
    <row r="1285" spans="1:10" ht="14.25" customHeight="1">
      <c r="A1285" s="66" t="s">
        <v>3134</v>
      </c>
      <c r="B1285" s="66" t="s">
        <v>2722</v>
      </c>
      <c r="C1285" s="68">
        <v>0</v>
      </c>
      <c r="D1285" s="68">
        <v>0</v>
      </c>
      <c r="E1285" s="68">
        <v>930</v>
      </c>
      <c r="F1285" s="68">
        <v>0</v>
      </c>
      <c r="G1285" s="68">
        <v>16754.84</v>
      </c>
      <c r="H1285" s="68">
        <v>0</v>
      </c>
      <c r="I1285" s="68">
        <v>16754.84</v>
      </c>
      <c r="J1285" s="68">
        <v>0</v>
      </c>
    </row>
    <row r="1286" spans="1:10" ht="14.25" customHeight="1">
      <c r="A1286" s="66" t="s">
        <v>3135</v>
      </c>
      <c r="B1286" s="66" t="s">
        <v>2724</v>
      </c>
      <c r="C1286" s="68">
        <v>0</v>
      </c>
      <c r="D1286" s="68">
        <v>0</v>
      </c>
      <c r="E1286" s="68">
        <v>239.23999999999069</v>
      </c>
      <c r="F1286" s="68">
        <v>0</v>
      </c>
      <c r="G1286" s="68">
        <v>151478.35999999999</v>
      </c>
      <c r="H1286" s="68">
        <v>0</v>
      </c>
      <c r="I1286" s="68">
        <v>151478.35999999999</v>
      </c>
      <c r="J1286" s="68">
        <v>0</v>
      </c>
    </row>
    <row r="1287" spans="1:10" ht="14.25" customHeight="1">
      <c r="A1287" s="66" t="s">
        <v>3136</v>
      </c>
      <c r="B1287" s="66" t="s">
        <v>29</v>
      </c>
      <c r="C1287" s="68">
        <v>0</v>
      </c>
      <c r="D1287" s="68">
        <v>0</v>
      </c>
      <c r="E1287" s="68">
        <v>97734.770000000019</v>
      </c>
      <c r="F1287" s="68">
        <v>0</v>
      </c>
      <c r="G1287" s="68">
        <v>971853.08000000007</v>
      </c>
      <c r="H1287" s="68">
        <v>0</v>
      </c>
      <c r="I1287" s="68">
        <v>971853.08000000007</v>
      </c>
      <c r="J1287" s="68">
        <v>0</v>
      </c>
    </row>
    <row r="1288" spans="1:10" ht="14.25" customHeight="1">
      <c r="A1288" s="66" t="s">
        <v>3137</v>
      </c>
      <c r="B1288" s="66" t="s">
        <v>2766</v>
      </c>
      <c r="C1288" s="68">
        <v>0</v>
      </c>
      <c r="D1288" s="68">
        <v>0</v>
      </c>
      <c r="E1288" s="68">
        <v>18640.609999999986</v>
      </c>
      <c r="F1288" s="68">
        <v>0</v>
      </c>
      <c r="G1288" s="68">
        <v>187120.56</v>
      </c>
      <c r="H1288" s="68">
        <v>0</v>
      </c>
      <c r="I1288" s="68">
        <v>187120.56</v>
      </c>
      <c r="J1288" s="68">
        <v>0</v>
      </c>
    </row>
    <row r="1289" spans="1:10" ht="14.25" customHeight="1">
      <c r="A1289" s="66" t="s">
        <v>3138</v>
      </c>
      <c r="B1289" s="66" t="s">
        <v>2768</v>
      </c>
      <c r="C1289" s="68">
        <v>0</v>
      </c>
      <c r="D1289" s="68">
        <v>0</v>
      </c>
      <c r="E1289" s="68">
        <v>0</v>
      </c>
      <c r="F1289" s="68">
        <v>0</v>
      </c>
      <c r="G1289" s="68">
        <v>6553.66</v>
      </c>
      <c r="H1289" s="68">
        <v>0</v>
      </c>
      <c r="I1289" s="68">
        <v>6553.66</v>
      </c>
      <c r="J1289" s="68">
        <v>0</v>
      </c>
    </row>
    <row r="1290" spans="1:10" ht="14.25" customHeight="1">
      <c r="A1290" s="66" t="s">
        <v>3139</v>
      </c>
      <c r="B1290" s="66" t="s">
        <v>2851</v>
      </c>
      <c r="C1290" s="68">
        <v>0</v>
      </c>
      <c r="D1290" s="68">
        <v>0</v>
      </c>
      <c r="E1290" s="68">
        <v>963.71999999999935</v>
      </c>
      <c r="F1290" s="68">
        <v>0</v>
      </c>
      <c r="G1290" s="68">
        <v>12909.819999999998</v>
      </c>
      <c r="H1290" s="68">
        <v>0</v>
      </c>
      <c r="I1290" s="68">
        <v>12909.819999999998</v>
      </c>
      <c r="J1290" s="68">
        <v>0</v>
      </c>
    </row>
    <row r="1291" spans="1:10" ht="14.25" customHeight="1">
      <c r="A1291" s="66" t="s">
        <v>3140</v>
      </c>
      <c r="B1291" s="66" t="s">
        <v>2772</v>
      </c>
      <c r="C1291" s="68">
        <v>0</v>
      </c>
      <c r="D1291" s="68">
        <v>0</v>
      </c>
      <c r="E1291" s="68">
        <v>267.17999999999984</v>
      </c>
      <c r="F1291" s="68">
        <v>0</v>
      </c>
      <c r="G1291" s="68">
        <v>3286.5899999999997</v>
      </c>
      <c r="H1291" s="68">
        <v>0</v>
      </c>
      <c r="I1291" s="68">
        <v>3286.5899999999997</v>
      </c>
      <c r="J1291" s="68">
        <v>0</v>
      </c>
    </row>
    <row r="1292" spans="1:10" ht="14.25" customHeight="1">
      <c r="A1292" s="66" t="s">
        <v>3141</v>
      </c>
      <c r="B1292" s="66" t="s">
        <v>2775</v>
      </c>
      <c r="C1292" s="68">
        <v>0</v>
      </c>
      <c r="D1292" s="68">
        <v>0</v>
      </c>
      <c r="E1292" s="68">
        <v>1091.1499999999996</v>
      </c>
      <c r="F1292" s="68">
        <v>0</v>
      </c>
      <c r="G1292" s="68">
        <v>13100.6</v>
      </c>
      <c r="H1292" s="68">
        <v>0</v>
      </c>
      <c r="I1292" s="68">
        <v>13100.6</v>
      </c>
      <c r="J1292" s="68">
        <v>0</v>
      </c>
    </row>
    <row r="1293" spans="1:10" ht="14.25" customHeight="1">
      <c r="A1293" s="66" t="s">
        <v>3142</v>
      </c>
      <c r="B1293" s="66" t="s">
        <v>2777</v>
      </c>
      <c r="C1293" s="68">
        <v>0</v>
      </c>
      <c r="D1293" s="68">
        <v>0</v>
      </c>
      <c r="E1293" s="68">
        <v>457.17</v>
      </c>
      <c r="F1293" s="68">
        <v>0</v>
      </c>
      <c r="G1293" s="68">
        <v>490.19</v>
      </c>
      <c r="H1293" s="68">
        <v>0</v>
      </c>
      <c r="I1293" s="68">
        <v>490.19</v>
      </c>
      <c r="J1293" s="68">
        <v>0</v>
      </c>
    </row>
    <row r="1294" spans="1:10" ht="14.25" customHeight="1">
      <c r="A1294" s="66" t="s">
        <v>3143</v>
      </c>
      <c r="B1294" s="66" t="s">
        <v>2780</v>
      </c>
      <c r="C1294" s="68">
        <v>0</v>
      </c>
      <c r="D1294" s="68">
        <v>0</v>
      </c>
      <c r="E1294" s="68">
        <v>23105.450000000012</v>
      </c>
      <c r="F1294" s="68">
        <v>0</v>
      </c>
      <c r="G1294" s="68">
        <v>277264.84999999998</v>
      </c>
      <c r="H1294" s="68">
        <v>0</v>
      </c>
      <c r="I1294" s="68">
        <v>277264.84999999998</v>
      </c>
      <c r="J1294" s="68">
        <v>0</v>
      </c>
    </row>
    <row r="1295" spans="1:10" ht="14.25" customHeight="1">
      <c r="A1295" s="66" t="s">
        <v>3144</v>
      </c>
      <c r="B1295" s="66" t="s">
        <v>2386</v>
      </c>
      <c r="C1295" s="68">
        <v>0</v>
      </c>
      <c r="D1295" s="68">
        <v>0</v>
      </c>
      <c r="E1295" s="68">
        <v>634996.88999999966</v>
      </c>
      <c r="F1295" s="68">
        <v>0</v>
      </c>
      <c r="G1295" s="68">
        <v>7489270.4200000009</v>
      </c>
      <c r="H1295" s="68">
        <v>0</v>
      </c>
      <c r="I1295" s="68">
        <v>7489270.4200000009</v>
      </c>
      <c r="J1295" s="68">
        <v>0</v>
      </c>
    </row>
    <row r="1296" spans="1:10" ht="14.25" customHeight="1">
      <c r="A1296" s="66" t="s">
        <v>3145</v>
      </c>
      <c r="B1296" s="66" t="s">
        <v>2390</v>
      </c>
      <c r="C1296" s="68">
        <v>0</v>
      </c>
      <c r="D1296" s="68">
        <v>0</v>
      </c>
      <c r="E1296" s="68">
        <v>3049</v>
      </c>
      <c r="F1296" s="68">
        <v>0</v>
      </c>
      <c r="G1296" s="68">
        <v>3323.2</v>
      </c>
      <c r="H1296" s="68">
        <v>0</v>
      </c>
      <c r="I1296" s="68">
        <v>3323.2</v>
      </c>
      <c r="J1296" s="68">
        <v>0</v>
      </c>
    </row>
    <row r="1297" spans="1:10" ht="14.25" customHeight="1">
      <c r="A1297" s="66" t="s">
        <v>3146</v>
      </c>
      <c r="B1297" s="66" t="s">
        <v>2798</v>
      </c>
      <c r="C1297" s="68">
        <v>0</v>
      </c>
      <c r="D1297" s="68">
        <v>0</v>
      </c>
      <c r="E1297" s="68">
        <v>827.29999999999927</v>
      </c>
      <c r="F1297" s="68">
        <v>0</v>
      </c>
      <c r="G1297" s="68">
        <v>9753.48</v>
      </c>
      <c r="H1297" s="68">
        <v>0</v>
      </c>
      <c r="I1297" s="68">
        <v>9753.48</v>
      </c>
      <c r="J1297" s="68">
        <v>0</v>
      </c>
    </row>
    <row r="1298" spans="1:10" ht="14.25" customHeight="1">
      <c r="A1298" s="66" t="s">
        <v>3147</v>
      </c>
      <c r="B1298" s="66" t="s">
        <v>2804</v>
      </c>
      <c r="C1298" s="68">
        <v>0</v>
      </c>
      <c r="D1298" s="68">
        <v>0</v>
      </c>
      <c r="E1298" s="68">
        <v>0</v>
      </c>
      <c r="F1298" s="68">
        <v>0</v>
      </c>
      <c r="G1298" s="68">
        <v>1386.27</v>
      </c>
      <c r="H1298" s="68">
        <v>0</v>
      </c>
      <c r="I1298" s="68">
        <v>1386.27</v>
      </c>
      <c r="J1298" s="68">
        <v>0</v>
      </c>
    </row>
    <row r="1299" spans="1:10" ht="14.25" customHeight="1">
      <c r="A1299" s="66" t="s">
        <v>3148</v>
      </c>
      <c r="B1299" s="66" t="s">
        <v>3149</v>
      </c>
      <c r="C1299" s="68">
        <v>0</v>
      </c>
      <c r="D1299" s="68">
        <v>0</v>
      </c>
      <c r="E1299" s="68">
        <v>41660.229999999981</v>
      </c>
      <c r="F1299" s="68">
        <v>0</v>
      </c>
      <c r="G1299" s="68">
        <v>765695.55999999994</v>
      </c>
      <c r="H1299" s="68">
        <v>0</v>
      </c>
      <c r="I1299" s="68">
        <v>765695.55999999994</v>
      </c>
      <c r="J1299" s="68">
        <v>0</v>
      </c>
    </row>
    <row r="1300" spans="1:10" ht="14.25" customHeight="1">
      <c r="A1300" s="66" t="s">
        <v>3150</v>
      </c>
      <c r="B1300" s="66" t="s">
        <v>2667</v>
      </c>
      <c r="C1300" s="68">
        <v>0</v>
      </c>
      <c r="D1300" s="68">
        <v>0</v>
      </c>
      <c r="E1300" s="68">
        <v>10636.350000000006</v>
      </c>
      <c r="F1300" s="68">
        <v>0</v>
      </c>
      <c r="G1300" s="68">
        <v>127239.86000000003</v>
      </c>
      <c r="H1300" s="68">
        <v>0</v>
      </c>
      <c r="I1300" s="68">
        <v>127239.86000000003</v>
      </c>
      <c r="J1300" s="68">
        <v>0</v>
      </c>
    </row>
    <row r="1301" spans="1:10" ht="14.25" customHeight="1">
      <c r="A1301" s="66" t="s">
        <v>3151</v>
      </c>
      <c r="B1301" s="66" t="s">
        <v>2822</v>
      </c>
      <c r="C1301" s="68">
        <v>0</v>
      </c>
      <c r="D1301" s="68">
        <v>0</v>
      </c>
      <c r="E1301" s="68">
        <v>4426.4599999999991</v>
      </c>
      <c r="F1301" s="68">
        <v>0</v>
      </c>
      <c r="G1301" s="68">
        <v>52040.089999999989</v>
      </c>
      <c r="H1301" s="68">
        <v>0</v>
      </c>
      <c r="I1301" s="68">
        <v>52040.089999999989</v>
      </c>
      <c r="J1301" s="68">
        <v>0</v>
      </c>
    </row>
    <row r="1302" spans="1:10" ht="14.25" customHeight="1">
      <c r="A1302" s="66" t="s">
        <v>3152</v>
      </c>
      <c r="B1302" s="66" t="s">
        <v>2671</v>
      </c>
      <c r="C1302" s="68">
        <v>0</v>
      </c>
      <c r="D1302" s="68">
        <v>0</v>
      </c>
      <c r="E1302" s="68">
        <v>31.24</v>
      </c>
      <c r="F1302" s="68">
        <v>0</v>
      </c>
      <c r="G1302" s="68">
        <v>31.24</v>
      </c>
      <c r="H1302" s="68">
        <v>0</v>
      </c>
      <c r="I1302" s="68">
        <v>31.24</v>
      </c>
      <c r="J1302" s="68">
        <v>0</v>
      </c>
    </row>
    <row r="1303" spans="1:10" ht="14.25" customHeight="1">
      <c r="A1303" s="66" t="s">
        <v>3153</v>
      </c>
      <c r="B1303" s="66" t="s">
        <v>2680</v>
      </c>
      <c r="C1303" s="68">
        <v>0</v>
      </c>
      <c r="D1303" s="68">
        <v>0</v>
      </c>
      <c r="E1303" s="68">
        <v>1847.04</v>
      </c>
      <c r="F1303" s="68">
        <v>0</v>
      </c>
      <c r="G1303" s="68">
        <v>3694.08</v>
      </c>
      <c r="H1303" s="68">
        <v>0</v>
      </c>
      <c r="I1303" s="68">
        <v>3694.08</v>
      </c>
      <c r="J1303" s="68">
        <v>0</v>
      </c>
    </row>
    <row r="1304" spans="1:10" ht="14.25" customHeight="1">
      <c r="A1304" s="66" t="s">
        <v>3154</v>
      </c>
      <c r="B1304" s="66" t="s">
        <v>2688</v>
      </c>
      <c r="C1304" s="68">
        <v>0</v>
      </c>
      <c r="D1304" s="68">
        <v>0</v>
      </c>
      <c r="E1304" s="68">
        <v>1216.8699999999953</v>
      </c>
      <c r="F1304" s="68">
        <v>0</v>
      </c>
      <c r="G1304" s="68">
        <v>181155.82</v>
      </c>
      <c r="H1304" s="68">
        <v>0</v>
      </c>
      <c r="I1304" s="68">
        <v>181155.82</v>
      </c>
      <c r="J1304" s="68">
        <v>0</v>
      </c>
    </row>
    <row r="1305" spans="1:10" ht="14.25" customHeight="1">
      <c r="A1305" s="66" t="s">
        <v>3155</v>
      </c>
      <c r="B1305" s="66" t="s">
        <v>2691</v>
      </c>
      <c r="C1305" s="68">
        <v>0</v>
      </c>
      <c r="D1305" s="68">
        <v>0</v>
      </c>
      <c r="E1305" s="68">
        <v>345.3100000000004</v>
      </c>
      <c r="F1305" s="68">
        <v>0</v>
      </c>
      <c r="G1305" s="68">
        <v>6201.2</v>
      </c>
      <c r="H1305" s="68">
        <v>0</v>
      </c>
      <c r="I1305" s="68">
        <v>6201.2</v>
      </c>
      <c r="J1305" s="68">
        <v>0</v>
      </c>
    </row>
    <row r="1306" spans="1:10" ht="14.25" customHeight="1">
      <c r="A1306" s="66" t="s">
        <v>3156</v>
      </c>
      <c r="B1306" s="66" t="s">
        <v>2708</v>
      </c>
      <c r="C1306" s="68">
        <v>0</v>
      </c>
      <c r="D1306" s="68">
        <v>0</v>
      </c>
      <c r="E1306" s="68">
        <v>44</v>
      </c>
      <c r="F1306" s="68">
        <v>0</v>
      </c>
      <c r="G1306" s="68">
        <v>491.55999999999995</v>
      </c>
      <c r="H1306" s="68">
        <v>0</v>
      </c>
      <c r="I1306" s="68">
        <v>491.55999999999995</v>
      </c>
      <c r="J1306" s="68">
        <v>0</v>
      </c>
    </row>
    <row r="1307" spans="1:10" ht="14.25" customHeight="1">
      <c r="A1307" s="66" t="s">
        <v>3157</v>
      </c>
      <c r="B1307" s="66" t="s">
        <v>2712</v>
      </c>
      <c r="C1307" s="68">
        <v>0</v>
      </c>
      <c r="D1307" s="68">
        <v>0</v>
      </c>
      <c r="E1307" s="68">
        <v>3600</v>
      </c>
      <c r="F1307" s="68">
        <v>0</v>
      </c>
      <c r="G1307" s="68">
        <v>182994.38</v>
      </c>
      <c r="H1307" s="68">
        <v>0</v>
      </c>
      <c r="I1307" s="68">
        <v>182994.38</v>
      </c>
      <c r="J1307" s="68">
        <v>0</v>
      </c>
    </row>
    <row r="1308" spans="1:10" ht="14.25" customHeight="1">
      <c r="A1308" s="66" t="s">
        <v>3158</v>
      </c>
      <c r="B1308" s="66" t="s">
        <v>2722</v>
      </c>
      <c r="C1308" s="68">
        <v>0</v>
      </c>
      <c r="D1308" s="68">
        <v>0</v>
      </c>
      <c r="E1308" s="68">
        <v>2230.4000000000015</v>
      </c>
      <c r="F1308" s="68">
        <v>0</v>
      </c>
      <c r="G1308" s="68">
        <v>26764.800000000007</v>
      </c>
      <c r="H1308" s="68">
        <v>0</v>
      </c>
      <c r="I1308" s="68">
        <v>26764.800000000007</v>
      </c>
      <c r="J1308" s="68">
        <v>0</v>
      </c>
    </row>
    <row r="1309" spans="1:10" ht="14.25" customHeight="1">
      <c r="A1309" s="66" t="s">
        <v>3159</v>
      </c>
      <c r="B1309" s="66" t="s">
        <v>2724</v>
      </c>
      <c r="C1309" s="68">
        <v>0</v>
      </c>
      <c r="D1309" s="68">
        <v>0</v>
      </c>
      <c r="E1309" s="68">
        <v>922.5</v>
      </c>
      <c r="F1309" s="68">
        <v>0</v>
      </c>
      <c r="G1309" s="68">
        <v>35231.25</v>
      </c>
      <c r="H1309" s="68">
        <v>0</v>
      </c>
      <c r="I1309" s="68">
        <v>35231.25</v>
      </c>
      <c r="J1309" s="68">
        <v>0</v>
      </c>
    </row>
    <row r="1310" spans="1:10" ht="14.25" customHeight="1">
      <c r="A1310" s="66" t="s">
        <v>3160</v>
      </c>
      <c r="B1310" s="66" t="s">
        <v>29</v>
      </c>
      <c r="C1310" s="68">
        <v>0</v>
      </c>
      <c r="D1310" s="68">
        <v>0</v>
      </c>
      <c r="E1310" s="68">
        <v>7000</v>
      </c>
      <c r="F1310" s="68">
        <v>0</v>
      </c>
      <c r="G1310" s="68">
        <v>66636.44</v>
      </c>
      <c r="H1310" s="68">
        <v>0</v>
      </c>
      <c r="I1310" s="68">
        <v>66636.44</v>
      </c>
      <c r="J1310" s="68">
        <v>0</v>
      </c>
    </row>
    <row r="1311" spans="1:10" ht="14.25" customHeight="1">
      <c r="A1311" s="66" t="s">
        <v>3161</v>
      </c>
      <c r="B1311" s="66" t="s">
        <v>2766</v>
      </c>
      <c r="C1311" s="68">
        <v>0</v>
      </c>
      <c r="D1311" s="68">
        <v>0</v>
      </c>
      <c r="E1311" s="68">
        <v>1236.2000000000007</v>
      </c>
      <c r="F1311" s="68">
        <v>0</v>
      </c>
      <c r="G1311" s="68">
        <v>11826.420000000002</v>
      </c>
      <c r="H1311" s="68">
        <v>0</v>
      </c>
      <c r="I1311" s="68">
        <v>11826.420000000002</v>
      </c>
      <c r="J1311" s="68">
        <v>0</v>
      </c>
    </row>
    <row r="1312" spans="1:10" ht="14.25" customHeight="1">
      <c r="A1312" s="66" t="s">
        <v>3162</v>
      </c>
      <c r="B1312" s="66" t="s">
        <v>2851</v>
      </c>
      <c r="C1312" s="68">
        <v>0</v>
      </c>
      <c r="D1312" s="68">
        <v>0</v>
      </c>
      <c r="E1312" s="68">
        <v>58</v>
      </c>
      <c r="F1312" s="68">
        <v>0</v>
      </c>
      <c r="G1312" s="68">
        <v>589.89</v>
      </c>
      <c r="H1312" s="68">
        <v>0</v>
      </c>
      <c r="I1312" s="68">
        <v>589.89</v>
      </c>
      <c r="J1312" s="68">
        <v>0</v>
      </c>
    </row>
    <row r="1313" spans="1:10" ht="14.25" customHeight="1">
      <c r="A1313" s="66" t="s">
        <v>3163</v>
      </c>
      <c r="B1313" s="66" t="s">
        <v>2772</v>
      </c>
      <c r="C1313" s="68">
        <v>0</v>
      </c>
      <c r="D1313" s="68">
        <v>0</v>
      </c>
      <c r="E1313" s="68">
        <v>19.080000000000013</v>
      </c>
      <c r="F1313" s="68">
        <v>0</v>
      </c>
      <c r="G1313" s="68">
        <v>227.89</v>
      </c>
      <c r="H1313" s="68">
        <v>0</v>
      </c>
      <c r="I1313" s="68">
        <v>227.89</v>
      </c>
      <c r="J1313" s="68">
        <v>0</v>
      </c>
    </row>
    <row r="1314" spans="1:10" ht="14.25" customHeight="1">
      <c r="A1314" s="66" t="s">
        <v>3164</v>
      </c>
      <c r="B1314" s="66" t="s">
        <v>2775</v>
      </c>
      <c r="C1314" s="68">
        <v>0</v>
      </c>
      <c r="D1314" s="68">
        <v>0</v>
      </c>
      <c r="E1314" s="68">
        <v>14.259999999999991</v>
      </c>
      <c r="F1314" s="68">
        <v>0</v>
      </c>
      <c r="G1314" s="68">
        <v>543.49</v>
      </c>
      <c r="H1314" s="68">
        <v>0</v>
      </c>
      <c r="I1314" s="68">
        <v>543.49</v>
      </c>
      <c r="J1314" s="68">
        <v>0</v>
      </c>
    </row>
    <row r="1315" spans="1:10" ht="14.25" customHeight="1">
      <c r="A1315" s="66" t="s">
        <v>3165</v>
      </c>
      <c r="B1315" s="66" t="s">
        <v>2777</v>
      </c>
      <c r="C1315" s="68">
        <v>0</v>
      </c>
      <c r="D1315" s="68">
        <v>0</v>
      </c>
      <c r="E1315" s="68">
        <v>32.65</v>
      </c>
      <c r="F1315" s="68">
        <v>0</v>
      </c>
      <c r="G1315" s="68">
        <v>34.71</v>
      </c>
      <c r="H1315" s="68">
        <v>0</v>
      </c>
      <c r="I1315" s="68">
        <v>34.71</v>
      </c>
      <c r="J1315" s="68">
        <v>0</v>
      </c>
    </row>
    <row r="1316" spans="1:10" ht="14.25" customHeight="1">
      <c r="A1316" s="66" t="s">
        <v>3166</v>
      </c>
      <c r="B1316" s="66" t="s">
        <v>2780</v>
      </c>
      <c r="C1316" s="68">
        <v>0</v>
      </c>
      <c r="D1316" s="68">
        <v>0</v>
      </c>
      <c r="E1316" s="68">
        <v>3335.6200000000026</v>
      </c>
      <c r="F1316" s="68">
        <v>0</v>
      </c>
      <c r="G1316" s="68">
        <v>40027.440000000002</v>
      </c>
      <c r="H1316" s="68">
        <v>0</v>
      </c>
      <c r="I1316" s="68">
        <v>40027.440000000002</v>
      </c>
      <c r="J1316" s="68">
        <v>0</v>
      </c>
    </row>
    <row r="1317" spans="1:10" ht="14.25" customHeight="1">
      <c r="A1317" s="66" t="s">
        <v>3167</v>
      </c>
      <c r="B1317" s="66" t="s">
        <v>2371</v>
      </c>
      <c r="C1317" s="68">
        <v>0</v>
      </c>
      <c r="D1317" s="68">
        <v>0</v>
      </c>
      <c r="E1317" s="68">
        <v>4467</v>
      </c>
      <c r="F1317" s="68">
        <v>0</v>
      </c>
      <c r="G1317" s="68">
        <v>27449</v>
      </c>
      <c r="H1317" s="68">
        <v>0</v>
      </c>
      <c r="I1317" s="68">
        <v>27449</v>
      </c>
      <c r="J1317" s="68">
        <v>0</v>
      </c>
    </row>
    <row r="1318" spans="1:10" ht="14.25" customHeight="1">
      <c r="A1318" s="66" t="s">
        <v>3168</v>
      </c>
      <c r="B1318" s="66" t="s">
        <v>2804</v>
      </c>
      <c r="C1318" s="68">
        <v>0</v>
      </c>
      <c r="D1318" s="68">
        <v>0</v>
      </c>
      <c r="E1318" s="68">
        <v>30.090000000000003</v>
      </c>
      <c r="F1318" s="68">
        <v>0</v>
      </c>
      <c r="G1318" s="68">
        <v>127.04</v>
      </c>
      <c r="H1318" s="68">
        <v>0</v>
      </c>
      <c r="I1318" s="68">
        <v>127.04</v>
      </c>
      <c r="J1318" s="68">
        <v>0</v>
      </c>
    </row>
    <row r="1319" spans="1:10" ht="14.25" customHeight="1">
      <c r="A1319" s="66" t="s">
        <v>3169</v>
      </c>
      <c r="B1319" s="66" t="s">
        <v>2806</v>
      </c>
      <c r="C1319" s="68">
        <v>0</v>
      </c>
      <c r="D1319" s="68">
        <v>0</v>
      </c>
      <c r="E1319" s="68">
        <v>167.16000000000008</v>
      </c>
      <c r="F1319" s="68">
        <v>0</v>
      </c>
      <c r="G1319" s="68">
        <v>1788.96</v>
      </c>
      <c r="H1319" s="68">
        <v>0</v>
      </c>
      <c r="I1319" s="68">
        <v>1788.96</v>
      </c>
      <c r="J1319" s="68">
        <v>0</v>
      </c>
    </row>
    <row r="1320" spans="1:10" ht="14.25" customHeight="1">
      <c r="A1320" s="66" t="s">
        <v>3170</v>
      </c>
      <c r="B1320" s="66" t="s">
        <v>2809</v>
      </c>
      <c r="C1320" s="68">
        <v>0</v>
      </c>
      <c r="D1320" s="68">
        <v>0</v>
      </c>
      <c r="E1320" s="68">
        <v>0</v>
      </c>
      <c r="F1320" s="68">
        <v>0</v>
      </c>
      <c r="G1320" s="68">
        <v>600</v>
      </c>
      <c r="H1320" s="68">
        <v>0</v>
      </c>
      <c r="I1320" s="68">
        <v>600</v>
      </c>
      <c r="J1320" s="68">
        <v>0</v>
      </c>
    </row>
    <row r="1321" spans="1:10" ht="14.25" customHeight="1">
      <c r="A1321" s="66" t="s">
        <v>3171</v>
      </c>
      <c r="B1321" s="66" t="s">
        <v>3172</v>
      </c>
      <c r="C1321" s="68">
        <v>0</v>
      </c>
      <c r="D1321" s="68">
        <v>0</v>
      </c>
      <c r="E1321" s="68">
        <v>731298.43000000063</v>
      </c>
      <c r="F1321" s="68">
        <v>0</v>
      </c>
      <c r="G1321" s="68">
        <v>6970099.75</v>
      </c>
      <c r="H1321" s="68">
        <v>0</v>
      </c>
      <c r="I1321" s="68">
        <v>6970099.75</v>
      </c>
      <c r="J1321" s="68">
        <v>0</v>
      </c>
    </row>
    <row r="1322" spans="1:10" ht="14.25" customHeight="1">
      <c r="A1322" s="66" t="s">
        <v>3173</v>
      </c>
      <c r="B1322" s="66" t="s">
        <v>2667</v>
      </c>
      <c r="C1322" s="68">
        <v>0</v>
      </c>
      <c r="D1322" s="68">
        <v>0</v>
      </c>
      <c r="E1322" s="68">
        <v>3915.8199999999997</v>
      </c>
      <c r="F1322" s="68">
        <v>0</v>
      </c>
      <c r="G1322" s="68">
        <v>46737.34</v>
      </c>
      <c r="H1322" s="68">
        <v>0</v>
      </c>
      <c r="I1322" s="68">
        <v>46737.34</v>
      </c>
      <c r="J1322" s="68">
        <v>0</v>
      </c>
    </row>
    <row r="1323" spans="1:10" ht="14.25" customHeight="1">
      <c r="A1323" s="66" t="s">
        <v>3174</v>
      </c>
      <c r="B1323" s="66" t="s">
        <v>2818</v>
      </c>
      <c r="C1323" s="68">
        <v>0</v>
      </c>
      <c r="D1323" s="68">
        <v>0</v>
      </c>
      <c r="E1323" s="68">
        <v>1695.8299999999981</v>
      </c>
      <c r="F1323" s="68">
        <v>0</v>
      </c>
      <c r="G1323" s="68">
        <v>20350</v>
      </c>
      <c r="H1323" s="68">
        <v>0</v>
      </c>
      <c r="I1323" s="68">
        <v>20350</v>
      </c>
      <c r="J1323" s="68">
        <v>0</v>
      </c>
    </row>
    <row r="1324" spans="1:10" ht="14.25" customHeight="1">
      <c r="A1324" s="66" t="s">
        <v>3175</v>
      </c>
      <c r="B1324" s="66" t="s">
        <v>2671</v>
      </c>
      <c r="C1324" s="68">
        <v>0</v>
      </c>
      <c r="D1324" s="68">
        <v>0</v>
      </c>
      <c r="E1324" s="68">
        <v>4153.5900000000038</v>
      </c>
      <c r="F1324" s="68">
        <v>0</v>
      </c>
      <c r="G1324" s="68">
        <v>61808.090000000011</v>
      </c>
      <c r="H1324" s="68">
        <v>0</v>
      </c>
      <c r="I1324" s="68">
        <v>61808.090000000011</v>
      </c>
      <c r="J1324" s="68">
        <v>0</v>
      </c>
    </row>
    <row r="1325" spans="1:10" ht="14.25" customHeight="1">
      <c r="A1325" s="66" t="s">
        <v>3176</v>
      </c>
      <c r="B1325" s="66" t="s">
        <v>2656</v>
      </c>
      <c r="C1325" s="68">
        <v>0</v>
      </c>
      <c r="D1325" s="68">
        <v>0</v>
      </c>
      <c r="E1325" s="68">
        <v>237.59999999999991</v>
      </c>
      <c r="F1325" s="68">
        <v>0</v>
      </c>
      <c r="G1325" s="68">
        <v>1816.3999999999999</v>
      </c>
      <c r="H1325" s="68">
        <v>0</v>
      </c>
      <c r="I1325" s="68">
        <v>1816.3999999999999</v>
      </c>
      <c r="J1325" s="68">
        <v>0</v>
      </c>
    </row>
    <row r="1326" spans="1:10" ht="14.25" customHeight="1">
      <c r="A1326" s="66" t="s">
        <v>3177</v>
      </c>
      <c r="B1326" s="66" t="s">
        <v>2676</v>
      </c>
      <c r="C1326" s="68">
        <v>0</v>
      </c>
      <c r="D1326" s="68">
        <v>0</v>
      </c>
      <c r="E1326" s="68">
        <v>0</v>
      </c>
      <c r="F1326" s="68">
        <v>0</v>
      </c>
      <c r="G1326" s="68">
        <v>1403.04</v>
      </c>
      <c r="H1326" s="68">
        <v>0</v>
      </c>
      <c r="I1326" s="68">
        <v>1403.04</v>
      </c>
      <c r="J1326" s="68">
        <v>0</v>
      </c>
    </row>
    <row r="1327" spans="1:10" ht="14.25" customHeight="1">
      <c r="A1327" s="66" t="s">
        <v>3178</v>
      </c>
      <c r="B1327" s="66" t="s">
        <v>2678</v>
      </c>
      <c r="C1327" s="68">
        <v>0</v>
      </c>
      <c r="D1327" s="68">
        <v>0</v>
      </c>
      <c r="E1327" s="68">
        <v>2587.9000000000015</v>
      </c>
      <c r="F1327" s="68">
        <v>0</v>
      </c>
      <c r="G1327" s="68">
        <v>38046.870000000003</v>
      </c>
      <c r="H1327" s="68">
        <v>0</v>
      </c>
      <c r="I1327" s="68">
        <v>38046.870000000003</v>
      </c>
      <c r="J1327" s="68">
        <v>0</v>
      </c>
    </row>
    <row r="1328" spans="1:10" ht="14.25" customHeight="1">
      <c r="A1328" s="66" t="s">
        <v>3179</v>
      </c>
      <c r="B1328" s="66" t="s">
        <v>2680</v>
      </c>
      <c r="C1328" s="68">
        <v>0</v>
      </c>
      <c r="D1328" s="68">
        <v>0</v>
      </c>
      <c r="E1328" s="68">
        <v>231.66000000000008</v>
      </c>
      <c r="F1328" s="68">
        <v>0</v>
      </c>
      <c r="G1328" s="68">
        <v>1113.9800000000002</v>
      </c>
      <c r="H1328" s="68">
        <v>0</v>
      </c>
      <c r="I1328" s="68">
        <v>1113.9800000000002</v>
      </c>
      <c r="J1328" s="68">
        <v>0</v>
      </c>
    </row>
    <row r="1329" spans="1:10" ht="14.25" customHeight="1">
      <c r="A1329" s="66" t="s">
        <v>3180</v>
      </c>
      <c r="B1329" s="66" t="s">
        <v>2682</v>
      </c>
      <c r="C1329" s="68">
        <v>0</v>
      </c>
      <c r="D1329" s="68">
        <v>0</v>
      </c>
      <c r="E1329" s="68">
        <v>1615.5499999999993</v>
      </c>
      <c r="F1329" s="68">
        <v>0</v>
      </c>
      <c r="G1329" s="68">
        <v>16192.23</v>
      </c>
      <c r="H1329" s="68">
        <v>0</v>
      </c>
      <c r="I1329" s="68">
        <v>16192.23</v>
      </c>
      <c r="J1329" s="68">
        <v>0</v>
      </c>
    </row>
    <row r="1330" spans="1:10" ht="14.25" customHeight="1">
      <c r="A1330" s="66" t="s">
        <v>3181</v>
      </c>
      <c r="B1330" s="66" t="s">
        <v>2684</v>
      </c>
      <c r="C1330" s="68">
        <v>0</v>
      </c>
      <c r="D1330" s="68">
        <v>0</v>
      </c>
      <c r="E1330" s="68">
        <v>1200</v>
      </c>
      <c r="F1330" s="68">
        <v>0</v>
      </c>
      <c r="G1330" s="68">
        <v>18634.36</v>
      </c>
      <c r="H1330" s="68">
        <v>0</v>
      </c>
      <c r="I1330" s="68">
        <v>18634.36</v>
      </c>
      <c r="J1330" s="68">
        <v>0</v>
      </c>
    </row>
    <row r="1331" spans="1:10" ht="14.25" customHeight="1">
      <c r="A1331" s="66" t="s">
        <v>3182</v>
      </c>
      <c r="B1331" s="66" t="s">
        <v>2688</v>
      </c>
      <c r="C1331" s="68">
        <v>0</v>
      </c>
      <c r="D1331" s="68">
        <v>0</v>
      </c>
      <c r="E1331" s="68">
        <v>2688.260000000002</v>
      </c>
      <c r="F1331" s="68">
        <v>0</v>
      </c>
      <c r="G1331" s="68">
        <v>36775.410000000003</v>
      </c>
      <c r="H1331" s="68">
        <v>0</v>
      </c>
      <c r="I1331" s="68">
        <v>36775.410000000003</v>
      </c>
      <c r="J1331" s="68">
        <v>0</v>
      </c>
    </row>
    <row r="1332" spans="1:10" ht="14.25" customHeight="1">
      <c r="A1332" s="66" t="s">
        <v>3183</v>
      </c>
      <c r="B1332" s="66" t="s">
        <v>2698</v>
      </c>
      <c r="C1332" s="68">
        <v>0</v>
      </c>
      <c r="D1332" s="68">
        <v>0</v>
      </c>
      <c r="E1332" s="68">
        <v>4753.9500000000007</v>
      </c>
      <c r="F1332" s="68">
        <v>0</v>
      </c>
      <c r="G1332" s="68">
        <v>33247.049999999996</v>
      </c>
      <c r="H1332" s="68">
        <v>0</v>
      </c>
      <c r="I1332" s="68">
        <v>33247.049999999996</v>
      </c>
      <c r="J1332" s="68">
        <v>0</v>
      </c>
    </row>
    <row r="1333" spans="1:10" ht="14.25" customHeight="1">
      <c r="A1333" s="66" t="s">
        <v>3184</v>
      </c>
      <c r="B1333" s="66" t="s">
        <v>2700</v>
      </c>
      <c r="C1333" s="68">
        <v>0</v>
      </c>
      <c r="D1333" s="68">
        <v>0</v>
      </c>
      <c r="E1333" s="68">
        <v>700</v>
      </c>
      <c r="F1333" s="68">
        <v>0</v>
      </c>
      <c r="G1333" s="68">
        <v>8072.97</v>
      </c>
      <c r="H1333" s="68">
        <v>0</v>
      </c>
      <c r="I1333" s="68">
        <v>8072.97</v>
      </c>
      <c r="J1333" s="68">
        <v>0</v>
      </c>
    </row>
    <row r="1334" spans="1:10" ht="14.25" customHeight="1">
      <c r="A1334" s="66" t="s">
        <v>3185</v>
      </c>
      <c r="B1334" s="66" t="s">
        <v>2702</v>
      </c>
      <c r="C1334" s="68">
        <v>0</v>
      </c>
      <c r="D1334" s="68">
        <v>0</v>
      </c>
      <c r="E1334" s="68">
        <v>6094.4100000000035</v>
      </c>
      <c r="F1334" s="68">
        <v>0</v>
      </c>
      <c r="G1334" s="68">
        <v>75195.58</v>
      </c>
      <c r="H1334" s="68">
        <v>0</v>
      </c>
      <c r="I1334" s="68">
        <v>75195.58</v>
      </c>
      <c r="J1334" s="68">
        <v>0</v>
      </c>
    </row>
    <row r="1335" spans="1:10" ht="14.25" customHeight="1">
      <c r="A1335" s="66" t="s">
        <v>3186</v>
      </c>
      <c r="B1335" s="66" t="s">
        <v>2706</v>
      </c>
      <c r="C1335" s="68">
        <v>0</v>
      </c>
      <c r="D1335" s="68">
        <v>0</v>
      </c>
      <c r="E1335" s="68">
        <v>0</v>
      </c>
      <c r="F1335" s="68">
        <v>0</v>
      </c>
      <c r="G1335" s="68">
        <v>1195</v>
      </c>
      <c r="H1335" s="68">
        <v>0</v>
      </c>
      <c r="I1335" s="68">
        <v>1195</v>
      </c>
      <c r="J1335" s="68">
        <v>0</v>
      </c>
    </row>
    <row r="1336" spans="1:10" ht="14.25" customHeight="1">
      <c r="A1336" s="66" t="s">
        <v>3187</v>
      </c>
      <c r="B1336" s="66" t="s">
        <v>2708</v>
      </c>
      <c r="C1336" s="68">
        <v>0</v>
      </c>
      <c r="D1336" s="68">
        <v>0</v>
      </c>
      <c r="E1336" s="68">
        <v>1968.9500000000007</v>
      </c>
      <c r="F1336" s="68">
        <v>0</v>
      </c>
      <c r="G1336" s="68">
        <v>22147.100000000002</v>
      </c>
      <c r="H1336" s="68">
        <v>0</v>
      </c>
      <c r="I1336" s="68">
        <v>22147.100000000002</v>
      </c>
      <c r="J1336" s="68">
        <v>0</v>
      </c>
    </row>
    <row r="1337" spans="1:10" ht="14.25" customHeight="1">
      <c r="A1337" s="66" t="s">
        <v>3188</v>
      </c>
      <c r="B1337" s="66" t="s">
        <v>2710</v>
      </c>
      <c r="C1337" s="68">
        <v>0</v>
      </c>
      <c r="D1337" s="68">
        <v>0</v>
      </c>
      <c r="E1337" s="68">
        <v>51.989999999999782</v>
      </c>
      <c r="F1337" s="68">
        <v>0</v>
      </c>
      <c r="G1337" s="68">
        <v>6341.34</v>
      </c>
      <c r="H1337" s="68">
        <v>0</v>
      </c>
      <c r="I1337" s="68">
        <v>6341.34</v>
      </c>
      <c r="J1337" s="68">
        <v>0</v>
      </c>
    </row>
    <row r="1338" spans="1:10" ht="14.25" customHeight="1">
      <c r="A1338" s="66" t="s">
        <v>3189</v>
      </c>
      <c r="B1338" s="66" t="s">
        <v>2712</v>
      </c>
      <c r="C1338" s="68">
        <v>0</v>
      </c>
      <c r="D1338" s="68">
        <v>0</v>
      </c>
      <c r="E1338" s="68">
        <v>20</v>
      </c>
      <c r="F1338" s="68">
        <v>0</v>
      </c>
      <c r="G1338" s="68">
        <v>1048.71</v>
      </c>
      <c r="H1338" s="68">
        <v>0</v>
      </c>
      <c r="I1338" s="68">
        <v>1048.71</v>
      </c>
      <c r="J1338" s="68">
        <v>0</v>
      </c>
    </row>
    <row r="1339" spans="1:10" ht="14.25" customHeight="1">
      <c r="A1339" s="66" t="s">
        <v>3190</v>
      </c>
      <c r="B1339" s="66" t="s">
        <v>2718</v>
      </c>
      <c r="C1339" s="68">
        <v>0</v>
      </c>
      <c r="D1339" s="68">
        <v>0</v>
      </c>
      <c r="E1339" s="68">
        <v>13600</v>
      </c>
      <c r="F1339" s="68">
        <v>0</v>
      </c>
      <c r="G1339" s="68">
        <v>108200</v>
      </c>
      <c r="H1339" s="68">
        <v>0</v>
      </c>
      <c r="I1339" s="68">
        <v>108200</v>
      </c>
      <c r="J1339" s="68">
        <v>0</v>
      </c>
    </row>
    <row r="1340" spans="1:10" ht="14.25" customHeight="1">
      <c r="A1340" s="66" t="s">
        <v>3191</v>
      </c>
      <c r="B1340" s="66" t="s">
        <v>2722</v>
      </c>
      <c r="C1340" s="68">
        <v>0</v>
      </c>
      <c r="D1340" s="68">
        <v>0</v>
      </c>
      <c r="E1340" s="68">
        <v>16239.449999999997</v>
      </c>
      <c r="F1340" s="68">
        <v>0</v>
      </c>
      <c r="G1340" s="68">
        <v>137853.01999999999</v>
      </c>
      <c r="H1340" s="68">
        <v>0</v>
      </c>
      <c r="I1340" s="68">
        <v>137853.01999999999</v>
      </c>
      <c r="J1340" s="68">
        <v>0</v>
      </c>
    </row>
    <row r="1341" spans="1:10" ht="14.25" customHeight="1">
      <c r="A1341" s="66" t="s">
        <v>3192</v>
      </c>
      <c r="B1341" s="66" t="s">
        <v>2724</v>
      </c>
      <c r="C1341" s="68">
        <v>0</v>
      </c>
      <c r="D1341" s="68">
        <v>0</v>
      </c>
      <c r="E1341" s="68">
        <v>56364.52999999997</v>
      </c>
      <c r="F1341" s="68">
        <v>0</v>
      </c>
      <c r="G1341" s="68">
        <v>430022.87</v>
      </c>
      <c r="H1341" s="68">
        <v>0</v>
      </c>
      <c r="I1341" s="68">
        <v>430022.87</v>
      </c>
      <c r="J1341" s="68">
        <v>0</v>
      </c>
    </row>
    <row r="1342" spans="1:10" ht="14.25" customHeight="1">
      <c r="A1342" s="66" t="s">
        <v>3193</v>
      </c>
      <c r="B1342" s="66" t="s">
        <v>29</v>
      </c>
      <c r="C1342" s="68">
        <v>0</v>
      </c>
      <c r="D1342" s="68">
        <v>0</v>
      </c>
      <c r="E1342" s="68">
        <v>267868.39999999991</v>
      </c>
      <c r="F1342" s="68">
        <v>0</v>
      </c>
      <c r="G1342" s="68">
        <v>3121174.6500000004</v>
      </c>
      <c r="H1342" s="68">
        <v>0</v>
      </c>
      <c r="I1342" s="68">
        <v>3121174.6500000004</v>
      </c>
      <c r="J1342" s="68">
        <v>0</v>
      </c>
    </row>
    <row r="1343" spans="1:10" ht="14.25" customHeight="1">
      <c r="A1343" s="66" t="s">
        <v>3194</v>
      </c>
      <c r="B1343" s="66" t="s">
        <v>2766</v>
      </c>
      <c r="C1343" s="68">
        <v>0</v>
      </c>
      <c r="D1343" s="68">
        <v>0</v>
      </c>
      <c r="E1343" s="68">
        <v>44901.320000000007</v>
      </c>
      <c r="F1343" s="68">
        <v>0</v>
      </c>
      <c r="G1343" s="68">
        <v>400280.49</v>
      </c>
      <c r="H1343" s="68">
        <v>0</v>
      </c>
      <c r="I1343" s="68">
        <v>400280.49</v>
      </c>
      <c r="J1343" s="68">
        <v>0</v>
      </c>
    </row>
    <row r="1344" spans="1:10" ht="14.25" customHeight="1">
      <c r="A1344" s="66" t="s">
        <v>3195</v>
      </c>
      <c r="B1344" s="66" t="s">
        <v>2768</v>
      </c>
      <c r="C1344" s="68">
        <v>0</v>
      </c>
      <c r="D1344" s="68">
        <v>0</v>
      </c>
      <c r="E1344" s="68">
        <v>3894</v>
      </c>
      <c r="F1344" s="68">
        <v>0</v>
      </c>
      <c r="G1344" s="68">
        <v>70975.72</v>
      </c>
      <c r="H1344" s="68">
        <v>0</v>
      </c>
      <c r="I1344" s="68">
        <v>70975.72</v>
      </c>
      <c r="J1344" s="68">
        <v>0</v>
      </c>
    </row>
    <row r="1345" spans="1:10" ht="14.25" customHeight="1">
      <c r="A1345" s="66" t="s">
        <v>3196</v>
      </c>
      <c r="B1345" s="66" t="s">
        <v>2851</v>
      </c>
      <c r="C1345" s="68">
        <v>0</v>
      </c>
      <c r="D1345" s="68">
        <v>0</v>
      </c>
      <c r="E1345" s="68">
        <v>106</v>
      </c>
      <c r="F1345" s="68">
        <v>0</v>
      </c>
      <c r="G1345" s="68">
        <v>14061.310000000001</v>
      </c>
      <c r="H1345" s="68">
        <v>0</v>
      </c>
      <c r="I1345" s="68">
        <v>14061.310000000001</v>
      </c>
      <c r="J1345" s="68">
        <v>0</v>
      </c>
    </row>
    <row r="1346" spans="1:10" ht="14.25" customHeight="1">
      <c r="A1346" s="66" t="s">
        <v>3197</v>
      </c>
      <c r="B1346" s="66" t="s">
        <v>2772</v>
      </c>
      <c r="C1346" s="68">
        <v>0</v>
      </c>
      <c r="D1346" s="68">
        <v>0</v>
      </c>
      <c r="E1346" s="68">
        <v>324.43000000000029</v>
      </c>
      <c r="F1346" s="68">
        <v>0</v>
      </c>
      <c r="G1346" s="68">
        <v>4423.7700000000004</v>
      </c>
      <c r="H1346" s="68">
        <v>0</v>
      </c>
      <c r="I1346" s="68">
        <v>4423.7700000000004</v>
      </c>
      <c r="J1346" s="68">
        <v>0</v>
      </c>
    </row>
    <row r="1347" spans="1:10" ht="14.25" customHeight="1">
      <c r="A1347" s="66" t="s">
        <v>3198</v>
      </c>
      <c r="B1347" s="66" t="s">
        <v>1304</v>
      </c>
      <c r="C1347" s="68">
        <v>0</v>
      </c>
      <c r="D1347" s="68">
        <v>0</v>
      </c>
      <c r="E1347" s="68">
        <v>34639.609999999986</v>
      </c>
      <c r="F1347" s="68">
        <v>0</v>
      </c>
      <c r="G1347" s="68">
        <v>406232.21</v>
      </c>
      <c r="H1347" s="68">
        <v>0</v>
      </c>
      <c r="I1347" s="68">
        <v>406232.21</v>
      </c>
      <c r="J1347" s="68">
        <v>0</v>
      </c>
    </row>
    <row r="1348" spans="1:10" ht="14.25" customHeight="1">
      <c r="A1348" s="66" t="s">
        <v>3199</v>
      </c>
      <c r="B1348" s="66" t="s">
        <v>2775</v>
      </c>
      <c r="C1348" s="68">
        <v>0</v>
      </c>
      <c r="D1348" s="68">
        <v>0</v>
      </c>
      <c r="E1348" s="68">
        <v>4754.16</v>
      </c>
      <c r="F1348" s="68">
        <v>0</v>
      </c>
      <c r="G1348" s="68">
        <v>22315.15</v>
      </c>
      <c r="H1348" s="68">
        <v>0</v>
      </c>
      <c r="I1348" s="68">
        <v>22315.15</v>
      </c>
      <c r="J1348" s="68">
        <v>0</v>
      </c>
    </row>
    <row r="1349" spans="1:10" ht="14.25" customHeight="1">
      <c r="A1349" s="66" t="s">
        <v>3200</v>
      </c>
      <c r="B1349" s="66" t="s">
        <v>2777</v>
      </c>
      <c r="C1349" s="68">
        <v>0</v>
      </c>
      <c r="D1349" s="68">
        <v>0</v>
      </c>
      <c r="E1349" s="68">
        <v>555.13</v>
      </c>
      <c r="F1349" s="68">
        <v>0</v>
      </c>
      <c r="G1349" s="68">
        <v>588.15</v>
      </c>
      <c r="H1349" s="68">
        <v>0</v>
      </c>
      <c r="I1349" s="68">
        <v>588.15</v>
      </c>
      <c r="J1349" s="68">
        <v>0</v>
      </c>
    </row>
    <row r="1350" spans="1:10" ht="14.25" customHeight="1">
      <c r="A1350" s="66" t="s">
        <v>3201</v>
      </c>
      <c r="B1350" s="66" t="s">
        <v>2782</v>
      </c>
      <c r="C1350" s="68">
        <v>0</v>
      </c>
      <c r="D1350" s="68">
        <v>0</v>
      </c>
      <c r="E1350" s="68">
        <v>0</v>
      </c>
      <c r="F1350" s="68">
        <v>0</v>
      </c>
      <c r="G1350" s="68">
        <v>3.07</v>
      </c>
      <c r="H1350" s="68">
        <v>0</v>
      </c>
      <c r="I1350" s="68">
        <v>3.07</v>
      </c>
      <c r="J1350" s="68">
        <v>0</v>
      </c>
    </row>
    <row r="1351" spans="1:10" ht="14.25" customHeight="1">
      <c r="A1351" s="66" t="s">
        <v>3202</v>
      </c>
      <c r="B1351" s="66" t="s">
        <v>2382</v>
      </c>
      <c r="C1351" s="68">
        <v>0</v>
      </c>
      <c r="D1351" s="68">
        <v>0</v>
      </c>
      <c r="E1351" s="68">
        <v>37399</v>
      </c>
      <c r="F1351" s="68">
        <v>0</v>
      </c>
      <c r="G1351" s="68">
        <v>250950</v>
      </c>
      <c r="H1351" s="68">
        <v>0</v>
      </c>
      <c r="I1351" s="68">
        <v>250950</v>
      </c>
      <c r="J1351" s="68">
        <v>0</v>
      </c>
    </row>
    <row r="1352" spans="1:10" ht="14.25" customHeight="1">
      <c r="A1352" s="66" t="s">
        <v>3203</v>
      </c>
      <c r="B1352" s="66" t="s">
        <v>2785</v>
      </c>
      <c r="C1352" s="68">
        <v>0</v>
      </c>
      <c r="D1352" s="68">
        <v>0</v>
      </c>
      <c r="E1352" s="68">
        <v>0</v>
      </c>
      <c r="F1352" s="68">
        <v>0</v>
      </c>
      <c r="G1352" s="68">
        <v>1078.79</v>
      </c>
      <c r="H1352" s="68">
        <v>0</v>
      </c>
      <c r="I1352" s="68">
        <v>1078.79</v>
      </c>
      <c r="J1352" s="68">
        <v>0</v>
      </c>
    </row>
    <row r="1353" spans="1:10" ht="14.25" customHeight="1">
      <c r="A1353" s="66" t="s">
        <v>3204</v>
      </c>
      <c r="B1353" s="66" t="s">
        <v>2788</v>
      </c>
      <c r="C1353" s="68">
        <v>0</v>
      </c>
      <c r="D1353" s="68">
        <v>0</v>
      </c>
      <c r="E1353" s="68">
        <v>0</v>
      </c>
      <c r="F1353" s="68">
        <v>0</v>
      </c>
      <c r="G1353" s="68">
        <v>9829.7999999999993</v>
      </c>
      <c r="H1353" s="68">
        <v>0</v>
      </c>
      <c r="I1353" s="68">
        <v>9829.7999999999993</v>
      </c>
      <c r="J1353" s="68">
        <v>0</v>
      </c>
    </row>
    <row r="1354" spans="1:10" ht="14.25" customHeight="1">
      <c r="A1354" s="66" t="s">
        <v>3205</v>
      </c>
      <c r="B1354" s="66" t="s">
        <v>2790</v>
      </c>
      <c r="C1354" s="68">
        <v>0</v>
      </c>
      <c r="D1354" s="68">
        <v>0</v>
      </c>
      <c r="E1354" s="68">
        <v>2591.34</v>
      </c>
      <c r="F1354" s="68">
        <v>0</v>
      </c>
      <c r="G1354" s="68">
        <v>24356.6</v>
      </c>
      <c r="H1354" s="68">
        <v>0</v>
      </c>
      <c r="I1354" s="68">
        <v>24356.6</v>
      </c>
      <c r="J1354" s="68">
        <v>0</v>
      </c>
    </row>
    <row r="1355" spans="1:10" ht="14.25" customHeight="1">
      <c r="A1355" s="66" t="s">
        <v>3206</v>
      </c>
      <c r="B1355" s="66" t="s">
        <v>2390</v>
      </c>
      <c r="C1355" s="68">
        <v>0</v>
      </c>
      <c r="D1355" s="68">
        <v>0</v>
      </c>
      <c r="E1355" s="68">
        <v>5310.5300000000061</v>
      </c>
      <c r="F1355" s="68">
        <v>0</v>
      </c>
      <c r="G1355" s="68">
        <v>68989.87000000001</v>
      </c>
      <c r="H1355" s="68">
        <v>0</v>
      </c>
      <c r="I1355" s="68">
        <v>68989.87000000001</v>
      </c>
      <c r="J1355" s="68">
        <v>0</v>
      </c>
    </row>
    <row r="1356" spans="1:10" ht="14.25" customHeight="1">
      <c r="A1356" s="66" t="s">
        <v>3207</v>
      </c>
      <c r="B1356" s="66" t="s">
        <v>2798</v>
      </c>
      <c r="C1356" s="68">
        <v>0</v>
      </c>
      <c r="D1356" s="68">
        <v>0</v>
      </c>
      <c r="E1356" s="68">
        <v>1761.9899999999998</v>
      </c>
      <c r="F1356" s="68">
        <v>0</v>
      </c>
      <c r="G1356" s="68">
        <v>7876.4699999999984</v>
      </c>
      <c r="H1356" s="68">
        <v>0</v>
      </c>
      <c r="I1356" s="68">
        <v>7876.4699999999984</v>
      </c>
      <c r="J1356" s="68">
        <v>0</v>
      </c>
    </row>
    <row r="1357" spans="1:10" ht="14.25" customHeight="1">
      <c r="A1357" s="66" t="s">
        <v>3208</v>
      </c>
      <c r="B1357" s="66" t="s">
        <v>2800</v>
      </c>
      <c r="C1357" s="68">
        <v>0</v>
      </c>
      <c r="D1357" s="68">
        <v>0</v>
      </c>
      <c r="E1357" s="68">
        <v>42556.09</v>
      </c>
      <c r="F1357" s="68">
        <v>0</v>
      </c>
      <c r="G1357" s="68">
        <v>93634.81</v>
      </c>
      <c r="H1357" s="68">
        <v>0</v>
      </c>
      <c r="I1357" s="68">
        <v>93634.81</v>
      </c>
      <c r="J1357" s="68">
        <v>0</v>
      </c>
    </row>
    <row r="1358" spans="1:10" ht="14.25" customHeight="1">
      <c r="A1358" s="66" t="s">
        <v>3209</v>
      </c>
      <c r="B1358" s="66" t="s">
        <v>2802</v>
      </c>
      <c r="C1358" s="68">
        <v>0</v>
      </c>
      <c r="D1358" s="68">
        <v>0</v>
      </c>
      <c r="E1358" s="68">
        <v>108983.75</v>
      </c>
      <c r="F1358" s="68">
        <v>0</v>
      </c>
      <c r="G1358" s="68">
        <v>675782.27</v>
      </c>
      <c r="H1358" s="68">
        <v>0</v>
      </c>
      <c r="I1358" s="68">
        <v>675782.27</v>
      </c>
      <c r="J1358" s="68">
        <v>0</v>
      </c>
    </row>
    <row r="1359" spans="1:10" ht="14.25" customHeight="1">
      <c r="A1359" s="66" t="s">
        <v>3210</v>
      </c>
      <c r="B1359" s="66" t="s">
        <v>2804</v>
      </c>
      <c r="C1359" s="68">
        <v>0</v>
      </c>
      <c r="D1359" s="68">
        <v>0</v>
      </c>
      <c r="E1359" s="68">
        <v>177.28999999999996</v>
      </c>
      <c r="F1359" s="68">
        <v>0</v>
      </c>
      <c r="G1359" s="68">
        <v>1609.91</v>
      </c>
      <c r="H1359" s="68">
        <v>0</v>
      </c>
      <c r="I1359" s="68">
        <v>1609.91</v>
      </c>
      <c r="J1359" s="68">
        <v>0</v>
      </c>
    </row>
    <row r="1360" spans="1:10" ht="14.25" customHeight="1">
      <c r="A1360" s="66" t="s">
        <v>3211</v>
      </c>
      <c r="B1360" s="66" t="s">
        <v>2806</v>
      </c>
      <c r="C1360" s="68">
        <v>0</v>
      </c>
      <c r="D1360" s="68">
        <v>0</v>
      </c>
      <c r="E1360" s="68">
        <v>1033.3500000000004</v>
      </c>
      <c r="F1360" s="68">
        <v>0</v>
      </c>
      <c r="G1360" s="68">
        <v>10861.720000000001</v>
      </c>
      <c r="H1360" s="68">
        <v>0</v>
      </c>
      <c r="I1360" s="68">
        <v>10861.720000000001</v>
      </c>
      <c r="J1360" s="68">
        <v>0</v>
      </c>
    </row>
    <row r="1361" spans="1:10" ht="14.25" customHeight="1">
      <c r="A1361" s="66" t="s">
        <v>3212</v>
      </c>
      <c r="B1361" s="66" t="s">
        <v>2796</v>
      </c>
      <c r="C1361" s="68">
        <v>0</v>
      </c>
      <c r="D1361" s="68">
        <v>0</v>
      </c>
      <c r="E1361" s="68">
        <v>354.15999999999985</v>
      </c>
      <c r="F1361" s="68">
        <v>0</v>
      </c>
      <c r="G1361" s="68">
        <v>4249.9999999999991</v>
      </c>
      <c r="H1361" s="68">
        <v>0</v>
      </c>
      <c r="I1361" s="68">
        <v>4249.9999999999991</v>
      </c>
      <c r="J1361" s="68">
        <v>0</v>
      </c>
    </row>
    <row r="1362" spans="1:10" ht="14.25" customHeight="1">
      <c r="A1362" s="66" t="s">
        <v>3213</v>
      </c>
      <c r="B1362" s="66" t="s">
        <v>2809</v>
      </c>
      <c r="C1362" s="68">
        <v>0</v>
      </c>
      <c r="D1362" s="68">
        <v>0</v>
      </c>
      <c r="E1362" s="68">
        <v>703.34000000000015</v>
      </c>
      <c r="F1362" s="68">
        <v>0</v>
      </c>
      <c r="G1362" s="68">
        <v>18274.060000000001</v>
      </c>
      <c r="H1362" s="68">
        <v>0</v>
      </c>
      <c r="I1362" s="68">
        <v>18274.060000000001</v>
      </c>
      <c r="J1362" s="68">
        <v>0</v>
      </c>
    </row>
    <row r="1363" spans="1:10" ht="14.25" customHeight="1">
      <c r="A1363" s="66" t="s">
        <v>3214</v>
      </c>
      <c r="B1363" s="66" t="s">
        <v>29</v>
      </c>
      <c r="C1363" s="68">
        <v>0</v>
      </c>
      <c r="D1363" s="68">
        <v>0</v>
      </c>
      <c r="E1363" s="68">
        <v>48846.160000000033</v>
      </c>
      <c r="F1363" s="68">
        <v>0</v>
      </c>
      <c r="G1363" s="68">
        <v>586153.92000000016</v>
      </c>
      <c r="H1363" s="68">
        <v>0</v>
      </c>
      <c r="I1363" s="68">
        <v>586153.92000000016</v>
      </c>
      <c r="J1363" s="68">
        <v>0</v>
      </c>
    </row>
    <row r="1364" spans="1:10" ht="14.25" customHeight="1">
      <c r="A1364" s="66" t="s">
        <v>3215</v>
      </c>
      <c r="B1364" s="66" t="s">
        <v>3216</v>
      </c>
      <c r="C1364" s="68">
        <v>0</v>
      </c>
      <c r="D1364" s="68">
        <v>0</v>
      </c>
      <c r="E1364" s="68">
        <v>4293.3699999999953</v>
      </c>
      <c r="F1364" s="68">
        <v>0</v>
      </c>
      <c r="G1364" s="68">
        <v>85567.349999999991</v>
      </c>
      <c r="H1364" s="68">
        <v>0</v>
      </c>
      <c r="I1364" s="68">
        <v>85567.349999999991</v>
      </c>
      <c r="J1364" s="68">
        <v>0</v>
      </c>
    </row>
    <row r="1365" spans="1:10" ht="14.25" customHeight="1">
      <c r="A1365" s="66" t="s">
        <v>3217</v>
      </c>
      <c r="B1365" s="66" t="s">
        <v>2671</v>
      </c>
      <c r="C1365" s="68">
        <v>0</v>
      </c>
      <c r="D1365" s="68">
        <v>0</v>
      </c>
      <c r="E1365" s="68">
        <v>274.35000000000014</v>
      </c>
      <c r="F1365" s="68">
        <v>0</v>
      </c>
      <c r="G1365" s="68">
        <v>1187.5</v>
      </c>
      <c r="H1365" s="68">
        <v>0</v>
      </c>
      <c r="I1365" s="68">
        <v>1187.5</v>
      </c>
      <c r="J1365" s="68">
        <v>0</v>
      </c>
    </row>
    <row r="1366" spans="1:10" ht="14.25" customHeight="1">
      <c r="A1366" s="66" t="s">
        <v>3218</v>
      </c>
      <c r="B1366" s="66" t="s">
        <v>2656</v>
      </c>
      <c r="C1366" s="68">
        <v>0</v>
      </c>
      <c r="D1366" s="68">
        <v>0</v>
      </c>
      <c r="E1366" s="68">
        <v>0</v>
      </c>
      <c r="F1366" s="68">
        <v>0</v>
      </c>
      <c r="G1366" s="68">
        <v>278.45999999999998</v>
      </c>
      <c r="H1366" s="68">
        <v>0</v>
      </c>
      <c r="I1366" s="68">
        <v>278.45999999999998</v>
      </c>
      <c r="J1366" s="68">
        <v>0</v>
      </c>
    </row>
    <row r="1367" spans="1:10" ht="14.25" customHeight="1">
      <c r="A1367" s="66" t="s">
        <v>3219</v>
      </c>
      <c r="B1367" s="66" t="s">
        <v>2676</v>
      </c>
      <c r="C1367" s="68">
        <v>0</v>
      </c>
      <c r="D1367" s="68">
        <v>0</v>
      </c>
      <c r="E1367" s="68">
        <v>0</v>
      </c>
      <c r="F1367" s="68">
        <v>0</v>
      </c>
      <c r="G1367" s="68">
        <v>585.37</v>
      </c>
      <c r="H1367" s="68">
        <v>0</v>
      </c>
      <c r="I1367" s="68">
        <v>585.37</v>
      </c>
      <c r="J1367" s="68">
        <v>0</v>
      </c>
    </row>
    <row r="1368" spans="1:10" ht="14.25" customHeight="1">
      <c r="A1368" s="66" t="s">
        <v>3220</v>
      </c>
      <c r="B1368" s="66" t="s">
        <v>2678</v>
      </c>
      <c r="C1368" s="68">
        <v>0</v>
      </c>
      <c r="D1368" s="68">
        <v>0</v>
      </c>
      <c r="E1368" s="68">
        <v>443.57000000000016</v>
      </c>
      <c r="F1368" s="68">
        <v>0</v>
      </c>
      <c r="G1368" s="68">
        <v>3397.56</v>
      </c>
      <c r="H1368" s="68">
        <v>0</v>
      </c>
      <c r="I1368" s="68">
        <v>3397.56</v>
      </c>
      <c r="J1368" s="68">
        <v>0</v>
      </c>
    </row>
    <row r="1369" spans="1:10" ht="14.25" customHeight="1">
      <c r="A1369" s="66" t="s">
        <v>3221</v>
      </c>
      <c r="B1369" s="66" t="s">
        <v>2688</v>
      </c>
      <c r="C1369" s="68">
        <v>0</v>
      </c>
      <c r="D1369" s="68">
        <v>0</v>
      </c>
      <c r="E1369" s="68">
        <v>0</v>
      </c>
      <c r="F1369" s="68">
        <v>0</v>
      </c>
      <c r="G1369" s="68">
        <v>951</v>
      </c>
      <c r="H1369" s="68">
        <v>0</v>
      </c>
      <c r="I1369" s="68">
        <v>951</v>
      </c>
      <c r="J1369" s="68">
        <v>0</v>
      </c>
    </row>
    <row r="1370" spans="1:10" ht="14.25" customHeight="1">
      <c r="A1370" s="66" t="s">
        <v>3222</v>
      </c>
      <c r="B1370" s="66" t="s">
        <v>2708</v>
      </c>
      <c r="C1370" s="68">
        <v>0</v>
      </c>
      <c r="D1370" s="68">
        <v>0</v>
      </c>
      <c r="E1370" s="68">
        <v>176</v>
      </c>
      <c r="F1370" s="68">
        <v>0</v>
      </c>
      <c r="G1370" s="68">
        <v>1871.6200000000001</v>
      </c>
      <c r="H1370" s="68">
        <v>0</v>
      </c>
      <c r="I1370" s="68">
        <v>1871.6200000000001</v>
      </c>
      <c r="J1370" s="68">
        <v>0</v>
      </c>
    </row>
    <row r="1371" spans="1:10" ht="14.25" customHeight="1">
      <c r="A1371" s="66" t="s">
        <v>3223</v>
      </c>
      <c r="B1371" s="66" t="s">
        <v>2710</v>
      </c>
      <c r="C1371" s="68">
        <v>0</v>
      </c>
      <c r="D1371" s="68">
        <v>0</v>
      </c>
      <c r="E1371" s="68">
        <v>80.669999999999959</v>
      </c>
      <c r="F1371" s="68">
        <v>0</v>
      </c>
      <c r="G1371" s="68">
        <v>756.45999999999992</v>
      </c>
      <c r="H1371" s="68">
        <v>0</v>
      </c>
      <c r="I1371" s="68">
        <v>756.45999999999992</v>
      </c>
      <c r="J1371" s="68">
        <v>0</v>
      </c>
    </row>
    <row r="1372" spans="1:10" ht="14.25" customHeight="1">
      <c r="A1372" s="66" t="s">
        <v>3224</v>
      </c>
      <c r="B1372" s="66" t="s">
        <v>2724</v>
      </c>
      <c r="C1372" s="68">
        <v>0</v>
      </c>
      <c r="D1372" s="68">
        <v>0</v>
      </c>
      <c r="E1372" s="68">
        <v>157.5</v>
      </c>
      <c r="F1372" s="68">
        <v>0</v>
      </c>
      <c r="G1372" s="68">
        <v>1614.3</v>
      </c>
      <c r="H1372" s="68">
        <v>0</v>
      </c>
      <c r="I1372" s="68">
        <v>1614.3</v>
      </c>
      <c r="J1372" s="68">
        <v>0</v>
      </c>
    </row>
    <row r="1373" spans="1:10" ht="14.25" customHeight="1">
      <c r="A1373" s="66" t="s">
        <v>3225</v>
      </c>
      <c r="B1373" s="66" t="s">
        <v>2768</v>
      </c>
      <c r="C1373" s="68">
        <v>0</v>
      </c>
      <c r="D1373" s="68">
        <v>0</v>
      </c>
      <c r="E1373" s="68">
        <v>420</v>
      </c>
      <c r="F1373" s="68">
        <v>0</v>
      </c>
      <c r="G1373" s="68">
        <v>7169.3</v>
      </c>
      <c r="H1373" s="68">
        <v>0</v>
      </c>
      <c r="I1373" s="68">
        <v>7169.3</v>
      </c>
      <c r="J1373" s="68">
        <v>0</v>
      </c>
    </row>
    <row r="1374" spans="1:10" ht="14.25" customHeight="1">
      <c r="A1374" s="66" t="s">
        <v>3226</v>
      </c>
      <c r="B1374" s="66" t="s">
        <v>2851</v>
      </c>
      <c r="C1374" s="68">
        <v>0</v>
      </c>
      <c r="D1374" s="68">
        <v>0</v>
      </c>
      <c r="E1374" s="68">
        <v>0</v>
      </c>
      <c r="F1374" s="68">
        <v>0</v>
      </c>
      <c r="G1374" s="68">
        <v>1672.8600000000001</v>
      </c>
      <c r="H1374" s="68">
        <v>0</v>
      </c>
      <c r="I1374" s="68">
        <v>1672.8600000000001</v>
      </c>
      <c r="J1374" s="68">
        <v>0</v>
      </c>
    </row>
    <row r="1375" spans="1:10" ht="14.25" customHeight="1">
      <c r="A1375" s="66" t="s">
        <v>3227</v>
      </c>
      <c r="B1375" s="66" t="s">
        <v>2772</v>
      </c>
      <c r="C1375" s="68">
        <v>0</v>
      </c>
      <c r="D1375" s="68">
        <v>0</v>
      </c>
      <c r="E1375" s="68">
        <v>57.25</v>
      </c>
      <c r="F1375" s="68">
        <v>0</v>
      </c>
      <c r="G1375" s="68">
        <v>721.09000000000015</v>
      </c>
      <c r="H1375" s="68">
        <v>0</v>
      </c>
      <c r="I1375" s="68">
        <v>721.09000000000015</v>
      </c>
      <c r="J1375" s="68">
        <v>0</v>
      </c>
    </row>
    <row r="1376" spans="1:10" ht="14.25" customHeight="1">
      <c r="A1376" s="66" t="s">
        <v>3228</v>
      </c>
      <c r="B1376" s="66" t="s">
        <v>2775</v>
      </c>
      <c r="C1376" s="68">
        <v>0</v>
      </c>
      <c r="D1376" s="68">
        <v>0</v>
      </c>
      <c r="E1376" s="68">
        <v>214.53999999999996</v>
      </c>
      <c r="F1376" s="68">
        <v>0</v>
      </c>
      <c r="G1376" s="68">
        <v>1896.6000000000001</v>
      </c>
      <c r="H1376" s="68">
        <v>0</v>
      </c>
      <c r="I1376" s="68">
        <v>1896.6000000000001</v>
      </c>
      <c r="J1376" s="68">
        <v>0</v>
      </c>
    </row>
    <row r="1377" spans="1:10" ht="14.25" customHeight="1">
      <c r="A1377" s="66" t="s">
        <v>3229</v>
      </c>
      <c r="B1377" s="66" t="s">
        <v>2777</v>
      </c>
      <c r="C1377" s="68">
        <v>0</v>
      </c>
      <c r="D1377" s="68">
        <v>0</v>
      </c>
      <c r="E1377" s="68">
        <v>97.96</v>
      </c>
      <c r="F1377" s="68">
        <v>0</v>
      </c>
      <c r="G1377" s="68">
        <v>104.14999999999999</v>
      </c>
      <c r="H1377" s="68">
        <v>0</v>
      </c>
      <c r="I1377" s="68">
        <v>104.14999999999999</v>
      </c>
      <c r="J1377" s="68">
        <v>0</v>
      </c>
    </row>
    <row r="1378" spans="1:10" ht="14.25" customHeight="1">
      <c r="A1378" s="66" t="s">
        <v>3230</v>
      </c>
      <c r="B1378" s="66" t="s">
        <v>2790</v>
      </c>
      <c r="C1378" s="68">
        <v>0</v>
      </c>
      <c r="D1378" s="68">
        <v>0</v>
      </c>
      <c r="E1378" s="68">
        <v>60.180000000000007</v>
      </c>
      <c r="F1378" s="68">
        <v>0</v>
      </c>
      <c r="G1378" s="68">
        <v>420.45</v>
      </c>
      <c r="H1378" s="68">
        <v>0</v>
      </c>
      <c r="I1378" s="68">
        <v>420.45</v>
      </c>
      <c r="J1378" s="68">
        <v>0</v>
      </c>
    </row>
    <row r="1379" spans="1:10" ht="14.25" customHeight="1">
      <c r="A1379" s="66" t="s">
        <v>3231</v>
      </c>
      <c r="B1379" s="66" t="s">
        <v>2798</v>
      </c>
      <c r="C1379" s="68">
        <v>0</v>
      </c>
      <c r="D1379" s="68">
        <v>0</v>
      </c>
      <c r="E1379" s="68">
        <v>143.5</v>
      </c>
      <c r="F1379" s="68">
        <v>0</v>
      </c>
      <c r="G1379" s="68">
        <v>1722</v>
      </c>
      <c r="H1379" s="68">
        <v>0</v>
      </c>
      <c r="I1379" s="68">
        <v>1722</v>
      </c>
      <c r="J1379" s="68">
        <v>0</v>
      </c>
    </row>
    <row r="1380" spans="1:10" ht="14.25" customHeight="1">
      <c r="A1380" s="66" t="s">
        <v>3232</v>
      </c>
      <c r="B1380" s="66" t="s">
        <v>2804</v>
      </c>
      <c r="C1380" s="68">
        <v>0</v>
      </c>
      <c r="D1380" s="68">
        <v>0</v>
      </c>
      <c r="E1380" s="68">
        <v>0</v>
      </c>
      <c r="F1380" s="68">
        <v>0</v>
      </c>
      <c r="G1380" s="68">
        <v>279.58000000000004</v>
      </c>
      <c r="H1380" s="68">
        <v>0</v>
      </c>
      <c r="I1380" s="68">
        <v>279.58000000000004</v>
      </c>
      <c r="J1380" s="68">
        <v>0</v>
      </c>
    </row>
    <row r="1381" spans="1:10" ht="14.25" customHeight="1">
      <c r="A1381" s="66" t="s">
        <v>3233</v>
      </c>
      <c r="B1381" s="66" t="s">
        <v>3234</v>
      </c>
      <c r="C1381" s="68">
        <v>0</v>
      </c>
      <c r="D1381" s="68">
        <v>0</v>
      </c>
      <c r="E1381" s="68">
        <v>252465.04000000004</v>
      </c>
      <c r="F1381" s="68">
        <v>252465.04000000004</v>
      </c>
      <c r="G1381" s="68">
        <v>2831348.0700000003</v>
      </c>
      <c r="H1381" s="68">
        <v>2831348.0699999994</v>
      </c>
      <c r="I1381" s="68">
        <v>9.3132257461547852E-10</v>
      </c>
      <c r="J1381" s="68">
        <v>0</v>
      </c>
    </row>
    <row r="1382" spans="1:10" ht="14.25" customHeight="1">
      <c r="A1382" s="66" t="s">
        <v>3235</v>
      </c>
      <c r="B1382" s="66" t="s">
        <v>3236</v>
      </c>
      <c r="C1382" s="68">
        <v>0</v>
      </c>
      <c r="D1382" s="68">
        <v>0</v>
      </c>
      <c r="E1382" s="68">
        <v>1882.9300000000003</v>
      </c>
      <c r="F1382" s="68">
        <v>1882.9300000000003</v>
      </c>
      <c r="G1382" s="68">
        <v>29204.939999999995</v>
      </c>
      <c r="H1382" s="68">
        <v>29204.940000000002</v>
      </c>
      <c r="I1382" s="68">
        <v>0</v>
      </c>
      <c r="J1382" s="68">
        <v>7.2759576141834259E-12</v>
      </c>
    </row>
    <row r="1383" spans="1:10" ht="14.25" customHeight="1">
      <c r="A1383" s="66" t="s">
        <v>3237</v>
      </c>
      <c r="B1383" s="66" t="s">
        <v>2676</v>
      </c>
      <c r="C1383" s="68">
        <v>0</v>
      </c>
      <c r="D1383" s="68">
        <v>0</v>
      </c>
      <c r="E1383" s="68">
        <v>0</v>
      </c>
      <c r="F1383" s="68">
        <v>0</v>
      </c>
      <c r="G1383" s="68">
        <v>6060</v>
      </c>
      <c r="H1383" s="68">
        <v>6060</v>
      </c>
      <c r="I1383" s="68">
        <v>0</v>
      </c>
      <c r="J1383" s="68">
        <v>0</v>
      </c>
    </row>
    <row r="1384" spans="1:10" ht="14.25" customHeight="1">
      <c r="A1384" s="66" t="s">
        <v>3238</v>
      </c>
      <c r="B1384" s="66" t="s">
        <v>2678</v>
      </c>
      <c r="C1384" s="68">
        <v>0</v>
      </c>
      <c r="D1384" s="68">
        <v>0</v>
      </c>
      <c r="E1384" s="68">
        <v>2683.8400000000038</v>
      </c>
      <c r="F1384" s="68">
        <v>2683.8400000000038</v>
      </c>
      <c r="G1384" s="68">
        <v>43123.210000000006</v>
      </c>
      <c r="H1384" s="68">
        <v>43123.210000000006</v>
      </c>
      <c r="I1384" s="68">
        <v>0</v>
      </c>
      <c r="J1384" s="68">
        <v>0</v>
      </c>
    </row>
    <row r="1385" spans="1:10" ht="14.25" customHeight="1">
      <c r="A1385" s="66" t="s">
        <v>3239</v>
      </c>
      <c r="B1385" s="66" t="s">
        <v>2680</v>
      </c>
      <c r="C1385" s="68">
        <v>0</v>
      </c>
      <c r="D1385" s="68">
        <v>0</v>
      </c>
      <c r="E1385" s="68">
        <v>13</v>
      </c>
      <c r="F1385" s="68">
        <v>13</v>
      </c>
      <c r="G1385" s="68">
        <v>4673.28</v>
      </c>
      <c r="H1385" s="68">
        <v>4673.28</v>
      </c>
      <c r="I1385" s="68">
        <v>0</v>
      </c>
      <c r="J1385" s="68">
        <v>0</v>
      </c>
    </row>
    <row r="1386" spans="1:10" ht="14.25" customHeight="1">
      <c r="A1386" s="66" t="s">
        <v>3240</v>
      </c>
      <c r="B1386" s="66" t="s">
        <v>3241</v>
      </c>
      <c r="C1386" s="68">
        <v>0</v>
      </c>
      <c r="D1386" s="68">
        <v>0</v>
      </c>
      <c r="E1386" s="68">
        <v>0</v>
      </c>
      <c r="F1386" s="68">
        <v>0</v>
      </c>
      <c r="G1386" s="68">
        <v>1110</v>
      </c>
      <c r="H1386" s="68">
        <v>1110</v>
      </c>
      <c r="I1386" s="68">
        <v>0</v>
      </c>
      <c r="J1386" s="68">
        <v>0</v>
      </c>
    </row>
    <row r="1387" spans="1:10" ht="14.25" customHeight="1">
      <c r="A1387" s="66" t="s">
        <v>3242</v>
      </c>
      <c r="B1387" s="66" t="s">
        <v>2708</v>
      </c>
      <c r="C1387" s="68">
        <v>0</v>
      </c>
      <c r="D1387" s="68">
        <v>0</v>
      </c>
      <c r="E1387" s="68">
        <v>50</v>
      </c>
      <c r="F1387" s="68">
        <v>50</v>
      </c>
      <c r="G1387" s="68">
        <v>600</v>
      </c>
      <c r="H1387" s="68">
        <v>600</v>
      </c>
      <c r="I1387" s="68">
        <v>0</v>
      </c>
      <c r="J1387" s="68">
        <v>0</v>
      </c>
    </row>
    <row r="1388" spans="1:10" ht="14.25" customHeight="1">
      <c r="A1388" s="66" t="s">
        <v>3243</v>
      </c>
      <c r="B1388" s="66" t="s">
        <v>3244</v>
      </c>
      <c r="C1388" s="68">
        <v>0</v>
      </c>
      <c r="D1388" s="68">
        <v>0</v>
      </c>
      <c r="E1388" s="68">
        <v>1387.9700000000012</v>
      </c>
      <c r="F1388" s="68">
        <v>1387.9700000000012</v>
      </c>
      <c r="G1388" s="68">
        <v>31344.98</v>
      </c>
      <c r="H1388" s="68">
        <v>31344.98</v>
      </c>
      <c r="I1388" s="68">
        <v>0</v>
      </c>
      <c r="J1388" s="68">
        <v>0</v>
      </c>
    </row>
    <row r="1389" spans="1:10" ht="14.25" customHeight="1">
      <c r="A1389" s="66" t="s">
        <v>3245</v>
      </c>
      <c r="B1389" s="66" t="s">
        <v>3246</v>
      </c>
      <c r="C1389" s="68">
        <v>0</v>
      </c>
      <c r="D1389" s="68">
        <v>0</v>
      </c>
      <c r="E1389" s="68">
        <v>108</v>
      </c>
      <c r="F1389" s="68">
        <v>108</v>
      </c>
      <c r="G1389" s="68">
        <v>1296</v>
      </c>
      <c r="H1389" s="68">
        <v>1296</v>
      </c>
      <c r="I1389" s="68">
        <v>0</v>
      </c>
      <c r="J1389" s="68">
        <v>0</v>
      </c>
    </row>
    <row r="1390" spans="1:10" ht="14.25" customHeight="1">
      <c r="A1390" s="66" t="s">
        <v>3247</v>
      </c>
      <c r="B1390" s="66" t="s">
        <v>2798</v>
      </c>
      <c r="C1390" s="68">
        <v>0</v>
      </c>
      <c r="D1390" s="68">
        <v>0</v>
      </c>
      <c r="E1390" s="68">
        <v>366.83000000000038</v>
      </c>
      <c r="F1390" s="68">
        <v>366.83000000000038</v>
      </c>
      <c r="G1390" s="68">
        <v>4423</v>
      </c>
      <c r="H1390" s="68">
        <v>4423</v>
      </c>
      <c r="I1390" s="68">
        <v>0</v>
      </c>
      <c r="J1390" s="68">
        <v>0</v>
      </c>
    </row>
    <row r="1391" spans="1:10" ht="14.25" customHeight="1">
      <c r="A1391" s="66" t="s">
        <v>3248</v>
      </c>
      <c r="B1391" s="66" t="s">
        <v>2688</v>
      </c>
      <c r="C1391" s="68">
        <v>0</v>
      </c>
      <c r="D1391" s="68">
        <v>0</v>
      </c>
      <c r="E1391" s="68">
        <v>0</v>
      </c>
      <c r="F1391" s="68">
        <v>0</v>
      </c>
      <c r="G1391" s="68">
        <v>49.1</v>
      </c>
      <c r="H1391" s="68">
        <v>49.1</v>
      </c>
      <c r="I1391" s="68">
        <v>0</v>
      </c>
      <c r="J1391" s="68">
        <v>0</v>
      </c>
    </row>
    <row r="1392" spans="1:10" ht="14.25" customHeight="1">
      <c r="A1392" s="66" t="s">
        <v>3249</v>
      </c>
      <c r="B1392" s="66" t="s">
        <v>2724</v>
      </c>
      <c r="C1392" s="68">
        <v>0</v>
      </c>
      <c r="D1392" s="68">
        <v>0</v>
      </c>
      <c r="E1392" s="68">
        <v>0</v>
      </c>
      <c r="F1392" s="68">
        <v>0</v>
      </c>
      <c r="G1392" s="68">
        <v>180</v>
      </c>
      <c r="H1392" s="68">
        <v>180</v>
      </c>
      <c r="I1392" s="68">
        <v>0</v>
      </c>
      <c r="J1392" s="68">
        <v>0</v>
      </c>
    </row>
    <row r="1393" spans="1:10" ht="14.25" customHeight="1">
      <c r="A1393" s="66" t="s">
        <v>3250</v>
      </c>
      <c r="B1393" s="66" t="s">
        <v>3236</v>
      </c>
      <c r="C1393" s="68">
        <v>0</v>
      </c>
      <c r="D1393" s="68">
        <v>0</v>
      </c>
      <c r="E1393" s="68">
        <v>3443.9599999999991</v>
      </c>
      <c r="F1393" s="68">
        <v>3443.9599999999991</v>
      </c>
      <c r="G1393" s="68">
        <v>48762.369999999995</v>
      </c>
      <c r="H1393" s="68">
        <v>48762.369999999995</v>
      </c>
      <c r="I1393" s="68">
        <v>0</v>
      </c>
      <c r="J1393" s="68">
        <v>0</v>
      </c>
    </row>
    <row r="1394" spans="1:10" ht="14.25" customHeight="1">
      <c r="A1394" s="66" t="s">
        <v>3251</v>
      </c>
      <c r="B1394" s="66" t="s">
        <v>2676</v>
      </c>
      <c r="C1394" s="68">
        <v>0</v>
      </c>
      <c r="D1394" s="68">
        <v>0</v>
      </c>
      <c r="E1394" s="68">
        <v>0</v>
      </c>
      <c r="F1394" s="68">
        <v>0</v>
      </c>
      <c r="G1394" s="68">
        <v>9170</v>
      </c>
      <c r="H1394" s="68">
        <v>9170</v>
      </c>
      <c r="I1394" s="68">
        <v>0</v>
      </c>
      <c r="J1394" s="68">
        <v>0</v>
      </c>
    </row>
    <row r="1395" spans="1:10" ht="14.25" customHeight="1">
      <c r="A1395" s="66" t="s">
        <v>3252</v>
      </c>
      <c r="B1395" s="66" t="s">
        <v>2678</v>
      </c>
      <c r="C1395" s="68">
        <v>0</v>
      </c>
      <c r="D1395" s="68">
        <v>0</v>
      </c>
      <c r="E1395" s="68">
        <v>3572.9800000000032</v>
      </c>
      <c r="F1395" s="68">
        <v>3572.9800000000032</v>
      </c>
      <c r="G1395" s="68">
        <v>42195.72</v>
      </c>
      <c r="H1395" s="68">
        <v>42195.72</v>
      </c>
      <c r="I1395" s="68">
        <v>0</v>
      </c>
      <c r="J1395" s="68">
        <v>0</v>
      </c>
    </row>
    <row r="1396" spans="1:10" ht="14.25" customHeight="1">
      <c r="A1396" s="66" t="s">
        <v>3253</v>
      </c>
      <c r="B1396" s="66" t="s">
        <v>2680</v>
      </c>
      <c r="C1396" s="68">
        <v>0</v>
      </c>
      <c r="D1396" s="68">
        <v>0</v>
      </c>
      <c r="E1396" s="68">
        <v>56.5</v>
      </c>
      <c r="F1396" s="68">
        <v>56.5</v>
      </c>
      <c r="G1396" s="68">
        <v>4923.0599999999995</v>
      </c>
      <c r="H1396" s="68">
        <v>4923.0599999999995</v>
      </c>
      <c r="I1396" s="68">
        <v>0</v>
      </c>
      <c r="J1396" s="68">
        <v>0</v>
      </c>
    </row>
    <row r="1397" spans="1:10" ht="14.25" customHeight="1">
      <c r="A1397" s="66" t="s">
        <v>3254</v>
      </c>
      <c r="B1397" s="66" t="s">
        <v>3241</v>
      </c>
      <c r="C1397" s="68">
        <v>0</v>
      </c>
      <c r="D1397" s="68">
        <v>0</v>
      </c>
      <c r="E1397" s="68">
        <v>90</v>
      </c>
      <c r="F1397" s="68">
        <v>90</v>
      </c>
      <c r="G1397" s="68">
        <v>1170</v>
      </c>
      <c r="H1397" s="68">
        <v>1170</v>
      </c>
      <c r="I1397" s="68">
        <v>0</v>
      </c>
      <c r="J1397" s="68">
        <v>0</v>
      </c>
    </row>
    <row r="1398" spans="1:10" ht="14.25" customHeight="1">
      <c r="A1398" s="66" t="s">
        <v>3255</v>
      </c>
      <c r="B1398" s="66" t="s">
        <v>2708</v>
      </c>
      <c r="C1398" s="68">
        <v>0</v>
      </c>
      <c r="D1398" s="68">
        <v>0</v>
      </c>
      <c r="E1398" s="68">
        <v>50</v>
      </c>
      <c r="F1398" s="68">
        <v>50</v>
      </c>
      <c r="G1398" s="68">
        <v>600</v>
      </c>
      <c r="H1398" s="68">
        <v>600</v>
      </c>
      <c r="I1398" s="68">
        <v>0</v>
      </c>
      <c r="J1398" s="68">
        <v>0</v>
      </c>
    </row>
    <row r="1399" spans="1:10" ht="14.25" customHeight="1">
      <c r="A1399" s="66" t="s">
        <v>3256</v>
      </c>
      <c r="B1399" s="66" t="s">
        <v>3244</v>
      </c>
      <c r="C1399" s="68">
        <v>0</v>
      </c>
      <c r="D1399" s="68">
        <v>0</v>
      </c>
      <c r="E1399" s="68">
        <v>2686.2400000000016</v>
      </c>
      <c r="F1399" s="68">
        <v>2686.2400000000016</v>
      </c>
      <c r="G1399" s="68">
        <v>30998.67</v>
      </c>
      <c r="H1399" s="68">
        <v>30998.67</v>
      </c>
      <c r="I1399" s="68">
        <v>0</v>
      </c>
      <c r="J1399" s="68">
        <v>0</v>
      </c>
    </row>
    <row r="1400" spans="1:10" ht="14.25" customHeight="1">
      <c r="A1400" s="66" t="s">
        <v>3257</v>
      </c>
      <c r="B1400" s="66" t="s">
        <v>3246</v>
      </c>
      <c r="C1400" s="68">
        <v>0</v>
      </c>
      <c r="D1400" s="68">
        <v>0</v>
      </c>
      <c r="E1400" s="68">
        <v>108</v>
      </c>
      <c r="F1400" s="68">
        <v>108</v>
      </c>
      <c r="G1400" s="68">
        <v>1296</v>
      </c>
      <c r="H1400" s="68">
        <v>1296</v>
      </c>
      <c r="I1400" s="68">
        <v>0</v>
      </c>
      <c r="J1400" s="68">
        <v>0</v>
      </c>
    </row>
    <row r="1401" spans="1:10" ht="14.25" customHeight="1">
      <c r="A1401" s="66" t="s">
        <v>3258</v>
      </c>
      <c r="B1401" s="66" t="s">
        <v>2798</v>
      </c>
      <c r="C1401" s="68">
        <v>0</v>
      </c>
      <c r="D1401" s="68">
        <v>0</v>
      </c>
      <c r="E1401" s="68">
        <v>366.83000000000038</v>
      </c>
      <c r="F1401" s="68">
        <v>366.83000000000038</v>
      </c>
      <c r="G1401" s="68">
        <v>4423</v>
      </c>
      <c r="H1401" s="68">
        <v>4423</v>
      </c>
      <c r="I1401" s="68">
        <v>0</v>
      </c>
      <c r="J1401" s="68">
        <v>0</v>
      </c>
    </row>
    <row r="1402" spans="1:10" ht="14.25" customHeight="1">
      <c r="A1402" s="66" t="s">
        <v>3259</v>
      </c>
      <c r="B1402" s="66" t="s">
        <v>2724</v>
      </c>
      <c r="C1402" s="68">
        <v>0</v>
      </c>
      <c r="D1402" s="68">
        <v>0</v>
      </c>
      <c r="E1402" s="68">
        <v>0</v>
      </c>
      <c r="F1402" s="68">
        <v>0</v>
      </c>
      <c r="G1402" s="68">
        <v>190</v>
      </c>
      <c r="H1402" s="68">
        <v>190</v>
      </c>
      <c r="I1402" s="68">
        <v>0</v>
      </c>
      <c r="J1402" s="68">
        <v>0</v>
      </c>
    </row>
    <row r="1403" spans="1:10" ht="14.25" customHeight="1">
      <c r="A1403" s="66" t="s">
        <v>3260</v>
      </c>
      <c r="B1403" s="66" t="s">
        <v>3236</v>
      </c>
      <c r="C1403" s="68">
        <v>0</v>
      </c>
      <c r="D1403" s="68">
        <v>0</v>
      </c>
      <c r="E1403" s="68">
        <v>6592.8600000000006</v>
      </c>
      <c r="F1403" s="68">
        <v>6592.8600000000006</v>
      </c>
      <c r="G1403" s="68">
        <v>85166.61</v>
      </c>
      <c r="H1403" s="68">
        <v>85166.61</v>
      </c>
      <c r="I1403" s="68">
        <v>0</v>
      </c>
      <c r="J1403" s="68">
        <v>0</v>
      </c>
    </row>
    <row r="1404" spans="1:10" ht="14.25" customHeight="1">
      <c r="A1404" s="66" t="s">
        <v>3261</v>
      </c>
      <c r="B1404" s="66" t="s">
        <v>2676</v>
      </c>
      <c r="C1404" s="68">
        <v>0</v>
      </c>
      <c r="D1404" s="68">
        <v>0</v>
      </c>
      <c r="E1404" s="68">
        <v>1380</v>
      </c>
      <c r="F1404" s="68">
        <v>1380</v>
      </c>
      <c r="G1404" s="68">
        <v>8090</v>
      </c>
      <c r="H1404" s="68">
        <v>8090</v>
      </c>
      <c r="I1404" s="68">
        <v>0</v>
      </c>
      <c r="J1404" s="68">
        <v>0</v>
      </c>
    </row>
    <row r="1405" spans="1:10" ht="14.25" customHeight="1">
      <c r="A1405" s="66" t="s">
        <v>3262</v>
      </c>
      <c r="B1405" s="66" t="s">
        <v>2678</v>
      </c>
      <c r="C1405" s="68">
        <v>0</v>
      </c>
      <c r="D1405" s="68">
        <v>0</v>
      </c>
      <c r="E1405" s="68">
        <v>3246.3300000000017</v>
      </c>
      <c r="F1405" s="68">
        <v>3246.3300000000017</v>
      </c>
      <c r="G1405" s="68">
        <v>36966.020000000004</v>
      </c>
      <c r="H1405" s="68">
        <v>36966.020000000004</v>
      </c>
      <c r="I1405" s="68">
        <v>0</v>
      </c>
      <c r="J1405" s="68">
        <v>0</v>
      </c>
    </row>
    <row r="1406" spans="1:10" ht="14.25" customHeight="1">
      <c r="A1406" s="66" t="s">
        <v>3263</v>
      </c>
      <c r="B1406" s="66" t="s">
        <v>2680</v>
      </c>
      <c r="C1406" s="68">
        <v>0</v>
      </c>
      <c r="D1406" s="68">
        <v>0</v>
      </c>
      <c r="E1406" s="68">
        <v>402.69999999999982</v>
      </c>
      <c r="F1406" s="68">
        <v>402.69999999999982</v>
      </c>
      <c r="G1406" s="68">
        <v>5084.5</v>
      </c>
      <c r="H1406" s="68">
        <v>5084.5</v>
      </c>
      <c r="I1406" s="68">
        <v>0</v>
      </c>
      <c r="J1406" s="68">
        <v>0</v>
      </c>
    </row>
    <row r="1407" spans="1:10" ht="14.25" customHeight="1">
      <c r="A1407" s="66" t="s">
        <v>3264</v>
      </c>
      <c r="B1407" s="66" t="s">
        <v>3241</v>
      </c>
      <c r="C1407" s="68">
        <v>0</v>
      </c>
      <c r="D1407" s="68">
        <v>0</v>
      </c>
      <c r="E1407" s="68">
        <v>270</v>
      </c>
      <c r="F1407" s="68">
        <v>270</v>
      </c>
      <c r="G1407" s="68">
        <v>1620</v>
      </c>
      <c r="H1407" s="68">
        <v>1620</v>
      </c>
      <c r="I1407" s="68">
        <v>0</v>
      </c>
      <c r="J1407" s="68">
        <v>0</v>
      </c>
    </row>
    <row r="1408" spans="1:10" ht="14.25" customHeight="1">
      <c r="A1408" s="66" t="s">
        <v>3265</v>
      </c>
      <c r="B1408" s="66" t="s">
        <v>2708</v>
      </c>
      <c r="C1408" s="68">
        <v>0</v>
      </c>
      <c r="D1408" s="68">
        <v>0</v>
      </c>
      <c r="E1408" s="68">
        <v>50</v>
      </c>
      <c r="F1408" s="68">
        <v>50</v>
      </c>
      <c r="G1408" s="68">
        <v>600</v>
      </c>
      <c r="H1408" s="68">
        <v>600</v>
      </c>
      <c r="I1408" s="68">
        <v>0</v>
      </c>
      <c r="J1408" s="68">
        <v>0</v>
      </c>
    </row>
    <row r="1409" spans="1:10" ht="14.25" customHeight="1">
      <c r="A1409" s="66" t="s">
        <v>3266</v>
      </c>
      <c r="B1409" s="66" t="s">
        <v>3244</v>
      </c>
      <c r="C1409" s="68">
        <v>0</v>
      </c>
      <c r="D1409" s="68">
        <v>0</v>
      </c>
      <c r="E1409" s="68">
        <v>3835.119999999999</v>
      </c>
      <c r="F1409" s="68">
        <v>3835.119999999999</v>
      </c>
      <c r="G1409" s="68">
        <v>29976.579999999998</v>
      </c>
      <c r="H1409" s="68">
        <v>29976.579999999998</v>
      </c>
      <c r="I1409" s="68">
        <v>0</v>
      </c>
      <c r="J1409" s="68">
        <v>0</v>
      </c>
    </row>
    <row r="1410" spans="1:10" ht="14.25" customHeight="1">
      <c r="A1410" s="66" t="s">
        <v>3267</v>
      </c>
      <c r="B1410" s="66" t="s">
        <v>3246</v>
      </c>
      <c r="C1410" s="68">
        <v>0</v>
      </c>
      <c r="D1410" s="68">
        <v>0</v>
      </c>
      <c r="E1410" s="68">
        <v>108</v>
      </c>
      <c r="F1410" s="68">
        <v>108</v>
      </c>
      <c r="G1410" s="68">
        <v>1296</v>
      </c>
      <c r="H1410" s="68">
        <v>1296</v>
      </c>
      <c r="I1410" s="68">
        <v>0</v>
      </c>
      <c r="J1410" s="68">
        <v>0</v>
      </c>
    </row>
    <row r="1411" spans="1:10" ht="14.25" customHeight="1">
      <c r="A1411" s="66" t="s">
        <v>3268</v>
      </c>
      <c r="B1411" s="66" t="s">
        <v>2798</v>
      </c>
      <c r="C1411" s="68">
        <v>0</v>
      </c>
      <c r="D1411" s="68">
        <v>0</v>
      </c>
      <c r="E1411" s="68">
        <v>366.83000000000038</v>
      </c>
      <c r="F1411" s="68">
        <v>366.83000000000038</v>
      </c>
      <c r="G1411" s="68">
        <v>4423</v>
      </c>
      <c r="H1411" s="68">
        <v>4423</v>
      </c>
      <c r="I1411" s="68">
        <v>0</v>
      </c>
      <c r="J1411" s="68">
        <v>0</v>
      </c>
    </row>
    <row r="1412" spans="1:10" ht="14.25" customHeight="1">
      <c r="A1412" s="66" t="s">
        <v>3269</v>
      </c>
      <c r="B1412" s="66" t="s">
        <v>3236</v>
      </c>
      <c r="C1412" s="68">
        <v>0</v>
      </c>
      <c r="D1412" s="68">
        <v>0</v>
      </c>
      <c r="E1412" s="68">
        <v>0</v>
      </c>
      <c r="F1412" s="68">
        <v>0</v>
      </c>
      <c r="G1412" s="68">
        <v>292.8</v>
      </c>
      <c r="H1412" s="68">
        <v>292.8</v>
      </c>
      <c r="I1412" s="68">
        <v>0</v>
      </c>
      <c r="J1412" s="68">
        <v>0</v>
      </c>
    </row>
    <row r="1413" spans="1:10" ht="14.25" customHeight="1">
      <c r="A1413" s="66" t="s">
        <v>3270</v>
      </c>
      <c r="B1413" s="66" t="s">
        <v>2678</v>
      </c>
      <c r="C1413" s="68">
        <v>0</v>
      </c>
      <c r="D1413" s="68">
        <v>0</v>
      </c>
      <c r="E1413" s="68">
        <v>0</v>
      </c>
      <c r="F1413" s="68">
        <v>0</v>
      </c>
      <c r="G1413" s="68">
        <v>1857.75</v>
      </c>
      <c r="H1413" s="68">
        <v>1857.75</v>
      </c>
      <c r="I1413" s="68">
        <v>0</v>
      </c>
      <c r="J1413" s="68">
        <v>0</v>
      </c>
    </row>
    <row r="1414" spans="1:10" ht="14.25" customHeight="1">
      <c r="A1414" s="66" t="s">
        <v>3271</v>
      </c>
      <c r="B1414" s="66" t="s">
        <v>2680</v>
      </c>
      <c r="C1414" s="68">
        <v>0</v>
      </c>
      <c r="D1414" s="68">
        <v>0</v>
      </c>
      <c r="E1414" s="68">
        <v>0</v>
      </c>
      <c r="F1414" s="68">
        <v>0</v>
      </c>
      <c r="G1414" s="68">
        <v>84.56</v>
      </c>
      <c r="H1414" s="68">
        <v>84.56</v>
      </c>
      <c r="I1414" s="68">
        <v>0</v>
      </c>
      <c r="J1414" s="68">
        <v>0</v>
      </c>
    </row>
    <row r="1415" spans="1:10" ht="14.25" customHeight="1">
      <c r="A1415" s="66" t="s">
        <v>3272</v>
      </c>
      <c r="B1415" s="66" t="s">
        <v>2708</v>
      </c>
      <c r="C1415" s="68">
        <v>0</v>
      </c>
      <c r="D1415" s="68">
        <v>0</v>
      </c>
      <c r="E1415" s="68">
        <v>50</v>
      </c>
      <c r="F1415" s="68">
        <v>50</v>
      </c>
      <c r="G1415" s="68">
        <v>600</v>
      </c>
      <c r="H1415" s="68">
        <v>600</v>
      </c>
      <c r="I1415" s="68">
        <v>0</v>
      </c>
      <c r="J1415" s="68">
        <v>0</v>
      </c>
    </row>
    <row r="1416" spans="1:10" ht="14.25" customHeight="1">
      <c r="A1416" s="66" t="s">
        <v>3273</v>
      </c>
      <c r="B1416" s="66" t="s">
        <v>3244</v>
      </c>
      <c r="C1416" s="68">
        <v>0</v>
      </c>
      <c r="D1416" s="68">
        <v>0</v>
      </c>
      <c r="E1416" s="68">
        <v>0</v>
      </c>
      <c r="F1416" s="68">
        <v>0</v>
      </c>
      <c r="G1416" s="68">
        <v>285</v>
      </c>
      <c r="H1416" s="68">
        <v>285</v>
      </c>
      <c r="I1416" s="68">
        <v>0</v>
      </c>
      <c r="J1416" s="68">
        <v>0</v>
      </c>
    </row>
    <row r="1417" spans="1:10" ht="14.25" customHeight="1">
      <c r="A1417" s="66" t="s">
        <v>3274</v>
      </c>
      <c r="B1417" s="66" t="s">
        <v>2798</v>
      </c>
      <c r="C1417" s="68">
        <v>0</v>
      </c>
      <c r="D1417" s="68">
        <v>0</v>
      </c>
      <c r="E1417" s="68">
        <v>45.75</v>
      </c>
      <c r="F1417" s="68">
        <v>45.75</v>
      </c>
      <c r="G1417" s="68">
        <v>544.83999999999992</v>
      </c>
      <c r="H1417" s="68">
        <v>544.83999999999992</v>
      </c>
      <c r="I1417" s="68">
        <v>0</v>
      </c>
      <c r="J1417" s="68">
        <v>0</v>
      </c>
    </row>
    <row r="1418" spans="1:10" ht="14.25" customHeight="1">
      <c r="A1418" s="66" t="s">
        <v>3275</v>
      </c>
      <c r="B1418" s="66" t="s">
        <v>2724</v>
      </c>
      <c r="C1418" s="68">
        <v>0</v>
      </c>
      <c r="D1418" s="68">
        <v>0</v>
      </c>
      <c r="E1418" s="68">
        <v>0</v>
      </c>
      <c r="F1418" s="68">
        <v>0</v>
      </c>
      <c r="G1418" s="68">
        <v>460</v>
      </c>
      <c r="H1418" s="68">
        <v>460</v>
      </c>
      <c r="I1418" s="68">
        <v>0</v>
      </c>
      <c r="J1418" s="68">
        <v>0</v>
      </c>
    </row>
    <row r="1419" spans="1:10" ht="14.25" customHeight="1">
      <c r="A1419" s="66" t="s">
        <v>3276</v>
      </c>
      <c r="B1419" s="66" t="s">
        <v>3236</v>
      </c>
      <c r="C1419" s="68">
        <v>0</v>
      </c>
      <c r="D1419" s="68">
        <v>0</v>
      </c>
      <c r="E1419" s="68">
        <v>2213.34</v>
      </c>
      <c r="F1419" s="68">
        <v>2213.34</v>
      </c>
      <c r="G1419" s="68">
        <v>24443.800000000003</v>
      </c>
      <c r="H1419" s="68">
        <v>24443.800000000003</v>
      </c>
      <c r="I1419" s="68">
        <v>0</v>
      </c>
      <c r="J1419" s="68">
        <v>0</v>
      </c>
    </row>
    <row r="1420" spans="1:10" ht="14.25" customHeight="1">
      <c r="A1420" s="66" t="s">
        <v>3277</v>
      </c>
      <c r="B1420" s="66" t="s">
        <v>2676</v>
      </c>
      <c r="C1420" s="68">
        <v>0</v>
      </c>
      <c r="D1420" s="68">
        <v>0</v>
      </c>
      <c r="E1420" s="68">
        <v>0</v>
      </c>
      <c r="F1420" s="68">
        <v>0</v>
      </c>
      <c r="G1420" s="68">
        <v>5920</v>
      </c>
      <c r="H1420" s="68">
        <v>5920</v>
      </c>
      <c r="I1420" s="68">
        <v>0</v>
      </c>
      <c r="J1420" s="68">
        <v>0</v>
      </c>
    </row>
    <row r="1421" spans="1:10" ht="14.25" customHeight="1">
      <c r="A1421" s="66" t="s">
        <v>3278</v>
      </c>
      <c r="B1421" s="66" t="s">
        <v>2678</v>
      </c>
      <c r="C1421" s="68">
        <v>0</v>
      </c>
      <c r="D1421" s="68">
        <v>0</v>
      </c>
      <c r="E1421" s="68">
        <v>5289.18</v>
      </c>
      <c r="F1421" s="68">
        <v>5289.18</v>
      </c>
      <c r="G1421" s="68">
        <v>52788.070000000007</v>
      </c>
      <c r="H1421" s="68">
        <v>52788.070000000007</v>
      </c>
      <c r="I1421" s="68">
        <v>0</v>
      </c>
      <c r="J1421" s="68">
        <v>0</v>
      </c>
    </row>
    <row r="1422" spans="1:10" ht="14.25" customHeight="1">
      <c r="A1422" s="66" t="s">
        <v>3279</v>
      </c>
      <c r="B1422" s="66" t="s">
        <v>2680</v>
      </c>
      <c r="C1422" s="68">
        <v>0</v>
      </c>
      <c r="D1422" s="68">
        <v>0</v>
      </c>
      <c r="E1422" s="68">
        <v>22.5</v>
      </c>
      <c r="F1422" s="68">
        <v>22.5</v>
      </c>
      <c r="G1422" s="68">
        <v>754.12</v>
      </c>
      <c r="H1422" s="68">
        <v>754.12</v>
      </c>
      <c r="I1422" s="68">
        <v>0</v>
      </c>
      <c r="J1422" s="68">
        <v>0</v>
      </c>
    </row>
    <row r="1423" spans="1:10" ht="14.25" customHeight="1">
      <c r="A1423" s="66" t="s">
        <v>3280</v>
      </c>
      <c r="B1423" s="66" t="s">
        <v>3241</v>
      </c>
      <c r="C1423" s="68">
        <v>0</v>
      </c>
      <c r="D1423" s="68">
        <v>0</v>
      </c>
      <c r="E1423" s="68">
        <v>90</v>
      </c>
      <c r="F1423" s="68">
        <v>90</v>
      </c>
      <c r="G1423" s="68">
        <v>1140</v>
      </c>
      <c r="H1423" s="68">
        <v>1140</v>
      </c>
      <c r="I1423" s="68">
        <v>0</v>
      </c>
      <c r="J1423" s="68">
        <v>0</v>
      </c>
    </row>
    <row r="1424" spans="1:10" ht="14.25" customHeight="1">
      <c r="A1424" s="66" t="s">
        <v>3281</v>
      </c>
      <c r="B1424" s="66" t="s">
        <v>2708</v>
      </c>
      <c r="C1424" s="68">
        <v>0</v>
      </c>
      <c r="D1424" s="68">
        <v>0</v>
      </c>
      <c r="E1424" s="68">
        <v>50</v>
      </c>
      <c r="F1424" s="68">
        <v>50</v>
      </c>
      <c r="G1424" s="68">
        <v>600</v>
      </c>
      <c r="H1424" s="68">
        <v>600</v>
      </c>
      <c r="I1424" s="68">
        <v>0</v>
      </c>
      <c r="J1424" s="68">
        <v>0</v>
      </c>
    </row>
    <row r="1425" spans="1:10" ht="14.25" customHeight="1">
      <c r="A1425" s="66" t="s">
        <v>3282</v>
      </c>
      <c r="B1425" s="66" t="s">
        <v>3244</v>
      </c>
      <c r="C1425" s="68">
        <v>0</v>
      </c>
      <c r="D1425" s="68">
        <v>0</v>
      </c>
      <c r="E1425" s="68">
        <v>773.52000000000044</v>
      </c>
      <c r="F1425" s="68">
        <v>773.52000000000044</v>
      </c>
      <c r="G1425" s="68">
        <v>19591.61</v>
      </c>
      <c r="H1425" s="68">
        <v>19591.61</v>
      </c>
      <c r="I1425" s="68">
        <v>0</v>
      </c>
      <c r="J1425" s="68">
        <v>0</v>
      </c>
    </row>
    <row r="1426" spans="1:10" ht="14.25" customHeight="1">
      <c r="A1426" s="66" t="s">
        <v>3283</v>
      </c>
      <c r="B1426" s="66" t="s">
        <v>3246</v>
      </c>
      <c r="C1426" s="68">
        <v>0</v>
      </c>
      <c r="D1426" s="68">
        <v>0</v>
      </c>
      <c r="E1426" s="68">
        <v>108</v>
      </c>
      <c r="F1426" s="68">
        <v>108</v>
      </c>
      <c r="G1426" s="68">
        <v>1296</v>
      </c>
      <c r="H1426" s="68">
        <v>1296</v>
      </c>
      <c r="I1426" s="68">
        <v>0</v>
      </c>
      <c r="J1426" s="68">
        <v>0</v>
      </c>
    </row>
    <row r="1427" spans="1:10" ht="14.25" customHeight="1">
      <c r="A1427" s="66" t="s">
        <v>3284</v>
      </c>
      <c r="B1427" s="66" t="s">
        <v>2798</v>
      </c>
      <c r="C1427" s="68">
        <v>0</v>
      </c>
      <c r="D1427" s="68">
        <v>0</v>
      </c>
      <c r="E1427" s="68">
        <v>315.40999999999985</v>
      </c>
      <c r="F1427" s="68">
        <v>315.40999999999985</v>
      </c>
      <c r="G1427" s="68">
        <v>3827.2799999999993</v>
      </c>
      <c r="H1427" s="68">
        <v>3827.2799999999993</v>
      </c>
      <c r="I1427" s="68">
        <v>0</v>
      </c>
      <c r="J1427" s="68">
        <v>0</v>
      </c>
    </row>
    <row r="1428" spans="1:10" ht="14.25" customHeight="1">
      <c r="A1428" s="66" t="s">
        <v>3285</v>
      </c>
      <c r="B1428" s="66" t="s">
        <v>2688</v>
      </c>
      <c r="C1428" s="68">
        <v>0</v>
      </c>
      <c r="D1428" s="68">
        <v>0</v>
      </c>
      <c r="E1428" s="68">
        <v>0</v>
      </c>
      <c r="F1428" s="68">
        <v>0</v>
      </c>
      <c r="G1428" s="68">
        <v>25</v>
      </c>
      <c r="H1428" s="68">
        <v>25</v>
      </c>
      <c r="I1428" s="68">
        <v>0</v>
      </c>
      <c r="J1428" s="68">
        <v>0</v>
      </c>
    </row>
    <row r="1429" spans="1:10" ht="14.25" customHeight="1">
      <c r="A1429" s="66" t="s">
        <v>3286</v>
      </c>
      <c r="B1429" s="66" t="s">
        <v>2724</v>
      </c>
      <c r="C1429" s="68">
        <v>0</v>
      </c>
      <c r="D1429" s="68">
        <v>0</v>
      </c>
      <c r="E1429" s="68">
        <v>40</v>
      </c>
      <c r="F1429" s="68">
        <v>40</v>
      </c>
      <c r="G1429" s="68">
        <v>1130</v>
      </c>
      <c r="H1429" s="68">
        <v>1130</v>
      </c>
      <c r="I1429" s="68">
        <v>0</v>
      </c>
      <c r="J1429" s="68">
        <v>0</v>
      </c>
    </row>
    <row r="1430" spans="1:10" ht="14.25" customHeight="1">
      <c r="A1430" s="66" t="s">
        <v>3287</v>
      </c>
      <c r="B1430" s="66" t="s">
        <v>3236</v>
      </c>
      <c r="C1430" s="68">
        <v>0</v>
      </c>
      <c r="D1430" s="68">
        <v>0</v>
      </c>
      <c r="E1430" s="68">
        <v>7381.7199999999993</v>
      </c>
      <c r="F1430" s="68">
        <v>7381.7199999999993</v>
      </c>
      <c r="G1430" s="68">
        <v>19383.93</v>
      </c>
      <c r="H1430" s="68">
        <v>19383.93</v>
      </c>
      <c r="I1430" s="68">
        <v>0</v>
      </c>
      <c r="J1430" s="68">
        <v>0</v>
      </c>
    </row>
    <row r="1431" spans="1:10" ht="14.25" customHeight="1">
      <c r="A1431" s="66" t="s">
        <v>3288</v>
      </c>
      <c r="B1431" s="66" t="s">
        <v>2678</v>
      </c>
      <c r="C1431" s="68">
        <v>0</v>
      </c>
      <c r="D1431" s="68">
        <v>0</v>
      </c>
      <c r="E1431" s="68">
        <v>548.96</v>
      </c>
      <c r="F1431" s="68">
        <v>548.96</v>
      </c>
      <c r="G1431" s="68">
        <v>7818.4000000000005</v>
      </c>
      <c r="H1431" s="68">
        <v>7818.4000000000005</v>
      </c>
      <c r="I1431" s="68">
        <v>0</v>
      </c>
      <c r="J1431" s="68">
        <v>0</v>
      </c>
    </row>
    <row r="1432" spans="1:10" ht="14.25" customHeight="1">
      <c r="A1432" s="66" t="s">
        <v>3289</v>
      </c>
      <c r="B1432" s="66" t="s">
        <v>2680</v>
      </c>
      <c r="C1432" s="68">
        <v>0</v>
      </c>
      <c r="D1432" s="68">
        <v>0</v>
      </c>
      <c r="E1432" s="68">
        <v>276.5</v>
      </c>
      <c r="F1432" s="68">
        <v>276.5</v>
      </c>
      <c r="G1432" s="68">
        <v>566.61</v>
      </c>
      <c r="H1432" s="68">
        <v>566.61</v>
      </c>
      <c r="I1432" s="68">
        <v>0</v>
      </c>
      <c r="J1432" s="68">
        <v>0</v>
      </c>
    </row>
    <row r="1433" spans="1:10" ht="14.25" customHeight="1">
      <c r="A1433" s="66" t="s">
        <v>3290</v>
      </c>
      <c r="B1433" s="66" t="s">
        <v>3241</v>
      </c>
      <c r="C1433" s="68">
        <v>0</v>
      </c>
      <c r="D1433" s="68">
        <v>0</v>
      </c>
      <c r="E1433" s="68">
        <v>0</v>
      </c>
      <c r="F1433" s="68">
        <v>0</v>
      </c>
      <c r="G1433" s="68">
        <v>90</v>
      </c>
      <c r="H1433" s="68">
        <v>90</v>
      </c>
      <c r="I1433" s="68">
        <v>0</v>
      </c>
      <c r="J1433" s="68">
        <v>0</v>
      </c>
    </row>
    <row r="1434" spans="1:10" ht="14.25" customHeight="1">
      <c r="A1434" s="66" t="s">
        <v>3291</v>
      </c>
      <c r="B1434" s="66" t="s">
        <v>2708</v>
      </c>
      <c r="C1434" s="68">
        <v>0</v>
      </c>
      <c r="D1434" s="68">
        <v>0</v>
      </c>
      <c r="E1434" s="68">
        <v>50</v>
      </c>
      <c r="F1434" s="68">
        <v>50</v>
      </c>
      <c r="G1434" s="68">
        <v>600</v>
      </c>
      <c r="H1434" s="68">
        <v>600</v>
      </c>
      <c r="I1434" s="68">
        <v>0</v>
      </c>
      <c r="J1434" s="68">
        <v>0</v>
      </c>
    </row>
    <row r="1435" spans="1:10" ht="14.25" customHeight="1">
      <c r="A1435" s="66" t="s">
        <v>3292</v>
      </c>
      <c r="B1435" s="66" t="s">
        <v>3244</v>
      </c>
      <c r="C1435" s="68">
        <v>0</v>
      </c>
      <c r="D1435" s="68">
        <v>0</v>
      </c>
      <c r="E1435" s="68">
        <v>3381.33</v>
      </c>
      <c r="F1435" s="68">
        <v>3381.33</v>
      </c>
      <c r="G1435" s="68">
        <v>14497.32</v>
      </c>
      <c r="H1435" s="68">
        <v>14497.32</v>
      </c>
      <c r="I1435" s="68">
        <v>0</v>
      </c>
      <c r="J1435" s="68">
        <v>0</v>
      </c>
    </row>
    <row r="1436" spans="1:10" ht="14.25" customHeight="1">
      <c r="A1436" s="66" t="s">
        <v>3293</v>
      </c>
      <c r="B1436" s="66" t="s">
        <v>3246</v>
      </c>
      <c r="C1436" s="68">
        <v>0</v>
      </c>
      <c r="D1436" s="68">
        <v>0</v>
      </c>
      <c r="E1436" s="68">
        <v>92</v>
      </c>
      <c r="F1436" s="68">
        <v>92</v>
      </c>
      <c r="G1436" s="68">
        <v>1104</v>
      </c>
      <c r="H1436" s="68">
        <v>1104</v>
      </c>
      <c r="I1436" s="68">
        <v>0</v>
      </c>
      <c r="J1436" s="68">
        <v>0</v>
      </c>
    </row>
    <row r="1437" spans="1:10" ht="14.25" customHeight="1">
      <c r="A1437" s="66" t="s">
        <v>3294</v>
      </c>
      <c r="B1437" s="66" t="s">
        <v>2798</v>
      </c>
      <c r="C1437" s="68">
        <v>0</v>
      </c>
      <c r="D1437" s="68">
        <v>0</v>
      </c>
      <c r="E1437" s="68">
        <v>230.40999999999985</v>
      </c>
      <c r="F1437" s="68">
        <v>230.40999999999985</v>
      </c>
      <c r="G1437" s="68">
        <v>2768.1299999999997</v>
      </c>
      <c r="H1437" s="68">
        <v>2768.1299999999997</v>
      </c>
      <c r="I1437" s="68">
        <v>0</v>
      </c>
      <c r="J1437" s="68">
        <v>0</v>
      </c>
    </row>
    <row r="1438" spans="1:10" ht="14.25" customHeight="1">
      <c r="A1438" s="66" t="s">
        <v>3295</v>
      </c>
      <c r="B1438" s="66" t="s">
        <v>2724</v>
      </c>
      <c r="C1438" s="68">
        <v>0</v>
      </c>
      <c r="D1438" s="68">
        <v>0</v>
      </c>
      <c r="E1438" s="68">
        <v>0</v>
      </c>
      <c r="F1438" s="68">
        <v>0</v>
      </c>
      <c r="G1438" s="68">
        <v>900</v>
      </c>
      <c r="H1438" s="68">
        <v>900</v>
      </c>
      <c r="I1438" s="68">
        <v>0</v>
      </c>
      <c r="J1438" s="68">
        <v>0</v>
      </c>
    </row>
    <row r="1439" spans="1:10" ht="14.25" customHeight="1">
      <c r="A1439" s="66" t="s">
        <v>3296</v>
      </c>
      <c r="B1439" s="66" t="s">
        <v>3236</v>
      </c>
      <c r="C1439" s="68">
        <v>0</v>
      </c>
      <c r="D1439" s="68">
        <v>0</v>
      </c>
      <c r="E1439" s="68">
        <v>1955.9700000000012</v>
      </c>
      <c r="F1439" s="68">
        <v>1955.9700000000012</v>
      </c>
      <c r="G1439" s="68">
        <v>23398.580000000005</v>
      </c>
      <c r="H1439" s="68">
        <v>23398.580000000005</v>
      </c>
      <c r="I1439" s="68">
        <v>0</v>
      </c>
      <c r="J1439" s="68">
        <v>0</v>
      </c>
    </row>
    <row r="1440" spans="1:10" ht="14.25" customHeight="1">
      <c r="A1440" s="66" t="s">
        <v>3297</v>
      </c>
      <c r="B1440" s="66" t="s">
        <v>2676</v>
      </c>
      <c r="C1440" s="68">
        <v>0</v>
      </c>
      <c r="D1440" s="68">
        <v>0</v>
      </c>
      <c r="E1440" s="68">
        <v>0</v>
      </c>
      <c r="F1440" s="68">
        <v>0</v>
      </c>
      <c r="G1440" s="68">
        <v>4400</v>
      </c>
      <c r="H1440" s="68">
        <v>4400</v>
      </c>
      <c r="I1440" s="68">
        <v>0</v>
      </c>
      <c r="J1440" s="68">
        <v>0</v>
      </c>
    </row>
    <row r="1441" spans="1:10" ht="14.25" customHeight="1">
      <c r="A1441" s="66" t="s">
        <v>3298</v>
      </c>
      <c r="B1441" s="66" t="s">
        <v>2678</v>
      </c>
      <c r="C1441" s="68">
        <v>0</v>
      </c>
      <c r="D1441" s="68">
        <v>0</v>
      </c>
      <c r="E1441" s="68">
        <v>4627.2099999999991</v>
      </c>
      <c r="F1441" s="68">
        <v>4627.2099999999991</v>
      </c>
      <c r="G1441" s="68">
        <v>49052.78</v>
      </c>
      <c r="H1441" s="68">
        <v>49052.78</v>
      </c>
      <c r="I1441" s="68">
        <v>0</v>
      </c>
      <c r="J1441" s="68">
        <v>0</v>
      </c>
    </row>
    <row r="1442" spans="1:10" ht="14.25" customHeight="1">
      <c r="A1442" s="66" t="s">
        <v>3299</v>
      </c>
      <c r="B1442" s="66" t="s">
        <v>2680</v>
      </c>
      <c r="C1442" s="68">
        <v>0</v>
      </c>
      <c r="D1442" s="68">
        <v>0</v>
      </c>
      <c r="E1442" s="68">
        <v>14</v>
      </c>
      <c r="F1442" s="68">
        <v>14</v>
      </c>
      <c r="G1442" s="68">
        <v>1144.81</v>
      </c>
      <c r="H1442" s="68">
        <v>1144.81</v>
      </c>
      <c r="I1442" s="68">
        <v>0</v>
      </c>
      <c r="J1442" s="68">
        <v>0</v>
      </c>
    </row>
    <row r="1443" spans="1:10" ht="14.25" customHeight="1">
      <c r="A1443" s="66" t="s">
        <v>3300</v>
      </c>
      <c r="B1443" s="66" t="s">
        <v>3241</v>
      </c>
      <c r="C1443" s="68">
        <v>0</v>
      </c>
      <c r="D1443" s="68">
        <v>0</v>
      </c>
      <c r="E1443" s="68">
        <v>90</v>
      </c>
      <c r="F1443" s="68">
        <v>90</v>
      </c>
      <c r="G1443" s="68">
        <v>450</v>
      </c>
      <c r="H1443" s="68">
        <v>450</v>
      </c>
      <c r="I1443" s="68">
        <v>0</v>
      </c>
      <c r="J1443" s="68">
        <v>0</v>
      </c>
    </row>
    <row r="1444" spans="1:10" ht="14.25" customHeight="1">
      <c r="A1444" s="66" t="s">
        <v>3301</v>
      </c>
      <c r="B1444" s="66" t="s">
        <v>2708</v>
      </c>
      <c r="C1444" s="68">
        <v>0</v>
      </c>
      <c r="D1444" s="68">
        <v>0</v>
      </c>
      <c r="E1444" s="68">
        <v>50</v>
      </c>
      <c r="F1444" s="68">
        <v>50</v>
      </c>
      <c r="G1444" s="68">
        <v>600</v>
      </c>
      <c r="H1444" s="68">
        <v>600</v>
      </c>
      <c r="I1444" s="68">
        <v>0</v>
      </c>
      <c r="J1444" s="68">
        <v>0</v>
      </c>
    </row>
    <row r="1445" spans="1:10" ht="14.25" customHeight="1">
      <c r="A1445" s="66" t="s">
        <v>3302</v>
      </c>
      <c r="B1445" s="66" t="s">
        <v>3244</v>
      </c>
      <c r="C1445" s="68">
        <v>0</v>
      </c>
      <c r="D1445" s="68">
        <v>0</v>
      </c>
      <c r="E1445" s="68">
        <v>1865</v>
      </c>
      <c r="F1445" s="68">
        <v>1865</v>
      </c>
      <c r="G1445" s="68">
        <v>15944.59</v>
      </c>
      <c r="H1445" s="68">
        <v>15944.59</v>
      </c>
      <c r="I1445" s="68">
        <v>0</v>
      </c>
      <c r="J1445" s="68">
        <v>0</v>
      </c>
    </row>
    <row r="1446" spans="1:10" ht="14.25" customHeight="1">
      <c r="A1446" s="66" t="s">
        <v>3303</v>
      </c>
      <c r="B1446" s="66" t="s">
        <v>3246</v>
      </c>
      <c r="C1446" s="68">
        <v>0</v>
      </c>
      <c r="D1446" s="68">
        <v>0</v>
      </c>
      <c r="E1446" s="68">
        <v>151</v>
      </c>
      <c r="F1446" s="68">
        <v>151</v>
      </c>
      <c r="G1446" s="68">
        <v>1812</v>
      </c>
      <c r="H1446" s="68">
        <v>1812</v>
      </c>
      <c r="I1446" s="68">
        <v>0</v>
      </c>
      <c r="J1446" s="68">
        <v>0</v>
      </c>
    </row>
    <row r="1447" spans="1:10" ht="14.25" customHeight="1">
      <c r="A1447" s="66" t="s">
        <v>3304</v>
      </c>
      <c r="B1447" s="66" t="s">
        <v>2798</v>
      </c>
      <c r="C1447" s="68">
        <v>0</v>
      </c>
      <c r="D1447" s="68">
        <v>0</v>
      </c>
      <c r="E1447" s="68">
        <v>279</v>
      </c>
      <c r="F1447" s="68">
        <v>279</v>
      </c>
      <c r="G1447" s="68">
        <v>3818</v>
      </c>
      <c r="H1447" s="68">
        <v>3818</v>
      </c>
      <c r="I1447" s="68">
        <v>0</v>
      </c>
      <c r="J1447" s="68">
        <v>0</v>
      </c>
    </row>
    <row r="1448" spans="1:10" ht="14.25" customHeight="1">
      <c r="A1448" s="66" t="s">
        <v>3305</v>
      </c>
      <c r="B1448" s="66" t="s">
        <v>2724</v>
      </c>
      <c r="C1448" s="68">
        <v>0</v>
      </c>
      <c r="D1448" s="68">
        <v>0</v>
      </c>
      <c r="E1448" s="68">
        <v>40</v>
      </c>
      <c r="F1448" s="68">
        <v>40</v>
      </c>
      <c r="G1448" s="68">
        <v>1180</v>
      </c>
      <c r="H1448" s="68">
        <v>1180</v>
      </c>
      <c r="I1448" s="68">
        <v>0</v>
      </c>
      <c r="J1448" s="68">
        <v>0</v>
      </c>
    </row>
    <row r="1449" spans="1:10" ht="14.25" customHeight="1">
      <c r="A1449" s="66" t="s">
        <v>3306</v>
      </c>
      <c r="B1449" s="66" t="s">
        <v>3236</v>
      </c>
      <c r="C1449" s="68">
        <v>0</v>
      </c>
      <c r="D1449" s="68">
        <v>0</v>
      </c>
      <c r="E1449" s="68">
        <v>0</v>
      </c>
      <c r="F1449" s="68">
        <v>0</v>
      </c>
      <c r="G1449" s="68">
        <v>27295.450000000004</v>
      </c>
      <c r="H1449" s="68">
        <v>27295.450000000004</v>
      </c>
      <c r="I1449" s="68">
        <v>0</v>
      </c>
      <c r="J1449" s="68">
        <v>0</v>
      </c>
    </row>
    <row r="1450" spans="1:10" ht="14.25" customHeight="1">
      <c r="A1450" s="66" t="s">
        <v>3307</v>
      </c>
      <c r="B1450" s="66" t="s">
        <v>2676</v>
      </c>
      <c r="C1450" s="68">
        <v>0</v>
      </c>
      <c r="D1450" s="68">
        <v>0</v>
      </c>
      <c r="E1450" s="68">
        <v>0</v>
      </c>
      <c r="F1450" s="68">
        <v>0</v>
      </c>
      <c r="G1450" s="68">
        <v>1720</v>
      </c>
      <c r="H1450" s="68">
        <v>1720</v>
      </c>
      <c r="I1450" s="68">
        <v>0</v>
      </c>
      <c r="J1450" s="68">
        <v>0</v>
      </c>
    </row>
    <row r="1451" spans="1:10" ht="14.25" customHeight="1">
      <c r="A1451" s="66" t="s">
        <v>3308</v>
      </c>
      <c r="B1451" s="66" t="s">
        <v>2678</v>
      </c>
      <c r="C1451" s="68">
        <v>0</v>
      </c>
      <c r="D1451" s="68">
        <v>0</v>
      </c>
      <c r="E1451" s="68">
        <v>4972.4599999999991</v>
      </c>
      <c r="F1451" s="68">
        <v>4972.4599999999991</v>
      </c>
      <c r="G1451" s="68">
        <v>48594.85</v>
      </c>
      <c r="H1451" s="68">
        <v>48594.85</v>
      </c>
      <c r="I1451" s="68">
        <v>0</v>
      </c>
      <c r="J1451" s="68">
        <v>0</v>
      </c>
    </row>
    <row r="1452" spans="1:10" ht="14.25" customHeight="1">
      <c r="A1452" s="66" t="s">
        <v>3309</v>
      </c>
      <c r="B1452" s="66" t="s">
        <v>2680</v>
      </c>
      <c r="C1452" s="68">
        <v>0</v>
      </c>
      <c r="D1452" s="68">
        <v>0</v>
      </c>
      <c r="E1452" s="68">
        <v>22.5</v>
      </c>
      <c r="F1452" s="68">
        <v>22.5</v>
      </c>
      <c r="G1452" s="68">
        <v>744.76</v>
      </c>
      <c r="H1452" s="68">
        <v>744.76</v>
      </c>
      <c r="I1452" s="68">
        <v>0</v>
      </c>
      <c r="J1452" s="68">
        <v>0</v>
      </c>
    </row>
    <row r="1453" spans="1:10" ht="14.25" customHeight="1">
      <c r="A1453" s="66" t="s">
        <v>3310</v>
      </c>
      <c r="B1453" s="66" t="s">
        <v>3241</v>
      </c>
      <c r="C1453" s="68">
        <v>0</v>
      </c>
      <c r="D1453" s="68">
        <v>0</v>
      </c>
      <c r="E1453" s="68">
        <v>90</v>
      </c>
      <c r="F1453" s="68">
        <v>90</v>
      </c>
      <c r="G1453" s="68">
        <v>810</v>
      </c>
      <c r="H1453" s="68">
        <v>810</v>
      </c>
      <c r="I1453" s="68">
        <v>0</v>
      </c>
      <c r="J1453" s="68">
        <v>0</v>
      </c>
    </row>
    <row r="1454" spans="1:10" ht="14.25" customHeight="1">
      <c r="A1454" s="66" t="s">
        <v>3311</v>
      </c>
      <c r="B1454" s="66" t="s">
        <v>2708</v>
      </c>
      <c r="C1454" s="68">
        <v>0</v>
      </c>
      <c r="D1454" s="68">
        <v>0</v>
      </c>
      <c r="E1454" s="68">
        <v>50</v>
      </c>
      <c r="F1454" s="68">
        <v>50</v>
      </c>
      <c r="G1454" s="68">
        <v>600</v>
      </c>
      <c r="H1454" s="68">
        <v>600</v>
      </c>
      <c r="I1454" s="68">
        <v>0</v>
      </c>
      <c r="J1454" s="68">
        <v>0</v>
      </c>
    </row>
    <row r="1455" spans="1:10" ht="14.25" customHeight="1">
      <c r="A1455" s="66" t="s">
        <v>3312</v>
      </c>
      <c r="B1455" s="66" t="s">
        <v>3244</v>
      </c>
      <c r="C1455" s="68">
        <v>0</v>
      </c>
      <c r="D1455" s="68">
        <v>0</v>
      </c>
      <c r="E1455" s="68">
        <v>510</v>
      </c>
      <c r="F1455" s="68">
        <v>510</v>
      </c>
      <c r="G1455" s="68">
        <v>18578.29</v>
      </c>
      <c r="H1455" s="68">
        <v>18578.29</v>
      </c>
      <c r="I1455" s="68">
        <v>0</v>
      </c>
      <c r="J1455" s="68">
        <v>0</v>
      </c>
    </row>
    <row r="1456" spans="1:10" ht="14.25" customHeight="1">
      <c r="A1456" s="66" t="s">
        <v>3313</v>
      </c>
      <c r="B1456" s="66" t="s">
        <v>3246</v>
      </c>
      <c r="C1456" s="68">
        <v>0</v>
      </c>
      <c r="D1456" s="68">
        <v>0</v>
      </c>
      <c r="E1456" s="68">
        <v>151</v>
      </c>
      <c r="F1456" s="68">
        <v>151</v>
      </c>
      <c r="G1456" s="68">
        <v>1812</v>
      </c>
      <c r="H1456" s="68">
        <v>1812</v>
      </c>
      <c r="I1456" s="68">
        <v>0</v>
      </c>
      <c r="J1456" s="68">
        <v>0</v>
      </c>
    </row>
    <row r="1457" spans="1:10" ht="14.25" customHeight="1">
      <c r="A1457" s="66" t="s">
        <v>3314</v>
      </c>
      <c r="B1457" s="66" t="s">
        <v>2798</v>
      </c>
      <c r="C1457" s="68">
        <v>0</v>
      </c>
      <c r="D1457" s="68">
        <v>0</v>
      </c>
      <c r="E1457" s="68">
        <v>279</v>
      </c>
      <c r="F1457" s="68">
        <v>279</v>
      </c>
      <c r="G1457" s="68">
        <v>3818</v>
      </c>
      <c r="H1457" s="68">
        <v>3818</v>
      </c>
      <c r="I1457" s="68">
        <v>0</v>
      </c>
      <c r="J1457" s="68">
        <v>0</v>
      </c>
    </row>
    <row r="1458" spans="1:10" ht="14.25" customHeight="1">
      <c r="A1458" s="66" t="s">
        <v>3315</v>
      </c>
      <c r="B1458" s="66" t="s">
        <v>2724</v>
      </c>
      <c r="C1458" s="68">
        <v>0</v>
      </c>
      <c r="D1458" s="68">
        <v>0</v>
      </c>
      <c r="E1458" s="68">
        <v>40</v>
      </c>
      <c r="F1458" s="68">
        <v>40</v>
      </c>
      <c r="G1458" s="68">
        <v>520</v>
      </c>
      <c r="H1458" s="68">
        <v>520</v>
      </c>
      <c r="I1458" s="68">
        <v>0</v>
      </c>
      <c r="J1458" s="68">
        <v>0</v>
      </c>
    </row>
    <row r="1459" spans="1:10" ht="14.25" customHeight="1">
      <c r="A1459" s="66" t="s">
        <v>3316</v>
      </c>
      <c r="B1459" s="66" t="s">
        <v>3236</v>
      </c>
      <c r="C1459" s="68">
        <v>0</v>
      </c>
      <c r="D1459" s="68">
        <v>0</v>
      </c>
      <c r="E1459" s="68">
        <v>0</v>
      </c>
      <c r="F1459" s="68">
        <v>0</v>
      </c>
      <c r="G1459" s="68">
        <v>9439.57</v>
      </c>
      <c r="H1459" s="68">
        <v>9439.57</v>
      </c>
      <c r="I1459" s="68">
        <v>0</v>
      </c>
      <c r="J1459" s="68">
        <v>0</v>
      </c>
    </row>
    <row r="1460" spans="1:10" ht="14.25" customHeight="1">
      <c r="A1460" s="66" t="s">
        <v>3317</v>
      </c>
      <c r="B1460" s="66" t="s">
        <v>2676</v>
      </c>
      <c r="C1460" s="68">
        <v>0</v>
      </c>
      <c r="D1460" s="68">
        <v>0</v>
      </c>
      <c r="E1460" s="68">
        <v>0</v>
      </c>
      <c r="F1460" s="68">
        <v>0</v>
      </c>
      <c r="G1460" s="68">
        <v>4460</v>
      </c>
      <c r="H1460" s="68">
        <v>4460</v>
      </c>
      <c r="I1460" s="68">
        <v>0</v>
      </c>
      <c r="J1460" s="68">
        <v>0</v>
      </c>
    </row>
    <row r="1461" spans="1:10" ht="14.25" customHeight="1">
      <c r="A1461" s="66" t="s">
        <v>3318</v>
      </c>
      <c r="B1461" s="66" t="s">
        <v>2678</v>
      </c>
      <c r="C1461" s="68">
        <v>0</v>
      </c>
      <c r="D1461" s="68">
        <v>0</v>
      </c>
      <c r="E1461" s="68">
        <v>2111.9700000000012</v>
      </c>
      <c r="F1461" s="68">
        <v>2111.9700000000012</v>
      </c>
      <c r="G1461" s="68">
        <v>31113.629999999997</v>
      </c>
      <c r="H1461" s="68">
        <v>31113.629999999997</v>
      </c>
      <c r="I1461" s="68">
        <v>0</v>
      </c>
      <c r="J1461" s="68">
        <v>0</v>
      </c>
    </row>
    <row r="1462" spans="1:10" ht="14.25" customHeight="1">
      <c r="A1462" s="66" t="s">
        <v>3319</v>
      </c>
      <c r="B1462" s="66" t="s">
        <v>2680</v>
      </c>
      <c r="C1462" s="68">
        <v>0</v>
      </c>
      <c r="D1462" s="68">
        <v>0</v>
      </c>
      <c r="E1462" s="68">
        <v>6.5</v>
      </c>
      <c r="F1462" s="68">
        <v>6.5</v>
      </c>
      <c r="G1462" s="68">
        <v>468.69</v>
      </c>
      <c r="H1462" s="68">
        <v>468.69</v>
      </c>
      <c r="I1462" s="68">
        <v>0</v>
      </c>
      <c r="J1462" s="68">
        <v>0</v>
      </c>
    </row>
    <row r="1463" spans="1:10" ht="14.25" customHeight="1">
      <c r="A1463" s="66" t="s">
        <v>3320</v>
      </c>
      <c r="B1463" s="66" t="s">
        <v>3241</v>
      </c>
      <c r="C1463" s="68">
        <v>0</v>
      </c>
      <c r="D1463" s="68">
        <v>0</v>
      </c>
      <c r="E1463" s="68">
        <v>0</v>
      </c>
      <c r="F1463" s="68">
        <v>0</v>
      </c>
      <c r="G1463" s="68">
        <v>720</v>
      </c>
      <c r="H1463" s="68">
        <v>720</v>
      </c>
      <c r="I1463" s="68">
        <v>0</v>
      </c>
      <c r="J1463" s="68">
        <v>0</v>
      </c>
    </row>
    <row r="1464" spans="1:10" ht="14.25" customHeight="1">
      <c r="A1464" s="66" t="s">
        <v>3321</v>
      </c>
      <c r="B1464" s="66" t="s">
        <v>2708</v>
      </c>
      <c r="C1464" s="68">
        <v>0</v>
      </c>
      <c r="D1464" s="68">
        <v>0</v>
      </c>
      <c r="E1464" s="68">
        <v>50</v>
      </c>
      <c r="F1464" s="68">
        <v>50</v>
      </c>
      <c r="G1464" s="68">
        <v>600</v>
      </c>
      <c r="H1464" s="68">
        <v>600</v>
      </c>
      <c r="I1464" s="68">
        <v>0</v>
      </c>
      <c r="J1464" s="68">
        <v>0</v>
      </c>
    </row>
    <row r="1465" spans="1:10" ht="14.25" customHeight="1">
      <c r="A1465" s="66" t="s">
        <v>3322</v>
      </c>
      <c r="B1465" s="66" t="s">
        <v>3244</v>
      </c>
      <c r="C1465" s="68">
        <v>0</v>
      </c>
      <c r="D1465" s="68">
        <v>0</v>
      </c>
      <c r="E1465" s="68">
        <v>0</v>
      </c>
      <c r="F1465" s="68">
        <v>0</v>
      </c>
      <c r="G1465" s="68">
        <v>6620.09</v>
      </c>
      <c r="H1465" s="68">
        <v>6620.09</v>
      </c>
      <c r="I1465" s="68">
        <v>0</v>
      </c>
      <c r="J1465" s="68">
        <v>0</v>
      </c>
    </row>
    <row r="1466" spans="1:10" ht="14.25" customHeight="1">
      <c r="A1466" s="66" t="s">
        <v>3323</v>
      </c>
      <c r="B1466" s="66" t="s">
        <v>3246</v>
      </c>
      <c r="C1466" s="68">
        <v>0</v>
      </c>
      <c r="D1466" s="68">
        <v>0</v>
      </c>
      <c r="E1466" s="68">
        <v>95</v>
      </c>
      <c r="F1466" s="68">
        <v>95</v>
      </c>
      <c r="G1466" s="68">
        <v>1140</v>
      </c>
      <c r="H1466" s="68">
        <v>1140</v>
      </c>
      <c r="I1466" s="68">
        <v>0</v>
      </c>
      <c r="J1466" s="68">
        <v>0</v>
      </c>
    </row>
    <row r="1467" spans="1:10" ht="14.25" customHeight="1">
      <c r="A1467" s="66" t="s">
        <v>3324</v>
      </c>
      <c r="B1467" s="66" t="s">
        <v>2798</v>
      </c>
      <c r="C1467" s="68">
        <v>0</v>
      </c>
      <c r="D1467" s="68">
        <v>0</v>
      </c>
      <c r="E1467" s="68">
        <v>324.5</v>
      </c>
      <c r="F1467" s="68">
        <v>324.5</v>
      </c>
      <c r="G1467" s="68">
        <v>4204</v>
      </c>
      <c r="H1467" s="68">
        <v>4204</v>
      </c>
      <c r="I1467" s="68">
        <v>0</v>
      </c>
      <c r="J1467" s="68">
        <v>0</v>
      </c>
    </row>
    <row r="1468" spans="1:10" ht="14.25" customHeight="1">
      <c r="A1468" s="66" t="s">
        <v>3325</v>
      </c>
      <c r="B1468" s="66" t="s">
        <v>2724</v>
      </c>
      <c r="C1468" s="68">
        <v>0</v>
      </c>
      <c r="D1468" s="68">
        <v>0</v>
      </c>
      <c r="E1468" s="68">
        <v>40</v>
      </c>
      <c r="F1468" s="68">
        <v>40</v>
      </c>
      <c r="G1468" s="68">
        <v>1020</v>
      </c>
      <c r="H1468" s="68">
        <v>1020</v>
      </c>
      <c r="I1468" s="68">
        <v>0</v>
      </c>
      <c r="J1468" s="68">
        <v>0</v>
      </c>
    </row>
    <row r="1469" spans="1:10" ht="14.25" customHeight="1">
      <c r="A1469" s="66" t="s">
        <v>3326</v>
      </c>
      <c r="B1469" s="66" t="s">
        <v>3236</v>
      </c>
      <c r="C1469" s="68">
        <v>0</v>
      </c>
      <c r="D1469" s="68">
        <v>0</v>
      </c>
      <c r="E1469" s="68">
        <v>1732.75</v>
      </c>
      <c r="F1469" s="68">
        <v>1732.75</v>
      </c>
      <c r="G1469" s="68">
        <v>16760.07</v>
      </c>
      <c r="H1469" s="68">
        <v>16760.07</v>
      </c>
      <c r="I1469" s="68">
        <v>0</v>
      </c>
      <c r="J1469" s="68">
        <v>0</v>
      </c>
    </row>
    <row r="1470" spans="1:10" ht="14.25" customHeight="1">
      <c r="A1470" s="66" t="s">
        <v>3327</v>
      </c>
      <c r="B1470" s="66" t="s">
        <v>2676</v>
      </c>
      <c r="C1470" s="68">
        <v>0</v>
      </c>
      <c r="D1470" s="68">
        <v>0</v>
      </c>
      <c r="E1470" s="68">
        <v>0</v>
      </c>
      <c r="F1470" s="68">
        <v>0</v>
      </c>
      <c r="G1470" s="68">
        <v>4640</v>
      </c>
      <c r="H1470" s="68">
        <v>4640</v>
      </c>
      <c r="I1470" s="68">
        <v>0</v>
      </c>
      <c r="J1470" s="68">
        <v>0</v>
      </c>
    </row>
    <row r="1471" spans="1:10" ht="14.25" customHeight="1">
      <c r="A1471" s="66" t="s">
        <v>3328</v>
      </c>
      <c r="B1471" s="66" t="s">
        <v>2678</v>
      </c>
      <c r="C1471" s="68">
        <v>0</v>
      </c>
      <c r="D1471" s="68">
        <v>0</v>
      </c>
      <c r="E1471" s="68">
        <v>2984.369999999999</v>
      </c>
      <c r="F1471" s="68">
        <v>2984.369999999999</v>
      </c>
      <c r="G1471" s="68">
        <v>29484.420000000006</v>
      </c>
      <c r="H1471" s="68">
        <v>29484.420000000006</v>
      </c>
      <c r="I1471" s="68">
        <v>0</v>
      </c>
      <c r="J1471" s="68">
        <v>0</v>
      </c>
    </row>
    <row r="1472" spans="1:10" ht="14.25" customHeight="1">
      <c r="A1472" s="66" t="s">
        <v>3329</v>
      </c>
      <c r="B1472" s="66" t="s">
        <v>2680</v>
      </c>
      <c r="C1472" s="68">
        <v>0</v>
      </c>
      <c r="D1472" s="68">
        <v>0</v>
      </c>
      <c r="E1472" s="68">
        <v>18.119999999999891</v>
      </c>
      <c r="F1472" s="68">
        <v>18.119999999999891</v>
      </c>
      <c r="G1472" s="68">
        <v>2672.9599999999996</v>
      </c>
      <c r="H1472" s="68">
        <v>2672.9599999999996</v>
      </c>
      <c r="I1472" s="68">
        <v>0</v>
      </c>
      <c r="J1472" s="68">
        <v>0</v>
      </c>
    </row>
    <row r="1473" spans="1:10" ht="14.25" customHeight="1">
      <c r="A1473" s="66" t="s">
        <v>3330</v>
      </c>
      <c r="B1473" s="66" t="s">
        <v>3241</v>
      </c>
      <c r="C1473" s="68">
        <v>0</v>
      </c>
      <c r="D1473" s="68">
        <v>0</v>
      </c>
      <c r="E1473" s="68">
        <v>0</v>
      </c>
      <c r="F1473" s="68">
        <v>0</v>
      </c>
      <c r="G1473" s="68">
        <v>1210</v>
      </c>
      <c r="H1473" s="68">
        <v>1210</v>
      </c>
      <c r="I1473" s="68">
        <v>0</v>
      </c>
      <c r="J1473" s="68">
        <v>0</v>
      </c>
    </row>
    <row r="1474" spans="1:10" ht="14.25" customHeight="1">
      <c r="A1474" s="66" t="s">
        <v>3331</v>
      </c>
      <c r="B1474" s="66" t="s">
        <v>2708</v>
      </c>
      <c r="C1474" s="68">
        <v>0</v>
      </c>
      <c r="D1474" s="68">
        <v>0</v>
      </c>
      <c r="E1474" s="68">
        <v>65</v>
      </c>
      <c r="F1474" s="68">
        <v>65</v>
      </c>
      <c r="G1474" s="68">
        <v>780</v>
      </c>
      <c r="H1474" s="68">
        <v>780</v>
      </c>
      <c r="I1474" s="68">
        <v>0</v>
      </c>
      <c r="J1474" s="68">
        <v>0</v>
      </c>
    </row>
    <row r="1475" spans="1:10" ht="14.25" customHeight="1">
      <c r="A1475" s="66" t="s">
        <v>3332</v>
      </c>
      <c r="B1475" s="66" t="s">
        <v>3244</v>
      </c>
      <c r="C1475" s="68">
        <v>0</v>
      </c>
      <c r="D1475" s="68">
        <v>0</v>
      </c>
      <c r="E1475" s="68">
        <v>975</v>
      </c>
      <c r="F1475" s="68">
        <v>975</v>
      </c>
      <c r="G1475" s="68">
        <v>28384.690000000002</v>
      </c>
      <c r="H1475" s="68">
        <v>28384.690000000002</v>
      </c>
      <c r="I1475" s="68">
        <v>0</v>
      </c>
      <c r="J1475" s="68">
        <v>0</v>
      </c>
    </row>
    <row r="1476" spans="1:10" ht="14.25" customHeight="1">
      <c r="A1476" s="66" t="s">
        <v>3333</v>
      </c>
      <c r="B1476" s="66" t="s">
        <v>3246</v>
      </c>
      <c r="C1476" s="68">
        <v>0</v>
      </c>
      <c r="D1476" s="68">
        <v>0</v>
      </c>
      <c r="E1476" s="68">
        <v>147</v>
      </c>
      <c r="F1476" s="68">
        <v>147</v>
      </c>
      <c r="G1476" s="68">
        <v>1764</v>
      </c>
      <c r="H1476" s="68">
        <v>1764</v>
      </c>
      <c r="I1476" s="68">
        <v>0</v>
      </c>
      <c r="J1476" s="68">
        <v>0</v>
      </c>
    </row>
    <row r="1477" spans="1:10" ht="14.25" customHeight="1">
      <c r="A1477" s="66" t="s">
        <v>3334</v>
      </c>
      <c r="B1477" s="66" t="s">
        <v>2798</v>
      </c>
      <c r="C1477" s="68">
        <v>0</v>
      </c>
      <c r="D1477" s="68">
        <v>0</v>
      </c>
      <c r="E1477" s="68">
        <v>388.11999999999989</v>
      </c>
      <c r="F1477" s="68">
        <v>388.11999999999989</v>
      </c>
      <c r="G1477" s="68">
        <v>4657</v>
      </c>
      <c r="H1477" s="68">
        <v>4657</v>
      </c>
      <c r="I1477" s="68">
        <v>0</v>
      </c>
      <c r="J1477" s="68">
        <v>0</v>
      </c>
    </row>
    <row r="1478" spans="1:10" ht="14.25" customHeight="1">
      <c r="A1478" s="66" t="s">
        <v>3335</v>
      </c>
      <c r="B1478" s="66" t="s">
        <v>2688</v>
      </c>
      <c r="C1478" s="68">
        <v>0</v>
      </c>
      <c r="D1478" s="68">
        <v>0</v>
      </c>
      <c r="E1478" s="68">
        <v>0</v>
      </c>
      <c r="F1478" s="68">
        <v>0</v>
      </c>
      <c r="G1478" s="68">
        <v>35</v>
      </c>
      <c r="H1478" s="68">
        <v>35</v>
      </c>
      <c r="I1478" s="68">
        <v>0</v>
      </c>
      <c r="J1478" s="68">
        <v>0</v>
      </c>
    </row>
    <row r="1479" spans="1:10" ht="14.25" customHeight="1">
      <c r="A1479" s="66" t="s">
        <v>3336</v>
      </c>
      <c r="B1479" s="66" t="s">
        <v>2724</v>
      </c>
      <c r="C1479" s="68">
        <v>0</v>
      </c>
      <c r="D1479" s="68">
        <v>0</v>
      </c>
      <c r="E1479" s="68">
        <v>240</v>
      </c>
      <c r="F1479" s="68">
        <v>240</v>
      </c>
      <c r="G1479" s="68">
        <v>3060</v>
      </c>
      <c r="H1479" s="68">
        <v>3060</v>
      </c>
      <c r="I1479" s="68">
        <v>0</v>
      </c>
      <c r="J1479" s="68">
        <v>0</v>
      </c>
    </row>
    <row r="1480" spans="1:10" ht="14.25" customHeight="1">
      <c r="A1480" s="66" t="s">
        <v>3337</v>
      </c>
      <c r="B1480" s="66" t="s">
        <v>3236</v>
      </c>
      <c r="C1480" s="68">
        <v>0</v>
      </c>
      <c r="D1480" s="68">
        <v>0</v>
      </c>
      <c r="E1480" s="68">
        <v>0</v>
      </c>
      <c r="F1480" s="68">
        <v>0</v>
      </c>
      <c r="G1480" s="68">
        <v>17835.379999999997</v>
      </c>
      <c r="H1480" s="68">
        <v>17835.379999999997</v>
      </c>
      <c r="I1480" s="68">
        <v>0</v>
      </c>
      <c r="J1480" s="68">
        <v>0</v>
      </c>
    </row>
    <row r="1481" spans="1:10" ht="14.25" customHeight="1">
      <c r="A1481" s="66" t="s">
        <v>3338</v>
      </c>
      <c r="B1481" s="66" t="s">
        <v>2678</v>
      </c>
      <c r="C1481" s="68">
        <v>0</v>
      </c>
      <c r="D1481" s="68">
        <v>0</v>
      </c>
      <c r="E1481" s="68">
        <v>1508.2800000000007</v>
      </c>
      <c r="F1481" s="68">
        <v>1508.2800000000007</v>
      </c>
      <c r="G1481" s="68">
        <v>14074.1</v>
      </c>
      <c r="H1481" s="68">
        <v>14074.1</v>
      </c>
      <c r="I1481" s="68">
        <v>0</v>
      </c>
      <c r="J1481" s="68">
        <v>0</v>
      </c>
    </row>
    <row r="1482" spans="1:10" ht="14.25" customHeight="1">
      <c r="A1482" s="66" t="s">
        <v>3339</v>
      </c>
      <c r="B1482" s="66" t="s">
        <v>2680</v>
      </c>
      <c r="C1482" s="68">
        <v>0</v>
      </c>
      <c r="D1482" s="68">
        <v>0</v>
      </c>
      <c r="E1482" s="68">
        <v>13</v>
      </c>
      <c r="F1482" s="68">
        <v>13</v>
      </c>
      <c r="G1482" s="68">
        <v>547.7600000000001</v>
      </c>
      <c r="H1482" s="68">
        <v>547.7600000000001</v>
      </c>
      <c r="I1482" s="68">
        <v>0</v>
      </c>
      <c r="J1482" s="68">
        <v>0</v>
      </c>
    </row>
    <row r="1483" spans="1:10" ht="14.25" customHeight="1">
      <c r="A1483" s="66" t="s">
        <v>3340</v>
      </c>
      <c r="B1483" s="66" t="s">
        <v>3241</v>
      </c>
      <c r="C1483" s="68">
        <v>0</v>
      </c>
      <c r="D1483" s="68">
        <v>0</v>
      </c>
      <c r="E1483" s="68">
        <v>0</v>
      </c>
      <c r="F1483" s="68">
        <v>0</v>
      </c>
      <c r="G1483" s="68">
        <v>180</v>
      </c>
      <c r="H1483" s="68">
        <v>180</v>
      </c>
      <c r="I1483" s="68">
        <v>0</v>
      </c>
      <c r="J1483" s="68">
        <v>0</v>
      </c>
    </row>
    <row r="1484" spans="1:10" ht="14.25" customHeight="1">
      <c r="A1484" s="66" t="s">
        <v>3341</v>
      </c>
      <c r="B1484" s="66" t="s">
        <v>2708</v>
      </c>
      <c r="C1484" s="68">
        <v>0</v>
      </c>
      <c r="D1484" s="68">
        <v>0</v>
      </c>
      <c r="E1484" s="68">
        <v>50</v>
      </c>
      <c r="F1484" s="68">
        <v>50</v>
      </c>
      <c r="G1484" s="68">
        <v>600</v>
      </c>
      <c r="H1484" s="68">
        <v>600</v>
      </c>
      <c r="I1484" s="68">
        <v>0</v>
      </c>
      <c r="J1484" s="68">
        <v>0</v>
      </c>
    </row>
    <row r="1485" spans="1:10" ht="14.25" customHeight="1">
      <c r="A1485" s="66" t="s">
        <v>3342</v>
      </c>
      <c r="B1485" s="66" t="s">
        <v>3244</v>
      </c>
      <c r="C1485" s="68">
        <v>0</v>
      </c>
      <c r="D1485" s="68">
        <v>0</v>
      </c>
      <c r="E1485" s="68">
        <v>100</v>
      </c>
      <c r="F1485" s="68">
        <v>100</v>
      </c>
      <c r="G1485" s="68">
        <v>30208.25</v>
      </c>
      <c r="H1485" s="68">
        <v>30208.25</v>
      </c>
      <c r="I1485" s="68">
        <v>0</v>
      </c>
      <c r="J1485" s="68">
        <v>0</v>
      </c>
    </row>
    <row r="1486" spans="1:10" ht="14.25" customHeight="1">
      <c r="A1486" s="66" t="s">
        <v>3343</v>
      </c>
      <c r="B1486" s="66" t="s">
        <v>3246</v>
      </c>
      <c r="C1486" s="68">
        <v>0</v>
      </c>
      <c r="D1486" s="68">
        <v>0</v>
      </c>
      <c r="E1486" s="68">
        <v>95</v>
      </c>
      <c r="F1486" s="68">
        <v>95</v>
      </c>
      <c r="G1486" s="68">
        <v>1140</v>
      </c>
      <c r="H1486" s="68">
        <v>1140</v>
      </c>
      <c r="I1486" s="68">
        <v>0</v>
      </c>
      <c r="J1486" s="68">
        <v>0</v>
      </c>
    </row>
    <row r="1487" spans="1:10" ht="14.25" customHeight="1">
      <c r="A1487" s="66" t="s">
        <v>3344</v>
      </c>
      <c r="B1487" s="66" t="s">
        <v>2798</v>
      </c>
      <c r="C1487" s="68">
        <v>0</v>
      </c>
      <c r="D1487" s="68">
        <v>0</v>
      </c>
      <c r="E1487" s="68">
        <v>316.82999999999993</v>
      </c>
      <c r="F1487" s="68">
        <v>316.82999999999993</v>
      </c>
      <c r="G1487" s="68">
        <v>4265.3399999999992</v>
      </c>
      <c r="H1487" s="68">
        <v>4265.3399999999992</v>
      </c>
      <c r="I1487" s="68">
        <v>0</v>
      </c>
      <c r="J1487" s="68">
        <v>0</v>
      </c>
    </row>
    <row r="1488" spans="1:10" ht="14.25" customHeight="1">
      <c r="A1488" s="66" t="s">
        <v>3345</v>
      </c>
      <c r="B1488" s="66" t="s">
        <v>2724</v>
      </c>
      <c r="C1488" s="68">
        <v>0</v>
      </c>
      <c r="D1488" s="68">
        <v>0</v>
      </c>
      <c r="E1488" s="68">
        <v>0</v>
      </c>
      <c r="F1488" s="68">
        <v>0</v>
      </c>
      <c r="G1488" s="68">
        <v>820</v>
      </c>
      <c r="H1488" s="68">
        <v>820</v>
      </c>
      <c r="I1488" s="68">
        <v>0</v>
      </c>
      <c r="J1488" s="68">
        <v>0</v>
      </c>
    </row>
    <row r="1489" spans="1:10" ht="14.25" customHeight="1">
      <c r="A1489" s="66" t="s">
        <v>3346</v>
      </c>
      <c r="B1489" s="66" t="s">
        <v>3236</v>
      </c>
      <c r="C1489" s="68">
        <v>0</v>
      </c>
      <c r="D1489" s="68">
        <v>0</v>
      </c>
      <c r="E1489" s="68">
        <v>176.30999999999949</v>
      </c>
      <c r="F1489" s="68">
        <v>176.30999999999949</v>
      </c>
      <c r="G1489" s="68">
        <v>13854.749999999998</v>
      </c>
      <c r="H1489" s="68">
        <v>13854.749999999998</v>
      </c>
      <c r="I1489" s="68">
        <v>0</v>
      </c>
      <c r="J1489" s="68">
        <v>0</v>
      </c>
    </row>
    <row r="1490" spans="1:10" ht="14.25" customHeight="1">
      <c r="A1490" s="66" t="s">
        <v>3347</v>
      </c>
      <c r="B1490" s="66" t="s">
        <v>2676</v>
      </c>
      <c r="C1490" s="68">
        <v>0</v>
      </c>
      <c r="D1490" s="68">
        <v>0</v>
      </c>
      <c r="E1490" s="68">
        <v>0</v>
      </c>
      <c r="F1490" s="68">
        <v>0</v>
      </c>
      <c r="G1490" s="68">
        <v>1780</v>
      </c>
      <c r="H1490" s="68">
        <v>1780</v>
      </c>
      <c r="I1490" s="68">
        <v>0</v>
      </c>
      <c r="J1490" s="68">
        <v>0</v>
      </c>
    </row>
    <row r="1491" spans="1:10" ht="14.25" customHeight="1">
      <c r="A1491" s="66" t="s">
        <v>3348</v>
      </c>
      <c r="B1491" s="66" t="s">
        <v>2678</v>
      </c>
      <c r="C1491" s="68">
        <v>0</v>
      </c>
      <c r="D1491" s="68">
        <v>0</v>
      </c>
      <c r="E1491" s="68">
        <v>1514.9400000000005</v>
      </c>
      <c r="F1491" s="68">
        <v>1514.9400000000005</v>
      </c>
      <c r="G1491" s="68">
        <v>11964.659999999998</v>
      </c>
      <c r="H1491" s="68">
        <v>11964.659999999998</v>
      </c>
      <c r="I1491" s="68">
        <v>0</v>
      </c>
      <c r="J1491" s="68">
        <v>0</v>
      </c>
    </row>
    <row r="1492" spans="1:10" ht="14.25" customHeight="1">
      <c r="A1492" s="66" t="s">
        <v>3349</v>
      </c>
      <c r="B1492" s="66" t="s">
        <v>2680</v>
      </c>
      <c r="C1492" s="68">
        <v>0</v>
      </c>
      <c r="D1492" s="68">
        <v>0</v>
      </c>
      <c r="E1492" s="68">
        <v>17.309999999999945</v>
      </c>
      <c r="F1492" s="68">
        <v>17.309999999999945</v>
      </c>
      <c r="G1492" s="68">
        <v>1576.1499999999996</v>
      </c>
      <c r="H1492" s="68">
        <v>1576.1499999999996</v>
      </c>
      <c r="I1492" s="68">
        <v>0</v>
      </c>
      <c r="J1492" s="68">
        <v>0</v>
      </c>
    </row>
    <row r="1493" spans="1:10" ht="14.25" customHeight="1">
      <c r="A1493" s="66" t="s">
        <v>3350</v>
      </c>
      <c r="B1493" s="66" t="s">
        <v>3241</v>
      </c>
      <c r="C1493" s="68">
        <v>0</v>
      </c>
      <c r="D1493" s="68">
        <v>0</v>
      </c>
      <c r="E1493" s="68">
        <v>0</v>
      </c>
      <c r="F1493" s="68">
        <v>0</v>
      </c>
      <c r="G1493" s="68">
        <v>660</v>
      </c>
      <c r="H1493" s="68">
        <v>660</v>
      </c>
      <c r="I1493" s="68">
        <v>0</v>
      </c>
      <c r="J1493" s="68">
        <v>0</v>
      </c>
    </row>
    <row r="1494" spans="1:10" ht="14.25" customHeight="1">
      <c r="A1494" s="66" t="s">
        <v>3351</v>
      </c>
      <c r="B1494" s="66" t="s">
        <v>2708</v>
      </c>
      <c r="C1494" s="68">
        <v>0</v>
      </c>
      <c r="D1494" s="68">
        <v>0</v>
      </c>
      <c r="E1494" s="68">
        <v>50</v>
      </c>
      <c r="F1494" s="68">
        <v>50</v>
      </c>
      <c r="G1494" s="68">
        <v>600</v>
      </c>
      <c r="H1494" s="68">
        <v>600</v>
      </c>
      <c r="I1494" s="68">
        <v>0</v>
      </c>
      <c r="J1494" s="68">
        <v>0</v>
      </c>
    </row>
    <row r="1495" spans="1:10" ht="14.25" customHeight="1">
      <c r="A1495" s="66" t="s">
        <v>3352</v>
      </c>
      <c r="B1495" s="66" t="s">
        <v>3244</v>
      </c>
      <c r="C1495" s="68">
        <v>0</v>
      </c>
      <c r="D1495" s="68">
        <v>0</v>
      </c>
      <c r="E1495" s="68">
        <v>1460</v>
      </c>
      <c r="F1495" s="68">
        <v>1460</v>
      </c>
      <c r="G1495" s="68">
        <v>30293.809999999998</v>
      </c>
      <c r="H1495" s="68">
        <v>30293.809999999998</v>
      </c>
      <c r="I1495" s="68">
        <v>0</v>
      </c>
      <c r="J1495" s="68">
        <v>0</v>
      </c>
    </row>
    <row r="1496" spans="1:10" ht="14.25" customHeight="1">
      <c r="A1496" s="66" t="s">
        <v>3353</v>
      </c>
      <c r="B1496" s="66" t="s">
        <v>3246</v>
      </c>
      <c r="C1496" s="68">
        <v>0</v>
      </c>
      <c r="D1496" s="68">
        <v>0</v>
      </c>
      <c r="E1496" s="68">
        <v>151</v>
      </c>
      <c r="F1496" s="68">
        <v>151</v>
      </c>
      <c r="G1496" s="68">
        <v>1812</v>
      </c>
      <c r="H1496" s="68">
        <v>1812</v>
      </c>
      <c r="I1496" s="68">
        <v>0</v>
      </c>
      <c r="J1496" s="68">
        <v>0</v>
      </c>
    </row>
    <row r="1497" spans="1:10" ht="14.25" customHeight="1">
      <c r="A1497" s="66" t="s">
        <v>3354</v>
      </c>
      <c r="B1497" s="66" t="s">
        <v>2798</v>
      </c>
      <c r="C1497" s="68">
        <v>0</v>
      </c>
      <c r="D1497" s="68">
        <v>0</v>
      </c>
      <c r="E1497" s="68">
        <v>311.41000000000031</v>
      </c>
      <c r="F1497" s="68">
        <v>311.41000000000031</v>
      </c>
      <c r="G1497" s="68">
        <v>4201.16</v>
      </c>
      <c r="H1497" s="68">
        <v>4201.16</v>
      </c>
      <c r="I1497" s="68">
        <v>0</v>
      </c>
      <c r="J1497" s="68">
        <v>0</v>
      </c>
    </row>
    <row r="1498" spans="1:10" ht="14.25" customHeight="1">
      <c r="A1498" s="66" t="s">
        <v>3355</v>
      </c>
      <c r="B1498" s="66" t="s">
        <v>2688</v>
      </c>
      <c r="C1498" s="68">
        <v>0</v>
      </c>
      <c r="D1498" s="68">
        <v>0</v>
      </c>
      <c r="E1498" s="68">
        <v>30</v>
      </c>
      <c r="F1498" s="68">
        <v>30</v>
      </c>
      <c r="G1498" s="68">
        <v>30</v>
      </c>
      <c r="H1498" s="68">
        <v>30</v>
      </c>
      <c r="I1498" s="68">
        <v>0</v>
      </c>
      <c r="J1498" s="68">
        <v>0</v>
      </c>
    </row>
    <row r="1499" spans="1:10" ht="14.25" customHeight="1">
      <c r="A1499" s="66" t="s">
        <v>3356</v>
      </c>
      <c r="B1499" s="66" t="s">
        <v>2724</v>
      </c>
      <c r="C1499" s="68">
        <v>0</v>
      </c>
      <c r="D1499" s="68">
        <v>0</v>
      </c>
      <c r="E1499" s="68">
        <v>180</v>
      </c>
      <c r="F1499" s="68">
        <v>180</v>
      </c>
      <c r="G1499" s="68">
        <v>1120</v>
      </c>
      <c r="H1499" s="68">
        <v>1120</v>
      </c>
      <c r="I1499" s="68">
        <v>0</v>
      </c>
      <c r="J1499" s="68">
        <v>0</v>
      </c>
    </row>
    <row r="1500" spans="1:10" ht="14.25" customHeight="1">
      <c r="A1500" s="66" t="s">
        <v>3357</v>
      </c>
      <c r="B1500" s="66" t="s">
        <v>3236</v>
      </c>
      <c r="C1500" s="68">
        <v>0</v>
      </c>
      <c r="D1500" s="68">
        <v>0</v>
      </c>
      <c r="E1500" s="68">
        <v>2023.4699999999993</v>
      </c>
      <c r="F1500" s="68">
        <v>2023.4699999999993</v>
      </c>
      <c r="G1500" s="68">
        <v>14493.76</v>
      </c>
      <c r="H1500" s="68">
        <v>14493.76</v>
      </c>
      <c r="I1500" s="68">
        <v>0</v>
      </c>
      <c r="J1500" s="68">
        <v>0</v>
      </c>
    </row>
    <row r="1501" spans="1:10" ht="14.25" customHeight="1">
      <c r="A1501" s="66" t="s">
        <v>3358</v>
      </c>
      <c r="B1501" s="66" t="s">
        <v>2678</v>
      </c>
      <c r="C1501" s="68">
        <v>0</v>
      </c>
      <c r="D1501" s="68">
        <v>0</v>
      </c>
      <c r="E1501" s="68">
        <v>1823.83</v>
      </c>
      <c r="F1501" s="68">
        <v>1823.83</v>
      </c>
      <c r="G1501" s="68">
        <v>12160.869999999999</v>
      </c>
      <c r="H1501" s="68">
        <v>12160.869999999999</v>
      </c>
      <c r="I1501" s="68">
        <v>0</v>
      </c>
      <c r="J1501" s="68">
        <v>0</v>
      </c>
    </row>
    <row r="1502" spans="1:10" ht="14.25" customHeight="1">
      <c r="A1502" s="66" t="s">
        <v>3359</v>
      </c>
      <c r="B1502" s="66" t="s">
        <v>2680</v>
      </c>
      <c r="C1502" s="68">
        <v>0</v>
      </c>
      <c r="D1502" s="68">
        <v>0</v>
      </c>
      <c r="E1502" s="68">
        <v>121.24000000000001</v>
      </c>
      <c r="F1502" s="68">
        <v>121.24000000000001</v>
      </c>
      <c r="G1502" s="68">
        <v>609.47</v>
      </c>
      <c r="H1502" s="68">
        <v>609.47</v>
      </c>
      <c r="I1502" s="68">
        <v>0</v>
      </c>
      <c r="J1502" s="68">
        <v>0</v>
      </c>
    </row>
    <row r="1503" spans="1:10" ht="14.25" customHeight="1">
      <c r="A1503" s="66" t="s">
        <v>3360</v>
      </c>
      <c r="B1503" s="66" t="s">
        <v>3241</v>
      </c>
      <c r="C1503" s="68">
        <v>0</v>
      </c>
      <c r="D1503" s="68">
        <v>0</v>
      </c>
      <c r="E1503" s="68">
        <v>0</v>
      </c>
      <c r="F1503" s="68">
        <v>0</v>
      </c>
      <c r="G1503" s="68">
        <v>270</v>
      </c>
      <c r="H1503" s="68">
        <v>270</v>
      </c>
      <c r="I1503" s="68">
        <v>0</v>
      </c>
      <c r="J1503" s="68">
        <v>0</v>
      </c>
    </row>
    <row r="1504" spans="1:10" ht="14.25" customHeight="1">
      <c r="A1504" s="66" t="s">
        <v>3361</v>
      </c>
      <c r="B1504" s="66" t="s">
        <v>2708</v>
      </c>
      <c r="C1504" s="68">
        <v>0</v>
      </c>
      <c r="D1504" s="68">
        <v>0</v>
      </c>
      <c r="E1504" s="68">
        <v>50</v>
      </c>
      <c r="F1504" s="68">
        <v>50</v>
      </c>
      <c r="G1504" s="68">
        <v>600</v>
      </c>
      <c r="H1504" s="68">
        <v>600</v>
      </c>
      <c r="I1504" s="68">
        <v>0</v>
      </c>
      <c r="J1504" s="68">
        <v>0</v>
      </c>
    </row>
    <row r="1505" spans="1:10" ht="14.25" customHeight="1">
      <c r="A1505" s="66" t="s">
        <v>3362</v>
      </c>
      <c r="B1505" s="66" t="s">
        <v>3244</v>
      </c>
      <c r="C1505" s="68">
        <v>0</v>
      </c>
      <c r="D1505" s="68">
        <v>0</v>
      </c>
      <c r="E1505" s="68">
        <v>1495</v>
      </c>
      <c r="F1505" s="68">
        <v>1495</v>
      </c>
      <c r="G1505" s="68">
        <v>31939.09</v>
      </c>
      <c r="H1505" s="68">
        <v>31939.09</v>
      </c>
      <c r="I1505" s="68">
        <v>0</v>
      </c>
      <c r="J1505" s="68">
        <v>0</v>
      </c>
    </row>
    <row r="1506" spans="1:10" ht="14.25" customHeight="1">
      <c r="A1506" s="66" t="s">
        <v>3363</v>
      </c>
      <c r="B1506" s="66" t="s">
        <v>3246</v>
      </c>
      <c r="C1506" s="68">
        <v>0</v>
      </c>
      <c r="D1506" s="68">
        <v>0</v>
      </c>
      <c r="E1506" s="68">
        <v>95</v>
      </c>
      <c r="F1506" s="68">
        <v>95</v>
      </c>
      <c r="G1506" s="68">
        <v>1140</v>
      </c>
      <c r="H1506" s="68">
        <v>1140</v>
      </c>
      <c r="I1506" s="68">
        <v>0</v>
      </c>
      <c r="J1506" s="68">
        <v>0</v>
      </c>
    </row>
    <row r="1507" spans="1:10" ht="14.25" customHeight="1">
      <c r="A1507" s="66" t="s">
        <v>3364</v>
      </c>
      <c r="B1507" s="66" t="s">
        <v>2798</v>
      </c>
      <c r="C1507" s="68">
        <v>0</v>
      </c>
      <c r="D1507" s="68">
        <v>0</v>
      </c>
      <c r="E1507" s="68">
        <v>315.82999999999993</v>
      </c>
      <c r="F1507" s="68">
        <v>315.82999999999993</v>
      </c>
      <c r="G1507" s="68">
        <v>4253.3399999999992</v>
      </c>
      <c r="H1507" s="68">
        <v>4253.3399999999992</v>
      </c>
      <c r="I1507" s="68">
        <v>0</v>
      </c>
      <c r="J1507" s="68">
        <v>0</v>
      </c>
    </row>
    <row r="1508" spans="1:10" ht="14.25" customHeight="1">
      <c r="A1508" s="66" t="s">
        <v>3365</v>
      </c>
      <c r="B1508" s="66" t="s">
        <v>2688</v>
      </c>
      <c r="C1508" s="68">
        <v>0</v>
      </c>
      <c r="D1508" s="68">
        <v>0</v>
      </c>
      <c r="E1508" s="68">
        <v>0</v>
      </c>
      <c r="F1508" s="68">
        <v>0</v>
      </c>
      <c r="G1508" s="68">
        <v>30</v>
      </c>
      <c r="H1508" s="68">
        <v>30</v>
      </c>
      <c r="I1508" s="68">
        <v>0</v>
      </c>
      <c r="J1508" s="68">
        <v>0</v>
      </c>
    </row>
    <row r="1509" spans="1:10" ht="14.25" customHeight="1">
      <c r="A1509" s="66" t="s">
        <v>3366</v>
      </c>
      <c r="B1509" s="66" t="s">
        <v>2724</v>
      </c>
      <c r="C1509" s="68">
        <v>0</v>
      </c>
      <c r="D1509" s="68">
        <v>0</v>
      </c>
      <c r="E1509" s="68">
        <v>0</v>
      </c>
      <c r="F1509" s="68">
        <v>0</v>
      </c>
      <c r="G1509" s="68">
        <v>1140</v>
      </c>
      <c r="H1509" s="68">
        <v>1140</v>
      </c>
      <c r="I1509" s="68">
        <v>0</v>
      </c>
      <c r="J1509" s="68">
        <v>0</v>
      </c>
    </row>
    <row r="1510" spans="1:10" ht="14.25" customHeight="1">
      <c r="A1510" s="66" t="s">
        <v>3367</v>
      </c>
      <c r="B1510" s="66" t="s">
        <v>3236</v>
      </c>
      <c r="C1510" s="68">
        <v>0</v>
      </c>
      <c r="D1510" s="68">
        <v>0</v>
      </c>
      <c r="E1510" s="68">
        <v>1710</v>
      </c>
      <c r="F1510" s="68">
        <v>1710</v>
      </c>
      <c r="G1510" s="68">
        <v>28549.910000000003</v>
      </c>
      <c r="H1510" s="68">
        <v>28549.910000000003</v>
      </c>
      <c r="I1510" s="68">
        <v>0</v>
      </c>
      <c r="J1510" s="68">
        <v>0</v>
      </c>
    </row>
    <row r="1511" spans="1:10" ht="14.25" customHeight="1">
      <c r="A1511" s="66" t="s">
        <v>3368</v>
      </c>
      <c r="B1511" s="66" t="s">
        <v>2676</v>
      </c>
      <c r="C1511" s="68">
        <v>0</v>
      </c>
      <c r="D1511" s="68">
        <v>0</v>
      </c>
      <c r="E1511" s="68">
        <v>0</v>
      </c>
      <c r="F1511" s="68">
        <v>0</v>
      </c>
      <c r="G1511" s="68">
        <v>2760</v>
      </c>
      <c r="H1511" s="68">
        <v>2760</v>
      </c>
      <c r="I1511" s="68">
        <v>0</v>
      </c>
      <c r="J1511" s="68">
        <v>0</v>
      </c>
    </row>
    <row r="1512" spans="1:10" ht="14.25" customHeight="1">
      <c r="A1512" s="66" t="s">
        <v>3369</v>
      </c>
      <c r="B1512" s="66" t="s">
        <v>2678</v>
      </c>
      <c r="C1512" s="68">
        <v>0</v>
      </c>
      <c r="D1512" s="68">
        <v>0</v>
      </c>
      <c r="E1512" s="68">
        <v>0</v>
      </c>
      <c r="F1512" s="68">
        <v>0</v>
      </c>
      <c r="G1512" s="68">
        <v>24756.149999999998</v>
      </c>
      <c r="H1512" s="68">
        <v>24756.149999999998</v>
      </c>
      <c r="I1512" s="68">
        <v>0</v>
      </c>
      <c r="J1512" s="68">
        <v>0</v>
      </c>
    </row>
    <row r="1513" spans="1:10" ht="14.25" customHeight="1">
      <c r="A1513" s="66" t="s">
        <v>3370</v>
      </c>
      <c r="B1513" s="66" t="s">
        <v>2680</v>
      </c>
      <c r="C1513" s="68">
        <v>0</v>
      </c>
      <c r="D1513" s="68">
        <v>0</v>
      </c>
      <c r="E1513" s="68">
        <v>0</v>
      </c>
      <c r="F1513" s="68">
        <v>0</v>
      </c>
      <c r="G1513" s="68">
        <v>960.72</v>
      </c>
      <c r="H1513" s="68">
        <v>960.72</v>
      </c>
      <c r="I1513" s="68">
        <v>0</v>
      </c>
      <c r="J1513" s="68">
        <v>0</v>
      </c>
    </row>
    <row r="1514" spans="1:10" ht="14.25" customHeight="1">
      <c r="A1514" s="66" t="s">
        <v>3371</v>
      </c>
      <c r="B1514" s="66" t="s">
        <v>3241</v>
      </c>
      <c r="C1514" s="68">
        <v>0</v>
      </c>
      <c r="D1514" s="68">
        <v>0</v>
      </c>
      <c r="E1514" s="68">
        <v>0</v>
      </c>
      <c r="F1514" s="68">
        <v>0</v>
      </c>
      <c r="G1514" s="68">
        <v>360</v>
      </c>
      <c r="H1514" s="68">
        <v>360</v>
      </c>
      <c r="I1514" s="68">
        <v>0</v>
      </c>
      <c r="J1514" s="68">
        <v>0</v>
      </c>
    </row>
    <row r="1515" spans="1:10" ht="14.25" customHeight="1">
      <c r="A1515" s="66" t="s">
        <v>3372</v>
      </c>
      <c r="B1515" s="66" t="s">
        <v>2708</v>
      </c>
      <c r="C1515" s="68">
        <v>0</v>
      </c>
      <c r="D1515" s="68">
        <v>0</v>
      </c>
      <c r="E1515" s="68">
        <v>50</v>
      </c>
      <c r="F1515" s="68">
        <v>50</v>
      </c>
      <c r="G1515" s="68">
        <v>600</v>
      </c>
      <c r="H1515" s="68">
        <v>600</v>
      </c>
      <c r="I1515" s="68">
        <v>0</v>
      </c>
      <c r="J1515" s="68">
        <v>0</v>
      </c>
    </row>
    <row r="1516" spans="1:10" ht="14.25" customHeight="1">
      <c r="A1516" s="66" t="s">
        <v>3373</v>
      </c>
      <c r="B1516" s="66" t="s">
        <v>3244</v>
      </c>
      <c r="C1516" s="68">
        <v>0</v>
      </c>
      <c r="D1516" s="68">
        <v>0</v>
      </c>
      <c r="E1516" s="68">
        <v>5200</v>
      </c>
      <c r="F1516" s="68">
        <v>5200</v>
      </c>
      <c r="G1516" s="68">
        <v>19215.79</v>
      </c>
      <c r="H1516" s="68">
        <v>19215.79</v>
      </c>
      <c r="I1516" s="68">
        <v>0</v>
      </c>
      <c r="J1516" s="68">
        <v>0</v>
      </c>
    </row>
    <row r="1517" spans="1:10" ht="14.25" customHeight="1">
      <c r="A1517" s="66" t="s">
        <v>3374</v>
      </c>
      <c r="B1517" s="66" t="s">
        <v>3246</v>
      </c>
      <c r="C1517" s="68">
        <v>0</v>
      </c>
      <c r="D1517" s="68">
        <v>0</v>
      </c>
      <c r="E1517" s="68">
        <v>187</v>
      </c>
      <c r="F1517" s="68">
        <v>187</v>
      </c>
      <c r="G1517" s="68">
        <v>2244</v>
      </c>
      <c r="H1517" s="68">
        <v>2244</v>
      </c>
      <c r="I1517" s="68">
        <v>0</v>
      </c>
      <c r="J1517" s="68">
        <v>0</v>
      </c>
    </row>
    <row r="1518" spans="1:10" ht="14.25" customHeight="1">
      <c r="A1518" s="66" t="s">
        <v>3375</v>
      </c>
      <c r="B1518" s="66" t="s">
        <v>2798</v>
      </c>
      <c r="C1518" s="68">
        <v>0</v>
      </c>
      <c r="D1518" s="68">
        <v>0</v>
      </c>
      <c r="E1518" s="68">
        <v>200.25</v>
      </c>
      <c r="F1518" s="68">
        <v>200.25</v>
      </c>
      <c r="G1518" s="68">
        <v>2744.25</v>
      </c>
      <c r="H1518" s="68">
        <v>2744.25</v>
      </c>
      <c r="I1518" s="68">
        <v>0</v>
      </c>
      <c r="J1518" s="68">
        <v>0</v>
      </c>
    </row>
    <row r="1519" spans="1:10" ht="14.25" customHeight="1">
      <c r="A1519" s="66" t="s">
        <v>3376</v>
      </c>
      <c r="B1519" s="66" t="s">
        <v>2724</v>
      </c>
      <c r="C1519" s="68">
        <v>0</v>
      </c>
      <c r="D1519" s="68">
        <v>0</v>
      </c>
      <c r="E1519" s="68">
        <v>40</v>
      </c>
      <c r="F1519" s="68">
        <v>40</v>
      </c>
      <c r="G1519" s="68">
        <v>900</v>
      </c>
      <c r="H1519" s="68">
        <v>900</v>
      </c>
      <c r="I1519" s="68">
        <v>0</v>
      </c>
      <c r="J1519" s="68">
        <v>0</v>
      </c>
    </row>
    <row r="1520" spans="1:10" ht="14.25" customHeight="1">
      <c r="A1520" s="66" t="s">
        <v>3377</v>
      </c>
      <c r="B1520" s="66" t="s">
        <v>3236</v>
      </c>
      <c r="C1520" s="68">
        <v>0</v>
      </c>
      <c r="D1520" s="68">
        <v>0</v>
      </c>
      <c r="E1520" s="68">
        <v>1681.0900000000001</v>
      </c>
      <c r="F1520" s="68">
        <v>1681.0900000000001</v>
      </c>
      <c r="G1520" s="68">
        <v>19082.639999999996</v>
      </c>
      <c r="H1520" s="68">
        <v>19082.639999999996</v>
      </c>
      <c r="I1520" s="68">
        <v>0</v>
      </c>
      <c r="J1520" s="68">
        <v>0</v>
      </c>
    </row>
    <row r="1521" spans="1:10" ht="14.25" customHeight="1">
      <c r="A1521" s="66" t="s">
        <v>3378</v>
      </c>
      <c r="B1521" s="66" t="s">
        <v>2676</v>
      </c>
      <c r="C1521" s="68">
        <v>0</v>
      </c>
      <c r="D1521" s="68">
        <v>0</v>
      </c>
      <c r="E1521" s="68">
        <v>1121.9499999999998</v>
      </c>
      <c r="F1521" s="68">
        <v>1121.9499999999998</v>
      </c>
      <c r="G1521" s="68">
        <v>6601.95</v>
      </c>
      <c r="H1521" s="68">
        <v>6601.95</v>
      </c>
      <c r="I1521" s="68">
        <v>0</v>
      </c>
      <c r="J1521" s="68">
        <v>0</v>
      </c>
    </row>
    <row r="1522" spans="1:10" ht="14.25" customHeight="1">
      <c r="A1522" s="66" t="s">
        <v>3379</v>
      </c>
      <c r="B1522" s="66" t="s">
        <v>2678</v>
      </c>
      <c r="C1522" s="68">
        <v>0</v>
      </c>
      <c r="D1522" s="68">
        <v>0</v>
      </c>
      <c r="E1522" s="68">
        <v>4054.1500000000015</v>
      </c>
      <c r="F1522" s="68">
        <v>4054.1500000000015</v>
      </c>
      <c r="G1522" s="68">
        <v>40492.9</v>
      </c>
      <c r="H1522" s="68">
        <v>40492.9</v>
      </c>
      <c r="I1522" s="68">
        <v>0</v>
      </c>
      <c r="J1522" s="68">
        <v>0</v>
      </c>
    </row>
    <row r="1523" spans="1:10" ht="14.25" customHeight="1">
      <c r="A1523" s="66" t="s">
        <v>3380</v>
      </c>
      <c r="B1523" s="66" t="s">
        <v>2680</v>
      </c>
      <c r="C1523" s="68">
        <v>0</v>
      </c>
      <c r="D1523" s="68">
        <v>0</v>
      </c>
      <c r="E1523" s="68">
        <v>844.07999999999993</v>
      </c>
      <c r="F1523" s="68">
        <v>844.07999999999993</v>
      </c>
      <c r="G1523" s="68">
        <v>3571.35</v>
      </c>
      <c r="H1523" s="68">
        <v>3571.35</v>
      </c>
      <c r="I1523" s="68">
        <v>0</v>
      </c>
      <c r="J1523" s="68">
        <v>0</v>
      </c>
    </row>
    <row r="1524" spans="1:10" ht="14.25" customHeight="1">
      <c r="A1524" s="66" t="s">
        <v>3381</v>
      </c>
      <c r="B1524" s="66" t="s">
        <v>3241</v>
      </c>
      <c r="C1524" s="68">
        <v>0</v>
      </c>
      <c r="D1524" s="68">
        <v>0</v>
      </c>
      <c r="E1524" s="68">
        <v>0</v>
      </c>
      <c r="F1524" s="68">
        <v>0</v>
      </c>
      <c r="G1524" s="68">
        <v>650</v>
      </c>
      <c r="H1524" s="68">
        <v>650</v>
      </c>
      <c r="I1524" s="68">
        <v>0</v>
      </c>
      <c r="J1524" s="68">
        <v>0</v>
      </c>
    </row>
    <row r="1525" spans="1:10" ht="14.25" customHeight="1">
      <c r="A1525" s="66" t="s">
        <v>3382</v>
      </c>
      <c r="B1525" s="66" t="s">
        <v>2708</v>
      </c>
      <c r="C1525" s="68">
        <v>0</v>
      </c>
      <c r="D1525" s="68">
        <v>0</v>
      </c>
      <c r="E1525" s="68">
        <v>50</v>
      </c>
      <c r="F1525" s="68">
        <v>50</v>
      </c>
      <c r="G1525" s="68">
        <v>600</v>
      </c>
      <c r="H1525" s="68">
        <v>600</v>
      </c>
      <c r="I1525" s="68">
        <v>0</v>
      </c>
      <c r="J1525" s="68">
        <v>0</v>
      </c>
    </row>
    <row r="1526" spans="1:10" ht="14.25" customHeight="1">
      <c r="A1526" s="66" t="s">
        <v>3383</v>
      </c>
      <c r="B1526" s="66" t="s">
        <v>3244</v>
      </c>
      <c r="C1526" s="68">
        <v>0</v>
      </c>
      <c r="D1526" s="68">
        <v>0</v>
      </c>
      <c r="E1526" s="68">
        <v>1283.7800000000007</v>
      </c>
      <c r="F1526" s="68">
        <v>1283.7800000000007</v>
      </c>
      <c r="G1526" s="68">
        <v>15405.310000000001</v>
      </c>
      <c r="H1526" s="68">
        <v>15405.310000000001</v>
      </c>
      <c r="I1526" s="68">
        <v>0</v>
      </c>
      <c r="J1526" s="68">
        <v>0</v>
      </c>
    </row>
    <row r="1527" spans="1:10" ht="14.25" customHeight="1">
      <c r="A1527" s="66" t="s">
        <v>3384</v>
      </c>
      <c r="B1527" s="66" t="s">
        <v>3246</v>
      </c>
      <c r="C1527" s="68">
        <v>0</v>
      </c>
      <c r="D1527" s="68">
        <v>0</v>
      </c>
      <c r="E1527" s="68">
        <v>108</v>
      </c>
      <c r="F1527" s="68">
        <v>108</v>
      </c>
      <c r="G1527" s="68">
        <v>1296</v>
      </c>
      <c r="H1527" s="68">
        <v>1296</v>
      </c>
      <c r="I1527" s="68">
        <v>0</v>
      </c>
      <c r="J1527" s="68">
        <v>0</v>
      </c>
    </row>
    <row r="1528" spans="1:10" ht="14.25" customHeight="1">
      <c r="A1528" s="66" t="s">
        <v>3385</v>
      </c>
      <c r="B1528" s="66" t="s">
        <v>2798</v>
      </c>
      <c r="C1528" s="68">
        <v>0</v>
      </c>
      <c r="D1528" s="68">
        <v>0</v>
      </c>
      <c r="E1528" s="68">
        <v>204.5</v>
      </c>
      <c r="F1528" s="68">
        <v>204.5</v>
      </c>
      <c r="G1528" s="68">
        <v>2940.6800000000003</v>
      </c>
      <c r="H1528" s="68">
        <v>2940.6800000000003</v>
      </c>
      <c r="I1528" s="68">
        <v>0</v>
      </c>
      <c r="J1528" s="68">
        <v>0</v>
      </c>
    </row>
    <row r="1529" spans="1:10" ht="14.25" customHeight="1">
      <c r="A1529" s="66" t="s">
        <v>3386</v>
      </c>
      <c r="B1529" s="66" t="s">
        <v>2688</v>
      </c>
      <c r="C1529" s="68">
        <v>0</v>
      </c>
      <c r="D1529" s="68">
        <v>0</v>
      </c>
      <c r="E1529" s="68">
        <v>30</v>
      </c>
      <c r="F1529" s="68">
        <v>30</v>
      </c>
      <c r="G1529" s="68">
        <v>60</v>
      </c>
      <c r="H1529" s="68">
        <v>60</v>
      </c>
      <c r="I1529" s="68">
        <v>0</v>
      </c>
      <c r="J1529" s="68">
        <v>0</v>
      </c>
    </row>
    <row r="1530" spans="1:10" ht="14.25" customHeight="1">
      <c r="A1530" s="66" t="s">
        <v>3387</v>
      </c>
      <c r="B1530" s="66" t="s">
        <v>2724</v>
      </c>
      <c r="C1530" s="68">
        <v>0</v>
      </c>
      <c r="D1530" s="68">
        <v>0</v>
      </c>
      <c r="E1530" s="68">
        <v>420</v>
      </c>
      <c r="F1530" s="68">
        <v>420</v>
      </c>
      <c r="G1530" s="68">
        <v>4090</v>
      </c>
      <c r="H1530" s="68">
        <v>4090</v>
      </c>
      <c r="I1530" s="68">
        <v>0</v>
      </c>
      <c r="J1530" s="68">
        <v>0</v>
      </c>
    </row>
    <row r="1531" spans="1:10" ht="14.25" customHeight="1">
      <c r="A1531" s="66" t="s">
        <v>3388</v>
      </c>
      <c r="B1531" s="66" t="s">
        <v>3236</v>
      </c>
      <c r="C1531" s="68">
        <v>0</v>
      </c>
      <c r="D1531" s="68">
        <v>0</v>
      </c>
      <c r="E1531" s="68">
        <v>94.659999999999854</v>
      </c>
      <c r="F1531" s="68">
        <v>94.659999999999854</v>
      </c>
      <c r="G1531" s="68">
        <v>5299.09</v>
      </c>
      <c r="H1531" s="68">
        <v>5299.09</v>
      </c>
      <c r="I1531" s="68">
        <v>0</v>
      </c>
      <c r="J1531" s="68">
        <v>0</v>
      </c>
    </row>
    <row r="1532" spans="1:10" ht="14.25" customHeight="1">
      <c r="A1532" s="66" t="s">
        <v>3389</v>
      </c>
      <c r="B1532" s="66" t="s">
        <v>2676</v>
      </c>
      <c r="C1532" s="68">
        <v>0</v>
      </c>
      <c r="D1532" s="68">
        <v>0</v>
      </c>
      <c r="E1532" s="68">
        <v>0</v>
      </c>
      <c r="F1532" s="68">
        <v>0</v>
      </c>
      <c r="G1532" s="68">
        <v>1620</v>
      </c>
      <c r="H1532" s="68">
        <v>1620</v>
      </c>
      <c r="I1532" s="68">
        <v>0</v>
      </c>
      <c r="J1532" s="68">
        <v>0</v>
      </c>
    </row>
    <row r="1533" spans="1:10" ht="14.25" customHeight="1">
      <c r="A1533" s="66" t="s">
        <v>3390</v>
      </c>
      <c r="B1533" s="66" t="s">
        <v>2678</v>
      </c>
      <c r="C1533" s="68">
        <v>0</v>
      </c>
      <c r="D1533" s="68">
        <v>0</v>
      </c>
      <c r="E1533" s="68">
        <v>4561.3899999999994</v>
      </c>
      <c r="F1533" s="68">
        <v>4561.3899999999994</v>
      </c>
      <c r="G1533" s="68">
        <v>20951.359999999997</v>
      </c>
      <c r="H1533" s="68">
        <v>20951.359999999997</v>
      </c>
      <c r="I1533" s="68">
        <v>0</v>
      </c>
      <c r="J1533" s="68">
        <v>0</v>
      </c>
    </row>
    <row r="1534" spans="1:10" ht="14.25" customHeight="1">
      <c r="A1534" s="66" t="s">
        <v>3391</v>
      </c>
      <c r="B1534" s="66" t="s">
        <v>2680</v>
      </c>
      <c r="C1534" s="68">
        <v>0</v>
      </c>
      <c r="D1534" s="68">
        <v>0</v>
      </c>
      <c r="E1534" s="68">
        <v>30</v>
      </c>
      <c r="F1534" s="68">
        <v>30</v>
      </c>
      <c r="G1534" s="68">
        <v>535.5</v>
      </c>
      <c r="H1534" s="68">
        <v>535.5</v>
      </c>
      <c r="I1534" s="68">
        <v>0</v>
      </c>
      <c r="J1534" s="68">
        <v>0</v>
      </c>
    </row>
    <row r="1535" spans="1:10" ht="14.25" customHeight="1">
      <c r="A1535" s="66" t="s">
        <v>3392</v>
      </c>
      <c r="B1535" s="66" t="s">
        <v>2708</v>
      </c>
      <c r="C1535" s="68">
        <v>0</v>
      </c>
      <c r="D1535" s="68">
        <v>0</v>
      </c>
      <c r="E1535" s="68">
        <v>50</v>
      </c>
      <c r="F1535" s="68">
        <v>50</v>
      </c>
      <c r="G1535" s="68">
        <v>600</v>
      </c>
      <c r="H1535" s="68">
        <v>600</v>
      </c>
      <c r="I1535" s="68">
        <v>0</v>
      </c>
      <c r="J1535" s="68">
        <v>0</v>
      </c>
    </row>
    <row r="1536" spans="1:10" ht="14.25" customHeight="1">
      <c r="A1536" s="66" t="s">
        <v>3393</v>
      </c>
      <c r="B1536" s="66" t="s">
        <v>3244</v>
      </c>
      <c r="C1536" s="68">
        <v>0</v>
      </c>
      <c r="D1536" s="68">
        <v>0</v>
      </c>
      <c r="E1536" s="68">
        <v>100</v>
      </c>
      <c r="F1536" s="68">
        <v>100</v>
      </c>
      <c r="G1536" s="68">
        <v>4866.7299999999996</v>
      </c>
      <c r="H1536" s="68">
        <v>4866.7299999999996</v>
      </c>
      <c r="I1536" s="68">
        <v>0</v>
      </c>
      <c r="J1536" s="68">
        <v>0</v>
      </c>
    </row>
    <row r="1537" spans="1:10" ht="14.25" customHeight="1">
      <c r="A1537" s="66" t="s">
        <v>3394</v>
      </c>
      <c r="B1537" s="66" t="s">
        <v>3246</v>
      </c>
      <c r="C1537" s="68">
        <v>0</v>
      </c>
      <c r="D1537" s="68">
        <v>0</v>
      </c>
      <c r="E1537" s="68">
        <v>95</v>
      </c>
      <c r="F1537" s="68">
        <v>95</v>
      </c>
      <c r="G1537" s="68">
        <v>1140</v>
      </c>
      <c r="H1537" s="68">
        <v>1140</v>
      </c>
      <c r="I1537" s="68">
        <v>0</v>
      </c>
      <c r="J1537" s="68">
        <v>0</v>
      </c>
    </row>
    <row r="1538" spans="1:10" ht="14.25" customHeight="1">
      <c r="A1538" s="66" t="s">
        <v>3395</v>
      </c>
      <c r="B1538" s="66" t="s">
        <v>2798</v>
      </c>
      <c r="C1538" s="68">
        <v>0</v>
      </c>
      <c r="D1538" s="68">
        <v>0</v>
      </c>
      <c r="E1538" s="68">
        <v>311.75000000000045</v>
      </c>
      <c r="F1538" s="68">
        <v>311.75000000000045</v>
      </c>
      <c r="G1538" s="68">
        <v>4250.67</v>
      </c>
      <c r="H1538" s="68">
        <v>4250.67</v>
      </c>
      <c r="I1538" s="68">
        <v>0</v>
      </c>
      <c r="J1538" s="68">
        <v>0</v>
      </c>
    </row>
    <row r="1539" spans="1:10" ht="14.25" customHeight="1">
      <c r="A1539" s="66" t="s">
        <v>3396</v>
      </c>
      <c r="B1539" s="66" t="s">
        <v>2724</v>
      </c>
      <c r="C1539" s="68">
        <v>0</v>
      </c>
      <c r="D1539" s="68">
        <v>0</v>
      </c>
      <c r="E1539" s="68">
        <v>40</v>
      </c>
      <c r="F1539" s="68">
        <v>40</v>
      </c>
      <c r="G1539" s="68">
        <v>560</v>
      </c>
      <c r="H1539" s="68">
        <v>560</v>
      </c>
      <c r="I1539" s="68">
        <v>0</v>
      </c>
      <c r="J1539" s="68">
        <v>0</v>
      </c>
    </row>
    <row r="1540" spans="1:10" ht="14.25" customHeight="1">
      <c r="A1540" s="66" t="s">
        <v>3397</v>
      </c>
      <c r="B1540" s="66" t="s">
        <v>3236</v>
      </c>
      <c r="C1540" s="68">
        <v>0</v>
      </c>
      <c r="D1540" s="68">
        <v>0</v>
      </c>
      <c r="E1540" s="68">
        <v>800.45000000000073</v>
      </c>
      <c r="F1540" s="68">
        <v>800.45000000000073</v>
      </c>
      <c r="G1540" s="68">
        <v>17354.34</v>
      </c>
      <c r="H1540" s="68">
        <v>17354.34</v>
      </c>
      <c r="I1540" s="68">
        <v>0</v>
      </c>
      <c r="J1540" s="68">
        <v>0</v>
      </c>
    </row>
    <row r="1541" spans="1:10" ht="14.25" customHeight="1">
      <c r="A1541" s="66" t="s">
        <v>3398</v>
      </c>
      <c r="B1541" s="66" t="s">
        <v>2676</v>
      </c>
      <c r="C1541" s="68">
        <v>0</v>
      </c>
      <c r="D1541" s="68">
        <v>0</v>
      </c>
      <c r="E1541" s="68">
        <v>1414.630000000001</v>
      </c>
      <c r="F1541" s="68">
        <v>1414.630000000001</v>
      </c>
      <c r="G1541" s="68">
        <v>9724.630000000001</v>
      </c>
      <c r="H1541" s="68">
        <v>9724.630000000001</v>
      </c>
      <c r="I1541" s="68">
        <v>0</v>
      </c>
      <c r="J1541" s="68">
        <v>0</v>
      </c>
    </row>
    <row r="1542" spans="1:10" ht="14.25" customHeight="1">
      <c r="A1542" s="66" t="s">
        <v>3399</v>
      </c>
      <c r="B1542" s="66" t="s">
        <v>2678</v>
      </c>
      <c r="C1542" s="68">
        <v>0</v>
      </c>
      <c r="D1542" s="68">
        <v>0</v>
      </c>
      <c r="E1542" s="68">
        <v>4967.239999999998</v>
      </c>
      <c r="F1542" s="68">
        <v>4967.239999999998</v>
      </c>
      <c r="G1542" s="68">
        <v>49416.69</v>
      </c>
      <c r="H1542" s="68">
        <v>49416.69</v>
      </c>
      <c r="I1542" s="68">
        <v>0</v>
      </c>
      <c r="J1542" s="68">
        <v>0</v>
      </c>
    </row>
    <row r="1543" spans="1:10" ht="14.25" customHeight="1">
      <c r="A1543" s="66" t="s">
        <v>3400</v>
      </c>
      <c r="B1543" s="66" t="s">
        <v>2680</v>
      </c>
      <c r="C1543" s="68">
        <v>0</v>
      </c>
      <c r="D1543" s="68">
        <v>0</v>
      </c>
      <c r="E1543" s="68">
        <v>13</v>
      </c>
      <c r="F1543" s="68">
        <v>13</v>
      </c>
      <c r="G1543" s="68">
        <v>1306.0199999999998</v>
      </c>
      <c r="H1543" s="68">
        <v>1306.0199999999998</v>
      </c>
      <c r="I1543" s="68">
        <v>0</v>
      </c>
      <c r="J1543" s="68">
        <v>0</v>
      </c>
    </row>
    <row r="1544" spans="1:10" ht="14.25" customHeight="1">
      <c r="A1544" s="66" t="s">
        <v>3401</v>
      </c>
      <c r="B1544" s="66" t="s">
        <v>3241</v>
      </c>
      <c r="C1544" s="68">
        <v>0</v>
      </c>
      <c r="D1544" s="68">
        <v>0</v>
      </c>
      <c r="E1544" s="68">
        <v>0</v>
      </c>
      <c r="F1544" s="68">
        <v>0</v>
      </c>
      <c r="G1544" s="68">
        <v>480</v>
      </c>
      <c r="H1544" s="68">
        <v>480</v>
      </c>
      <c r="I1544" s="68">
        <v>0</v>
      </c>
      <c r="J1544" s="68">
        <v>0</v>
      </c>
    </row>
    <row r="1545" spans="1:10" ht="14.25" customHeight="1">
      <c r="A1545" s="66" t="s">
        <v>3402</v>
      </c>
      <c r="B1545" s="66" t="s">
        <v>2708</v>
      </c>
      <c r="C1545" s="68">
        <v>0</v>
      </c>
      <c r="D1545" s="68">
        <v>0</v>
      </c>
      <c r="E1545" s="68">
        <v>50</v>
      </c>
      <c r="F1545" s="68">
        <v>50</v>
      </c>
      <c r="G1545" s="68">
        <v>600</v>
      </c>
      <c r="H1545" s="68">
        <v>600</v>
      </c>
      <c r="I1545" s="68">
        <v>0</v>
      </c>
      <c r="J1545" s="68">
        <v>0</v>
      </c>
    </row>
    <row r="1546" spans="1:10" ht="14.25" customHeight="1">
      <c r="A1546" s="66" t="s">
        <v>3403</v>
      </c>
      <c r="B1546" s="66" t="s">
        <v>3244</v>
      </c>
      <c r="C1546" s="68">
        <v>0</v>
      </c>
      <c r="D1546" s="68">
        <v>0</v>
      </c>
      <c r="E1546" s="68">
        <v>1032.0900000000001</v>
      </c>
      <c r="F1546" s="68">
        <v>1032.0900000000001</v>
      </c>
      <c r="G1546" s="68">
        <v>12433.37</v>
      </c>
      <c r="H1546" s="68">
        <v>12433.37</v>
      </c>
      <c r="I1546" s="68">
        <v>0</v>
      </c>
      <c r="J1546" s="68">
        <v>0</v>
      </c>
    </row>
    <row r="1547" spans="1:10" ht="14.25" customHeight="1">
      <c r="A1547" s="66" t="s">
        <v>3404</v>
      </c>
      <c r="B1547" s="66" t="s">
        <v>3246</v>
      </c>
      <c r="C1547" s="68">
        <v>0</v>
      </c>
      <c r="D1547" s="68">
        <v>0</v>
      </c>
      <c r="E1547" s="68">
        <v>108</v>
      </c>
      <c r="F1547" s="68">
        <v>108</v>
      </c>
      <c r="G1547" s="68">
        <v>1296</v>
      </c>
      <c r="H1547" s="68">
        <v>1296</v>
      </c>
      <c r="I1547" s="68">
        <v>0</v>
      </c>
      <c r="J1547" s="68">
        <v>0</v>
      </c>
    </row>
    <row r="1548" spans="1:10" ht="14.25" customHeight="1">
      <c r="A1548" s="66" t="s">
        <v>3405</v>
      </c>
      <c r="B1548" s="66" t="s">
        <v>2798</v>
      </c>
      <c r="C1548" s="68">
        <v>0</v>
      </c>
      <c r="D1548" s="68">
        <v>0</v>
      </c>
      <c r="E1548" s="68">
        <v>390.61999999999989</v>
      </c>
      <c r="F1548" s="68">
        <v>390.61999999999989</v>
      </c>
      <c r="G1548" s="68">
        <v>4687</v>
      </c>
      <c r="H1548" s="68">
        <v>4687</v>
      </c>
      <c r="I1548" s="68">
        <v>0</v>
      </c>
      <c r="J1548" s="68">
        <v>0</v>
      </c>
    </row>
    <row r="1549" spans="1:10" ht="14.25" customHeight="1">
      <c r="A1549" s="66" t="s">
        <v>3406</v>
      </c>
      <c r="B1549" s="66" t="s">
        <v>2688</v>
      </c>
      <c r="C1549" s="68">
        <v>0</v>
      </c>
      <c r="D1549" s="68">
        <v>0</v>
      </c>
      <c r="E1549" s="68">
        <v>35</v>
      </c>
      <c r="F1549" s="68">
        <v>35</v>
      </c>
      <c r="G1549" s="68">
        <v>35</v>
      </c>
      <c r="H1549" s="68">
        <v>35</v>
      </c>
      <c r="I1549" s="68">
        <v>0</v>
      </c>
      <c r="J1549" s="68">
        <v>0</v>
      </c>
    </row>
    <row r="1550" spans="1:10" ht="14.25" customHeight="1">
      <c r="A1550" s="66" t="s">
        <v>3407</v>
      </c>
      <c r="B1550" s="66" t="s">
        <v>2724</v>
      </c>
      <c r="C1550" s="68">
        <v>0</v>
      </c>
      <c r="D1550" s="68">
        <v>0</v>
      </c>
      <c r="E1550" s="68">
        <v>420</v>
      </c>
      <c r="F1550" s="68">
        <v>420</v>
      </c>
      <c r="G1550" s="68">
        <v>3520</v>
      </c>
      <c r="H1550" s="68">
        <v>3520</v>
      </c>
      <c r="I1550" s="68">
        <v>0</v>
      </c>
      <c r="J1550" s="68">
        <v>0</v>
      </c>
    </row>
    <row r="1551" spans="1:10" ht="14.25" customHeight="1">
      <c r="A1551" s="66" t="s">
        <v>3408</v>
      </c>
      <c r="B1551" s="66" t="s">
        <v>3236</v>
      </c>
      <c r="C1551" s="68">
        <v>0</v>
      </c>
      <c r="D1551" s="68">
        <v>0</v>
      </c>
      <c r="E1551" s="68">
        <v>0</v>
      </c>
      <c r="F1551" s="68">
        <v>0</v>
      </c>
      <c r="G1551" s="68">
        <v>18951.62</v>
      </c>
      <c r="H1551" s="68">
        <v>18951.62</v>
      </c>
      <c r="I1551" s="68">
        <v>0</v>
      </c>
      <c r="J1551" s="68">
        <v>0</v>
      </c>
    </row>
    <row r="1552" spans="1:10" ht="14.25" customHeight="1">
      <c r="A1552" s="66" t="s">
        <v>3409</v>
      </c>
      <c r="B1552" s="66" t="s">
        <v>2676</v>
      </c>
      <c r="C1552" s="68">
        <v>0</v>
      </c>
      <c r="D1552" s="68">
        <v>0</v>
      </c>
      <c r="E1552" s="68">
        <v>1380</v>
      </c>
      <c r="F1552" s="68">
        <v>1380</v>
      </c>
      <c r="G1552" s="68">
        <v>7300</v>
      </c>
      <c r="H1552" s="68">
        <v>7300</v>
      </c>
      <c r="I1552" s="68">
        <v>0</v>
      </c>
      <c r="J1552" s="68">
        <v>0</v>
      </c>
    </row>
    <row r="1553" spans="1:10" ht="14.25" customHeight="1">
      <c r="A1553" s="66" t="s">
        <v>3410</v>
      </c>
      <c r="B1553" s="66" t="s">
        <v>2678</v>
      </c>
      <c r="C1553" s="68">
        <v>0</v>
      </c>
      <c r="D1553" s="68">
        <v>0</v>
      </c>
      <c r="E1553" s="68">
        <v>3690.4000000000015</v>
      </c>
      <c r="F1553" s="68">
        <v>3690.4000000000015</v>
      </c>
      <c r="G1553" s="68">
        <v>48682.960000000006</v>
      </c>
      <c r="H1553" s="68">
        <v>48682.960000000006</v>
      </c>
      <c r="I1553" s="68">
        <v>0</v>
      </c>
      <c r="J1553" s="68">
        <v>0</v>
      </c>
    </row>
    <row r="1554" spans="1:10" ht="14.25" customHeight="1">
      <c r="A1554" s="66" t="s">
        <v>3411</v>
      </c>
      <c r="B1554" s="66" t="s">
        <v>2680</v>
      </c>
      <c r="C1554" s="68">
        <v>0</v>
      </c>
      <c r="D1554" s="68">
        <v>0</v>
      </c>
      <c r="E1554" s="68">
        <v>4.3099999999999454</v>
      </c>
      <c r="F1554" s="68">
        <v>4.3099999999999454</v>
      </c>
      <c r="G1554" s="68">
        <v>1474.77</v>
      </c>
      <c r="H1554" s="68">
        <v>1474.7699999999998</v>
      </c>
      <c r="I1554" s="68">
        <v>2.2737367544323206E-13</v>
      </c>
      <c r="J1554" s="68">
        <v>0</v>
      </c>
    </row>
    <row r="1555" spans="1:10" ht="14.25" customHeight="1">
      <c r="A1555" s="66" t="s">
        <v>3412</v>
      </c>
      <c r="B1555" s="66" t="s">
        <v>3241</v>
      </c>
      <c r="C1555" s="68">
        <v>0</v>
      </c>
      <c r="D1555" s="68">
        <v>0</v>
      </c>
      <c r="E1555" s="68">
        <v>130</v>
      </c>
      <c r="F1555" s="68">
        <v>130</v>
      </c>
      <c r="G1555" s="68">
        <v>1170</v>
      </c>
      <c r="H1555" s="68">
        <v>1170</v>
      </c>
      <c r="I1555" s="68">
        <v>0</v>
      </c>
      <c r="J1555" s="68">
        <v>0</v>
      </c>
    </row>
    <row r="1556" spans="1:10" ht="14.25" customHeight="1">
      <c r="A1556" s="66" t="s">
        <v>3413</v>
      </c>
      <c r="B1556" s="66" t="s">
        <v>2708</v>
      </c>
      <c r="C1556" s="68">
        <v>0</v>
      </c>
      <c r="D1556" s="68">
        <v>0</v>
      </c>
      <c r="E1556" s="68">
        <v>50</v>
      </c>
      <c r="F1556" s="68">
        <v>50</v>
      </c>
      <c r="G1556" s="68">
        <v>600</v>
      </c>
      <c r="H1556" s="68">
        <v>600</v>
      </c>
      <c r="I1556" s="68">
        <v>0</v>
      </c>
      <c r="J1556" s="68">
        <v>0</v>
      </c>
    </row>
    <row r="1557" spans="1:10" ht="14.25" customHeight="1">
      <c r="A1557" s="66" t="s">
        <v>3414</v>
      </c>
      <c r="B1557" s="66" t="s">
        <v>3244</v>
      </c>
      <c r="C1557" s="68">
        <v>0</v>
      </c>
      <c r="D1557" s="68">
        <v>0</v>
      </c>
      <c r="E1557" s="68">
        <v>2343.0600000000013</v>
      </c>
      <c r="F1557" s="68">
        <v>2343.0600000000013</v>
      </c>
      <c r="G1557" s="68">
        <v>24101.060000000005</v>
      </c>
      <c r="H1557" s="68">
        <v>24101.060000000005</v>
      </c>
      <c r="I1557" s="68">
        <v>0</v>
      </c>
      <c r="J1557" s="68">
        <v>0</v>
      </c>
    </row>
    <row r="1558" spans="1:10" ht="14.25" customHeight="1">
      <c r="A1558" s="66" t="s">
        <v>3415</v>
      </c>
      <c r="B1558" s="66" t="s">
        <v>3246</v>
      </c>
      <c r="C1558" s="68">
        <v>0</v>
      </c>
      <c r="D1558" s="68">
        <v>0</v>
      </c>
      <c r="E1558" s="68">
        <v>108</v>
      </c>
      <c r="F1558" s="68">
        <v>108</v>
      </c>
      <c r="G1558" s="68">
        <v>1296</v>
      </c>
      <c r="H1558" s="68">
        <v>1296</v>
      </c>
      <c r="I1558" s="68">
        <v>0</v>
      </c>
      <c r="J1558" s="68">
        <v>0</v>
      </c>
    </row>
    <row r="1559" spans="1:10" ht="14.25" customHeight="1">
      <c r="A1559" s="66" t="s">
        <v>3416</v>
      </c>
      <c r="B1559" s="66" t="s">
        <v>2798</v>
      </c>
      <c r="C1559" s="68">
        <v>0</v>
      </c>
      <c r="D1559" s="68">
        <v>0</v>
      </c>
      <c r="E1559" s="68">
        <v>390.75</v>
      </c>
      <c r="F1559" s="68">
        <v>390.75</v>
      </c>
      <c r="G1559" s="68">
        <v>4723.2</v>
      </c>
      <c r="H1559" s="68">
        <v>4723.2</v>
      </c>
      <c r="I1559" s="68">
        <v>0</v>
      </c>
      <c r="J1559" s="68">
        <v>0</v>
      </c>
    </row>
    <row r="1560" spans="1:10" ht="14.25" customHeight="1">
      <c r="A1560" s="66" t="s">
        <v>3417</v>
      </c>
      <c r="B1560" s="66" t="s">
        <v>2724</v>
      </c>
      <c r="C1560" s="68">
        <v>0</v>
      </c>
      <c r="D1560" s="68">
        <v>0</v>
      </c>
      <c r="E1560" s="68">
        <v>240</v>
      </c>
      <c r="F1560" s="68">
        <v>240</v>
      </c>
      <c r="G1560" s="68">
        <v>3340</v>
      </c>
      <c r="H1560" s="68">
        <v>3340</v>
      </c>
      <c r="I1560" s="68">
        <v>0</v>
      </c>
      <c r="J1560" s="68">
        <v>0</v>
      </c>
    </row>
    <row r="1561" spans="1:10" ht="14.25" customHeight="1">
      <c r="A1561" s="66" t="s">
        <v>3418</v>
      </c>
      <c r="B1561" s="66" t="s">
        <v>3236</v>
      </c>
      <c r="C1561" s="68">
        <v>0</v>
      </c>
      <c r="D1561" s="68">
        <v>0</v>
      </c>
      <c r="E1561" s="68">
        <v>7242.0499999999993</v>
      </c>
      <c r="F1561" s="68">
        <v>7242.0499999999993</v>
      </c>
      <c r="G1561" s="68">
        <v>28775.7</v>
      </c>
      <c r="H1561" s="68">
        <v>28775.699999999997</v>
      </c>
      <c r="I1561" s="68">
        <v>3.637978807091713E-12</v>
      </c>
      <c r="J1561" s="68">
        <v>0</v>
      </c>
    </row>
    <row r="1562" spans="1:10" ht="14.25" customHeight="1">
      <c r="A1562" s="66" t="s">
        <v>3419</v>
      </c>
      <c r="B1562" s="66" t="s">
        <v>2676</v>
      </c>
      <c r="C1562" s="68">
        <v>0</v>
      </c>
      <c r="D1562" s="68">
        <v>0</v>
      </c>
      <c r="E1562" s="68">
        <v>0</v>
      </c>
      <c r="F1562" s="68">
        <v>0</v>
      </c>
      <c r="G1562" s="68">
        <v>1340</v>
      </c>
      <c r="H1562" s="68">
        <v>1340</v>
      </c>
      <c r="I1562" s="68">
        <v>0</v>
      </c>
      <c r="J1562" s="68">
        <v>0</v>
      </c>
    </row>
    <row r="1563" spans="1:10" ht="14.25" customHeight="1">
      <c r="A1563" s="66" t="s">
        <v>3420</v>
      </c>
      <c r="B1563" s="66" t="s">
        <v>2678</v>
      </c>
      <c r="C1563" s="68">
        <v>0</v>
      </c>
      <c r="D1563" s="68">
        <v>0</v>
      </c>
      <c r="E1563" s="68">
        <v>2014.619999999999</v>
      </c>
      <c r="F1563" s="68">
        <v>2014.619999999999</v>
      </c>
      <c r="G1563" s="68">
        <v>22610.93</v>
      </c>
      <c r="H1563" s="68">
        <v>22610.93</v>
      </c>
      <c r="I1563" s="68">
        <v>0</v>
      </c>
      <c r="J1563" s="68">
        <v>0</v>
      </c>
    </row>
    <row r="1564" spans="1:10" ht="14.25" customHeight="1">
      <c r="A1564" s="66" t="s">
        <v>3421</v>
      </c>
      <c r="B1564" s="66" t="s">
        <v>2680</v>
      </c>
      <c r="C1564" s="68">
        <v>0</v>
      </c>
      <c r="D1564" s="68">
        <v>0</v>
      </c>
      <c r="E1564" s="68">
        <v>0</v>
      </c>
      <c r="F1564" s="68">
        <v>0</v>
      </c>
      <c r="G1564" s="68">
        <v>293.43</v>
      </c>
      <c r="H1564" s="68">
        <v>293.42999999999995</v>
      </c>
      <c r="I1564" s="68">
        <v>5.6843418860808015E-14</v>
      </c>
      <c r="J1564" s="68">
        <v>0</v>
      </c>
    </row>
    <row r="1565" spans="1:10" ht="14.25" customHeight="1">
      <c r="A1565" s="66" t="s">
        <v>3422</v>
      </c>
      <c r="B1565" s="66" t="s">
        <v>3241</v>
      </c>
      <c r="C1565" s="68">
        <v>0</v>
      </c>
      <c r="D1565" s="68">
        <v>0</v>
      </c>
      <c r="E1565" s="68">
        <v>0</v>
      </c>
      <c r="F1565" s="68">
        <v>0</v>
      </c>
      <c r="G1565" s="68">
        <v>860</v>
      </c>
      <c r="H1565" s="68">
        <v>860</v>
      </c>
      <c r="I1565" s="68">
        <v>0</v>
      </c>
      <c r="J1565" s="68">
        <v>0</v>
      </c>
    </row>
    <row r="1566" spans="1:10" ht="14.25" customHeight="1">
      <c r="A1566" s="66" t="s">
        <v>3423</v>
      </c>
      <c r="B1566" s="66" t="s">
        <v>2708</v>
      </c>
      <c r="C1566" s="68">
        <v>0</v>
      </c>
      <c r="D1566" s="68">
        <v>0</v>
      </c>
      <c r="E1566" s="68">
        <v>50</v>
      </c>
      <c r="F1566" s="68">
        <v>50</v>
      </c>
      <c r="G1566" s="68">
        <v>600</v>
      </c>
      <c r="H1566" s="68">
        <v>600</v>
      </c>
      <c r="I1566" s="68">
        <v>0</v>
      </c>
      <c r="J1566" s="68">
        <v>0</v>
      </c>
    </row>
    <row r="1567" spans="1:10" ht="14.25" customHeight="1">
      <c r="A1567" s="66" t="s">
        <v>3424</v>
      </c>
      <c r="B1567" s="66" t="s">
        <v>3244</v>
      </c>
      <c r="C1567" s="68">
        <v>0</v>
      </c>
      <c r="D1567" s="68">
        <v>0</v>
      </c>
      <c r="E1567" s="68">
        <v>1988</v>
      </c>
      <c r="F1567" s="68">
        <v>1988</v>
      </c>
      <c r="G1567" s="68">
        <v>15240.51</v>
      </c>
      <c r="H1567" s="68">
        <v>15240.51</v>
      </c>
      <c r="I1567" s="68">
        <v>0</v>
      </c>
      <c r="J1567" s="68">
        <v>0</v>
      </c>
    </row>
    <row r="1568" spans="1:10" ht="14.25" customHeight="1">
      <c r="A1568" s="66" t="s">
        <v>3425</v>
      </c>
      <c r="B1568" s="66" t="s">
        <v>3246</v>
      </c>
      <c r="C1568" s="68">
        <v>0</v>
      </c>
      <c r="D1568" s="68">
        <v>0</v>
      </c>
      <c r="E1568" s="68">
        <v>92</v>
      </c>
      <c r="F1568" s="68">
        <v>92</v>
      </c>
      <c r="G1568" s="68">
        <v>1104</v>
      </c>
      <c r="H1568" s="68">
        <v>1104</v>
      </c>
      <c r="I1568" s="68">
        <v>0</v>
      </c>
      <c r="J1568" s="68">
        <v>0</v>
      </c>
    </row>
    <row r="1569" spans="1:10" ht="14.25" customHeight="1">
      <c r="A1569" s="66" t="s">
        <v>3426</v>
      </c>
      <c r="B1569" s="66" t="s">
        <v>2798</v>
      </c>
      <c r="C1569" s="68">
        <v>0</v>
      </c>
      <c r="D1569" s="68">
        <v>0</v>
      </c>
      <c r="E1569" s="68">
        <v>186.15999999999985</v>
      </c>
      <c r="F1569" s="68">
        <v>186.15999999999985</v>
      </c>
      <c r="G1569" s="68">
        <v>2528.46</v>
      </c>
      <c r="H1569" s="68">
        <v>2528.46</v>
      </c>
      <c r="I1569" s="68">
        <v>0</v>
      </c>
      <c r="J1569" s="68">
        <v>0</v>
      </c>
    </row>
    <row r="1570" spans="1:10" ht="14.25" customHeight="1">
      <c r="A1570" s="66" t="s">
        <v>3427</v>
      </c>
      <c r="B1570" s="66" t="s">
        <v>2688</v>
      </c>
      <c r="C1570" s="68">
        <v>0</v>
      </c>
      <c r="D1570" s="68">
        <v>0</v>
      </c>
      <c r="E1570" s="68">
        <v>0</v>
      </c>
      <c r="F1570" s="68">
        <v>0</v>
      </c>
      <c r="G1570" s="68">
        <v>205</v>
      </c>
      <c r="H1570" s="68">
        <v>205</v>
      </c>
      <c r="I1570" s="68">
        <v>0</v>
      </c>
      <c r="J1570" s="68">
        <v>0</v>
      </c>
    </row>
    <row r="1571" spans="1:10" ht="14.25" customHeight="1">
      <c r="A1571" s="66" t="s">
        <v>3428</v>
      </c>
      <c r="B1571" s="66" t="s">
        <v>2724</v>
      </c>
      <c r="C1571" s="68">
        <v>0</v>
      </c>
      <c r="D1571" s="68">
        <v>0</v>
      </c>
      <c r="E1571" s="68">
        <v>40</v>
      </c>
      <c r="F1571" s="68">
        <v>40</v>
      </c>
      <c r="G1571" s="68">
        <v>1190</v>
      </c>
      <c r="H1571" s="68">
        <v>1190</v>
      </c>
      <c r="I1571" s="68">
        <v>0</v>
      </c>
      <c r="J1571" s="68">
        <v>0</v>
      </c>
    </row>
    <row r="1572" spans="1:10" ht="14.25" customHeight="1">
      <c r="A1572" s="66" t="s">
        <v>3429</v>
      </c>
      <c r="B1572" s="66" t="s">
        <v>3236</v>
      </c>
      <c r="C1572" s="68">
        <v>0</v>
      </c>
      <c r="D1572" s="68">
        <v>0</v>
      </c>
      <c r="E1572" s="68">
        <v>0</v>
      </c>
      <c r="F1572" s="68">
        <v>0</v>
      </c>
      <c r="G1572" s="68">
        <v>41730.519999999997</v>
      </c>
      <c r="H1572" s="68">
        <v>41730.519999999997</v>
      </c>
      <c r="I1572" s="68">
        <v>0</v>
      </c>
      <c r="J1572" s="68">
        <v>0</v>
      </c>
    </row>
    <row r="1573" spans="1:10" ht="14.25" customHeight="1">
      <c r="A1573" s="66" t="s">
        <v>3430</v>
      </c>
      <c r="B1573" s="66" t="s">
        <v>2676</v>
      </c>
      <c r="C1573" s="68">
        <v>0</v>
      </c>
      <c r="D1573" s="68">
        <v>0</v>
      </c>
      <c r="E1573" s="68">
        <v>0</v>
      </c>
      <c r="F1573" s="68">
        <v>0</v>
      </c>
      <c r="G1573" s="68">
        <v>7330</v>
      </c>
      <c r="H1573" s="68">
        <v>7330</v>
      </c>
      <c r="I1573" s="68">
        <v>0</v>
      </c>
      <c r="J1573" s="68">
        <v>0</v>
      </c>
    </row>
    <row r="1574" spans="1:10" ht="14.25" customHeight="1">
      <c r="A1574" s="66" t="s">
        <v>3431</v>
      </c>
      <c r="B1574" s="66" t="s">
        <v>2678</v>
      </c>
      <c r="C1574" s="68">
        <v>0</v>
      </c>
      <c r="D1574" s="68">
        <v>0</v>
      </c>
      <c r="E1574" s="68">
        <v>4853.5400000000009</v>
      </c>
      <c r="F1574" s="68">
        <v>4853.5400000000009</v>
      </c>
      <c r="G1574" s="68">
        <v>44727.579999999994</v>
      </c>
      <c r="H1574" s="68">
        <v>44727.579999999994</v>
      </c>
      <c r="I1574" s="68">
        <v>0</v>
      </c>
      <c r="J1574" s="68">
        <v>0</v>
      </c>
    </row>
    <row r="1575" spans="1:10" ht="14.25" customHeight="1">
      <c r="A1575" s="66" t="s">
        <v>3432</v>
      </c>
      <c r="B1575" s="66" t="s">
        <v>2680</v>
      </c>
      <c r="C1575" s="68">
        <v>0</v>
      </c>
      <c r="D1575" s="68">
        <v>0</v>
      </c>
      <c r="E1575" s="68">
        <v>13</v>
      </c>
      <c r="F1575" s="68">
        <v>13</v>
      </c>
      <c r="G1575" s="68">
        <v>2633.5800000000004</v>
      </c>
      <c r="H1575" s="68">
        <v>2633.5800000000004</v>
      </c>
      <c r="I1575" s="68">
        <v>0</v>
      </c>
      <c r="J1575" s="68">
        <v>0</v>
      </c>
    </row>
    <row r="1576" spans="1:10" ht="14.25" customHeight="1">
      <c r="A1576" s="66" t="s">
        <v>3433</v>
      </c>
      <c r="B1576" s="66" t="s">
        <v>3241</v>
      </c>
      <c r="C1576" s="68">
        <v>0</v>
      </c>
      <c r="D1576" s="68">
        <v>0</v>
      </c>
      <c r="E1576" s="68">
        <v>130</v>
      </c>
      <c r="F1576" s="68">
        <v>130</v>
      </c>
      <c r="G1576" s="68">
        <v>520</v>
      </c>
      <c r="H1576" s="68">
        <v>520</v>
      </c>
      <c r="I1576" s="68">
        <v>0</v>
      </c>
      <c r="J1576" s="68">
        <v>0</v>
      </c>
    </row>
    <row r="1577" spans="1:10" ht="14.25" customHeight="1">
      <c r="A1577" s="66" t="s">
        <v>3434</v>
      </c>
      <c r="B1577" s="66" t="s">
        <v>2708</v>
      </c>
      <c r="C1577" s="68">
        <v>0</v>
      </c>
      <c r="D1577" s="68">
        <v>0</v>
      </c>
      <c r="E1577" s="68">
        <v>50</v>
      </c>
      <c r="F1577" s="68">
        <v>50</v>
      </c>
      <c r="G1577" s="68">
        <v>600</v>
      </c>
      <c r="H1577" s="68">
        <v>600</v>
      </c>
      <c r="I1577" s="68">
        <v>0</v>
      </c>
      <c r="J1577" s="68">
        <v>0</v>
      </c>
    </row>
    <row r="1578" spans="1:10" ht="14.25" customHeight="1">
      <c r="A1578" s="66" t="s">
        <v>3435</v>
      </c>
      <c r="B1578" s="66" t="s">
        <v>3244</v>
      </c>
      <c r="C1578" s="68">
        <v>0</v>
      </c>
      <c r="D1578" s="68">
        <v>0</v>
      </c>
      <c r="E1578" s="68">
        <v>314.33000000000175</v>
      </c>
      <c r="F1578" s="68">
        <v>314.33000000000175</v>
      </c>
      <c r="G1578" s="68">
        <v>29047.370000000003</v>
      </c>
      <c r="H1578" s="68">
        <v>29047.370000000003</v>
      </c>
      <c r="I1578" s="68">
        <v>0</v>
      </c>
      <c r="J1578" s="68">
        <v>0</v>
      </c>
    </row>
    <row r="1579" spans="1:10" ht="14.25" customHeight="1">
      <c r="A1579" s="66" t="s">
        <v>3436</v>
      </c>
      <c r="B1579" s="66" t="s">
        <v>3246</v>
      </c>
      <c r="C1579" s="68">
        <v>0</v>
      </c>
      <c r="D1579" s="68">
        <v>0</v>
      </c>
      <c r="E1579" s="68">
        <v>95</v>
      </c>
      <c r="F1579" s="68">
        <v>95</v>
      </c>
      <c r="G1579" s="68">
        <v>1140</v>
      </c>
      <c r="H1579" s="68">
        <v>1140</v>
      </c>
      <c r="I1579" s="68">
        <v>0</v>
      </c>
      <c r="J1579" s="68">
        <v>0</v>
      </c>
    </row>
    <row r="1580" spans="1:10" ht="14.25" customHeight="1">
      <c r="A1580" s="66" t="s">
        <v>3437</v>
      </c>
      <c r="B1580" s="66" t="s">
        <v>2798</v>
      </c>
      <c r="C1580" s="68">
        <v>0</v>
      </c>
      <c r="D1580" s="68">
        <v>0</v>
      </c>
      <c r="E1580" s="68">
        <v>241.5</v>
      </c>
      <c r="F1580" s="68">
        <v>241.5</v>
      </c>
      <c r="G1580" s="68">
        <v>3424.1699999999996</v>
      </c>
      <c r="H1580" s="68">
        <v>3424.1699999999996</v>
      </c>
      <c r="I1580" s="68">
        <v>0</v>
      </c>
      <c r="J1580" s="68">
        <v>0</v>
      </c>
    </row>
    <row r="1581" spans="1:10" ht="14.25" customHeight="1">
      <c r="A1581" s="66" t="s">
        <v>3438</v>
      </c>
      <c r="B1581" s="66" t="s">
        <v>2724</v>
      </c>
      <c r="C1581" s="68">
        <v>0</v>
      </c>
      <c r="D1581" s="68">
        <v>0</v>
      </c>
      <c r="E1581" s="68">
        <v>240</v>
      </c>
      <c r="F1581" s="68">
        <v>240</v>
      </c>
      <c r="G1581" s="68">
        <v>3850</v>
      </c>
      <c r="H1581" s="68">
        <v>3850</v>
      </c>
      <c r="I1581" s="68">
        <v>0</v>
      </c>
      <c r="J1581" s="68">
        <v>0</v>
      </c>
    </row>
    <row r="1582" spans="1:10" ht="14.25" customHeight="1">
      <c r="A1582" s="66" t="s">
        <v>3439</v>
      </c>
      <c r="B1582" s="66" t="s">
        <v>3236</v>
      </c>
      <c r="C1582" s="68">
        <v>0</v>
      </c>
      <c r="D1582" s="68">
        <v>0</v>
      </c>
      <c r="E1582" s="68">
        <v>761.78999999999905</v>
      </c>
      <c r="F1582" s="68">
        <v>761.78999999999905</v>
      </c>
      <c r="G1582" s="68">
        <v>15930.54</v>
      </c>
      <c r="H1582" s="68">
        <v>15930.54</v>
      </c>
      <c r="I1582" s="68">
        <v>0</v>
      </c>
      <c r="J1582" s="68">
        <v>0</v>
      </c>
    </row>
    <row r="1583" spans="1:10" ht="14.25" customHeight="1">
      <c r="A1583" s="66" t="s">
        <v>3440</v>
      </c>
      <c r="B1583" s="66" t="s">
        <v>2678</v>
      </c>
      <c r="C1583" s="68">
        <v>0</v>
      </c>
      <c r="D1583" s="68">
        <v>0</v>
      </c>
      <c r="E1583" s="68">
        <v>1305.119999999999</v>
      </c>
      <c r="F1583" s="68">
        <v>1305.119999999999</v>
      </c>
      <c r="G1583" s="68">
        <v>10686.61</v>
      </c>
      <c r="H1583" s="68">
        <v>10686.61</v>
      </c>
      <c r="I1583" s="68">
        <v>0</v>
      </c>
      <c r="J1583" s="68">
        <v>0</v>
      </c>
    </row>
    <row r="1584" spans="1:10" ht="14.25" customHeight="1">
      <c r="A1584" s="66" t="s">
        <v>3441</v>
      </c>
      <c r="B1584" s="66" t="s">
        <v>2680</v>
      </c>
      <c r="C1584" s="68">
        <v>0</v>
      </c>
      <c r="D1584" s="68">
        <v>0</v>
      </c>
      <c r="E1584" s="68">
        <v>10.809999999999945</v>
      </c>
      <c r="F1584" s="68">
        <v>10.809999999999945</v>
      </c>
      <c r="G1584" s="68">
        <v>972.19999999999993</v>
      </c>
      <c r="H1584" s="68">
        <v>972.19999999999993</v>
      </c>
      <c r="I1584" s="68">
        <v>0</v>
      </c>
      <c r="J1584" s="68">
        <v>0</v>
      </c>
    </row>
    <row r="1585" spans="1:10" ht="14.25" customHeight="1">
      <c r="A1585" s="66" t="s">
        <v>3442</v>
      </c>
      <c r="B1585" s="66" t="s">
        <v>3241</v>
      </c>
      <c r="C1585" s="68">
        <v>0</v>
      </c>
      <c r="D1585" s="68">
        <v>0</v>
      </c>
      <c r="E1585" s="68">
        <v>0</v>
      </c>
      <c r="F1585" s="68">
        <v>0</v>
      </c>
      <c r="G1585" s="68">
        <v>570</v>
      </c>
      <c r="H1585" s="68">
        <v>570</v>
      </c>
      <c r="I1585" s="68">
        <v>0</v>
      </c>
      <c r="J1585" s="68">
        <v>0</v>
      </c>
    </row>
    <row r="1586" spans="1:10" ht="14.25" customHeight="1">
      <c r="A1586" s="66" t="s">
        <v>3443</v>
      </c>
      <c r="B1586" s="66" t="s">
        <v>2708</v>
      </c>
      <c r="C1586" s="68">
        <v>0</v>
      </c>
      <c r="D1586" s="68">
        <v>0</v>
      </c>
      <c r="E1586" s="68">
        <v>50</v>
      </c>
      <c r="F1586" s="68">
        <v>50</v>
      </c>
      <c r="G1586" s="68">
        <v>600</v>
      </c>
      <c r="H1586" s="68">
        <v>600</v>
      </c>
      <c r="I1586" s="68">
        <v>0</v>
      </c>
      <c r="J1586" s="68">
        <v>0</v>
      </c>
    </row>
    <row r="1587" spans="1:10" ht="14.25" customHeight="1">
      <c r="A1587" s="66" t="s">
        <v>3444</v>
      </c>
      <c r="B1587" s="66" t="s">
        <v>3244</v>
      </c>
      <c r="C1587" s="68">
        <v>0</v>
      </c>
      <c r="D1587" s="68">
        <v>0</v>
      </c>
      <c r="E1587" s="68">
        <v>3022.4399999999987</v>
      </c>
      <c r="F1587" s="68">
        <v>3022.4399999999987</v>
      </c>
      <c r="G1587" s="68">
        <v>24032.109999999997</v>
      </c>
      <c r="H1587" s="68">
        <v>24032.109999999997</v>
      </c>
      <c r="I1587" s="68">
        <v>0</v>
      </c>
      <c r="J1587" s="68">
        <v>0</v>
      </c>
    </row>
    <row r="1588" spans="1:10" ht="14.25" customHeight="1">
      <c r="A1588" s="66" t="s">
        <v>3445</v>
      </c>
      <c r="B1588" s="66" t="s">
        <v>3246</v>
      </c>
      <c r="C1588" s="68">
        <v>0</v>
      </c>
      <c r="D1588" s="68">
        <v>0</v>
      </c>
      <c r="E1588" s="68">
        <v>92</v>
      </c>
      <c r="F1588" s="68">
        <v>92</v>
      </c>
      <c r="G1588" s="68">
        <v>1104</v>
      </c>
      <c r="H1588" s="68">
        <v>1104</v>
      </c>
      <c r="I1588" s="68">
        <v>0</v>
      </c>
      <c r="J1588" s="68">
        <v>0</v>
      </c>
    </row>
    <row r="1589" spans="1:10" ht="14.25" customHeight="1">
      <c r="A1589" s="66" t="s">
        <v>3446</v>
      </c>
      <c r="B1589" s="66" t="s">
        <v>2798</v>
      </c>
      <c r="C1589" s="68">
        <v>0</v>
      </c>
      <c r="D1589" s="68">
        <v>0</v>
      </c>
      <c r="E1589" s="68">
        <v>192.82999999999993</v>
      </c>
      <c r="F1589" s="68">
        <v>192.82999999999993</v>
      </c>
      <c r="G1589" s="68">
        <v>2754.9999999999995</v>
      </c>
      <c r="H1589" s="68">
        <v>2754.9999999999995</v>
      </c>
      <c r="I1589" s="68">
        <v>0</v>
      </c>
      <c r="J1589" s="68">
        <v>0</v>
      </c>
    </row>
    <row r="1590" spans="1:10" ht="14.25" customHeight="1">
      <c r="A1590" s="66" t="s">
        <v>3447</v>
      </c>
      <c r="B1590" s="66" t="s">
        <v>2688</v>
      </c>
      <c r="C1590" s="68">
        <v>0</v>
      </c>
      <c r="D1590" s="68">
        <v>0</v>
      </c>
      <c r="E1590" s="68">
        <v>30</v>
      </c>
      <c r="F1590" s="68">
        <v>30</v>
      </c>
      <c r="G1590" s="68">
        <v>30</v>
      </c>
      <c r="H1590" s="68">
        <v>30</v>
      </c>
      <c r="I1590" s="68">
        <v>0</v>
      </c>
      <c r="J1590" s="68">
        <v>0</v>
      </c>
    </row>
    <row r="1591" spans="1:10" ht="14.25" customHeight="1">
      <c r="A1591" s="66" t="s">
        <v>3448</v>
      </c>
      <c r="B1591" s="66" t="s">
        <v>2724</v>
      </c>
      <c r="C1591" s="68">
        <v>0</v>
      </c>
      <c r="D1591" s="68">
        <v>0</v>
      </c>
      <c r="E1591" s="68">
        <v>180</v>
      </c>
      <c r="F1591" s="68">
        <v>180</v>
      </c>
      <c r="G1591" s="68">
        <v>1040</v>
      </c>
      <c r="H1591" s="68">
        <v>1040</v>
      </c>
      <c r="I1591" s="68">
        <v>0</v>
      </c>
      <c r="J1591" s="68">
        <v>0</v>
      </c>
    </row>
    <row r="1592" spans="1:10" ht="14.25" customHeight="1">
      <c r="A1592" s="66" t="s">
        <v>3449</v>
      </c>
      <c r="B1592" s="66" t="s">
        <v>3236</v>
      </c>
      <c r="C1592" s="68">
        <v>0</v>
      </c>
      <c r="D1592" s="68">
        <v>0</v>
      </c>
      <c r="E1592" s="68">
        <v>0</v>
      </c>
      <c r="F1592" s="68">
        <v>0</v>
      </c>
      <c r="G1592" s="68">
        <v>16779.16</v>
      </c>
      <c r="H1592" s="68">
        <v>16779.16</v>
      </c>
      <c r="I1592" s="68">
        <v>0</v>
      </c>
      <c r="J1592" s="68">
        <v>0</v>
      </c>
    </row>
    <row r="1593" spans="1:10" ht="14.25" customHeight="1">
      <c r="A1593" s="66" t="s">
        <v>3450</v>
      </c>
      <c r="B1593" s="66" t="s">
        <v>2676</v>
      </c>
      <c r="C1593" s="68">
        <v>0</v>
      </c>
      <c r="D1593" s="68">
        <v>0</v>
      </c>
      <c r="E1593" s="68">
        <v>0</v>
      </c>
      <c r="F1593" s="68">
        <v>0</v>
      </c>
      <c r="G1593" s="68">
        <v>1769.26</v>
      </c>
      <c r="H1593" s="68">
        <v>1769.26</v>
      </c>
      <c r="I1593" s="68">
        <v>0</v>
      </c>
      <c r="J1593" s="68">
        <v>0</v>
      </c>
    </row>
    <row r="1594" spans="1:10" ht="14.25" customHeight="1">
      <c r="A1594" s="66" t="s">
        <v>3451</v>
      </c>
      <c r="B1594" s="66" t="s">
        <v>2678</v>
      </c>
      <c r="C1594" s="68">
        <v>0</v>
      </c>
      <c r="D1594" s="68">
        <v>0</v>
      </c>
      <c r="E1594" s="68">
        <v>1605.0599999999995</v>
      </c>
      <c r="F1594" s="68">
        <v>1605.0599999999995</v>
      </c>
      <c r="G1594" s="68">
        <v>16436.87</v>
      </c>
      <c r="H1594" s="68">
        <v>16436.87</v>
      </c>
      <c r="I1594" s="68">
        <v>0</v>
      </c>
      <c r="J1594" s="68">
        <v>0</v>
      </c>
    </row>
    <row r="1595" spans="1:10" ht="14.25" customHeight="1">
      <c r="A1595" s="66" t="s">
        <v>3452</v>
      </c>
      <c r="B1595" s="66" t="s">
        <v>2680</v>
      </c>
      <c r="C1595" s="68">
        <v>0</v>
      </c>
      <c r="D1595" s="68">
        <v>0</v>
      </c>
      <c r="E1595" s="68">
        <v>6.5</v>
      </c>
      <c r="F1595" s="68">
        <v>6.5</v>
      </c>
      <c r="G1595" s="68">
        <v>586.54</v>
      </c>
      <c r="H1595" s="68">
        <v>586.54</v>
      </c>
      <c r="I1595" s="68">
        <v>0</v>
      </c>
      <c r="J1595" s="68">
        <v>0</v>
      </c>
    </row>
    <row r="1596" spans="1:10" ht="14.25" customHeight="1">
      <c r="A1596" s="66" t="s">
        <v>3453</v>
      </c>
      <c r="B1596" s="66" t="s">
        <v>3241</v>
      </c>
      <c r="C1596" s="68">
        <v>0</v>
      </c>
      <c r="D1596" s="68">
        <v>0</v>
      </c>
      <c r="E1596" s="68">
        <v>0</v>
      </c>
      <c r="F1596" s="68">
        <v>0</v>
      </c>
      <c r="G1596" s="68">
        <v>160</v>
      </c>
      <c r="H1596" s="68">
        <v>160</v>
      </c>
      <c r="I1596" s="68">
        <v>0</v>
      </c>
      <c r="J1596" s="68">
        <v>0</v>
      </c>
    </row>
    <row r="1597" spans="1:10" ht="14.25" customHeight="1">
      <c r="A1597" s="66" t="s">
        <v>3454</v>
      </c>
      <c r="B1597" s="66" t="s">
        <v>2708</v>
      </c>
      <c r="C1597" s="68">
        <v>0</v>
      </c>
      <c r="D1597" s="68">
        <v>0</v>
      </c>
      <c r="E1597" s="68">
        <v>50</v>
      </c>
      <c r="F1597" s="68">
        <v>50</v>
      </c>
      <c r="G1597" s="68">
        <v>600</v>
      </c>
      <c r="H1597" s="68">
        <v>600</v>
      </c>
      <c r="I1597" s="68">
        <v>0</v>
      </c>
      <c r="J1597" s="68">
        <v>0</v>
      </c>
    </row>
    <row r="1598" spans="1:10" ht="14.25" customHeight="1">
      <c r="A1598" s="66" t="s">
        <v>3455</v>
      </c>
      <c r="B1598" s="66" t="s">
        <v>3244</v>
      </c>
      <c r="C1598" s="68">
        <v>0</v>
      </c>
      <c r="D1598" s="68">
        <v>0</v>
      </c>
      <c r="E1598" s="68">
        <v>33.049999999999272</v>
      </c>
      <c r="F1598" s="68">
        <v>33.049999999999272</v>
      </c>
      <c r="G1598" s="68">
        <v>10758.409999999998</v>
      </c>
      <c r="H1598" s="68">
        <v>10758.409999999998</v>
      </c>
      <c r="I1598" s="68">
        <v>0</v>
      </c>
      <c r="J1598" s="68">
        <v>0</v>
      </c>
    </row>
    <row r="1599" spans="1:10" ht="14.25" customHeight="1">
      <c r="A1599" s="66" t="s">
        <v>3456</v>
      </c>
      <c r="B1599" s="66" t="s">
        <v>3246</v>
      </c>
      <c r="C1599" s="68">
        <v>0</v>
      </c>
      <c r="D1599" s="68">
        <v>0</v>
      </c>
      <c r="E1599" s="68">
        <v>89</v>
      </c>
      <c r="F1599" s="68">
        <v>89</v>
      </c>
      <c r="G1599" s="68">
        <v>1068</v>
      </c>
      <c r="H1599" s="68">
        <v>1068</v>
      </c>
      <c r="I1599" s="68">
        <v>0</v>
      </c>
      <c r="J1599" s="68">
        <v>0</v>
      </c>
    </row>
    <row r="1600" spans="1:10" ht="14.25" customHeight="1">
      <c r="A1600" s="66" t="s">
        <v>3457</v>
      </c>
      <c r="B1600" s="66" t="s">
        <v>2798</v>
      </c>
      <c r="C1600" s="68">
        <v>0</v>
      </c>
      <c r="D1600" s="68">
        <v>0</v>
      </c>
      <c r="E1600" s="68">
        <v>216.65999999999985</v>
      </c>
      <c r="F1600" s="68">
        <v>216.65999999999985</v>
      </c>
      <c r="G1600" s="68">
        <v>2608</v>
      </c>
      <c r="H1600" s="68">
        <v>2608</v>
      </c>
      <c r="I1600" s="68">
        <v>0</v>
      </c>
      <c r="J1600" s="68">
        <v>0</v>
      </c>
    </row>
    <row r="1601" spans="1:10" ht="14.25" customHeight="1">
      <c r="A1601" s="66" t="s">
        <v>3458</v>
      </c>
      <c r="B1601" s="66" t="s">
        <v>2688</v>
      </c>
      <c r="C1601" s="68">
        <v>0</v>
      </c>
      <c r="D1601" s="68">
        <v>0</v>
      </c>
      <c r="E1601" s="68">
        <v>0</v>
      </c>
      <c r="F1601" s="68">
        <v>0</v>
      </c>
      <c r="G1601" s="68">
        <v>30</v>
      </c>
      <c r="H1601" s="68">
        <v>30</v>
      </c>
      <c r="I1601" s="68">
        <v>0</v>
      </c>
      <c r="J1601" s="68">
        <v>0</v>
      </c>
    </row>
    <row r="1602" spans="1:10" ht="14.25" customHeight="1">
      <c r="A1602" s="66" t="s">
        <v>3459</v>
      </c>
      <c r="B1602" s="66" t="s">
        <v>2724</v>
      </c>
      <c r="C1602" s="68">
        <v>0</v>
      </c>
      <c r="D1602" s="68">
        <v>0</v>
      </c>
      <c r="E1602" s="68">
        <v>240</v>
      </c>
      <c r="F1602" s="68">
        <v>240</v>
      </c>
      <c r="G1602" s="68">
        <v>3780</v>
      </c>
      <c r="H1602" s="68">
        <v>3780</v>
      </c>
      <c r="I1602" s="68">
        <v>0</v>
      </c>
      <c r="J1602" s="68">
        <v>0</v>
      </c>
    </row>
    <row r="1603" spans="1:10" ht="14.25" customHeight="1">
      <c r="A1603" s="66" t="s">
        <v>3460</v>
      </c>
      <c r="B1603" s="66" t="s">
        <v>3236</v>
      </c>
      <c r="C1603" s="68">
        <v>0</v>
      </c>
      <c r="D1603" s="68">
        <v>0</v>
      </c>
      <c r="E1603" s="68">
        <v>350</v>
      </c>
      <c r="F1603" s="68">
        <v>350</v>
      </c>
      <c r="G1603" s="68">
        <v>19880.310000000001</v>
      </c>
      <c r="H1603" s="68">
        <v>19880.310000000001</v>
      </c>
      <c r="I1603" s="68">
        <v>0</v>
      </c>
      <c r="J1603" s="68">
        <v>0</v>
      </c>
    </row>
    <row r="1604" spans="1:10" ht="14.25" customHeight="1">
      <c r="A1604" s="66" t="s">
        <v>3461</v>
      </c>
      <c r="B1604" s="66" t="s">
        <v>2676</v>
      </c>
      <c r="C1604" s="68">
        <v>0</v>
      </c>
      <c r="D1604" s="68">
        <v>0</v>
      </c>
      <c r="E1604" s="68">
        <v>0</v>
      </c>
      <c r="F1604" s="68">
        <v>0</v>
      </c>
      <c r="G1604" s="68">
        <v>1296</v>
      </c>
      <c r="H1604" s="68">
        <v>1296</v>
      </c>
      <c r="I1604" s="68">
        <v>0</v>
      </c>
      <c r="J1604" s="68">
        <v>0</v>
      </c>
    </row>
    <row r="1605" spans="1:10" ht="14.25" customHeight="1">
      <c r="A1605" s="66" t="s">
        <v>3462</v>
      </c>
      <c r="B1605" s="66" t="s">
        <v>2678</v>
      </c>
      <c r="C1605" s="68">
        <v>0</v>
      </c>
      <c r="D1605" s="68">
        <v>0</v>
      </c>
      <c r="E1605" s="68">
        <v>966.20000000000073</v>
      </c>
      <c r="F1605" s="68">
        <v>966.20000000000073</v>
      </c>
      <c r="G1605" s="68">
        <v>9559.83</v>
      </c>
      <c r="H1605" s="68">
        <v>9559.83</v>
      </c>
      <c r="I1605" s="68">
        <v>0</v>
      </c>
      <c r="J1605" s="68">
        <v>0</v>
      </c>
    </row>
    <row r="1606" spans="1:10" ht="14.25" customHeight="1">
      <c r="A1606" s="66" t="s">
        <v>3463</v>
      </c>
      <c r="B1606" s="66" t="s">
        <v>2680</v>
      </c>
      <c r="C1606" s="68">
        <v>0</v>
      </c>
      <c r="D1606" s="68">
        <v>0</v>
      </c>
      <c r="E1606" s="68">
        <v>0</v>
      </c>
      <c r="F1606" s="68">
        <v>0</v>
      </c>
      <c r="G1606" s="68">
        <v>362.34</v>
      </c>
      <c r="H1606" s="68">
        <v>362.34000000000003</v>
      </c>
      <c r="I1606" s="68">
        <v>0</v>
      </c>
      <c r="J1606" s="68">
        <v>5.6843418860808015E-14</v>
      </c>
    </row>
    <row r="1607" spans="1:10" ht="14.25" customHeight="1">
      <c r="A1607" s="66" t="s">
        <v>3464</v>
      </c>
      <c r="B1607" s="66" t="s">
        <v>3241</v>
      </c>
      <c r="C1607" s="68">
        <v>0</v>
      </c>
      <c r="D1607" s="68">
        <v>0</v>
      </c>
      <c r="E1607" s="68">
        <v>0</v>
      </c>
      <c r="F1607" s="68">
        <v>0</v>
      </c>
      <c r="G1607" s="68">
        <v>200</v>
      </c>
      <c r="H1607" s="68">
        <v>200</v>
      </c>
      <c r="I1607" s="68">
        <v>0</v>
      </c>
      <c r="J1607" s="68">
        <v>0</v>
      </c>
    </row>
    <row r="1608" spans="1:10" ht="14.25" customHeight="1">
      <c r="A1608" s="66" t="s">
        <v>3465</v>
      </c>
      <c r="B1608" s="66" t="s">
        <v>2708</v>
      </c>
      <c r="C1608" s="68">
        <v>0</v>
      </c>
      <c r="D1608" s="68">
        <v>0</v>
      </c>
      <c r="E1608" s="68">
        <v>50</v>
      </c>
      <c r="F1608" s="68">
        <v>50</v>
      </c>
      <c r="G1608" s="68">
        <v>600</v>
      </c>
      <c r="H1608" s="68">
        <v>600</v>
      </c>
      <c r="I1608" s="68">
        <v>0</v>
      </c>
      <c r="J1608" s="68">
        <v>0</v>
      </c>
    </row>
    <row r="1609" spans="1:10" ht="14.25" customHeight="1">
      <c r="A1609" s="66" t="s">
        <v>3466</v>
      </c>
      <c r="B1609" s="66" t="s">
        <v>3244</v>
      </c>
      <c r="C1609" s="68">
        <v>0</v>
      </c>
      <c r="D1609" s="68">
        <v>0</v>
      </c>
      <c r="E1609" s="68">
        <v>0</v>
      </c>
      <c r="F1609" s="68">
        <v>0</v>
      </c>
      <c r="G1609" s="68">
        <v>13499.2</v>
      </c>
      <c r="H1609" s="68">
        <v>13499.2</v>
      </c>
      <c r="I1609" s="68">
        <v>0</v>
      </c>
      <c r="J1609" s="68">
        <v>0</v>
      </c>
    </row>
    <row r="1610" spans="1:10" ht="14.25" customHeight="1">
      <c r="A1610" s="66" t="s">
        <v>3467</v>
      </c>
      <c r="B1610" s="66" t="s">
        <v>2798</v>
      </c>
      <c r="C1610" s="68">
        <v>0</v>
      </c>
      <c r="D1610" s="68">
        <v>0</v>
      </c>
      <c r="E1610" s="68">
        <v>192.32999999999993</v>
      </c>
      <c r="F1610" s="68">
        <v>192.32999999999993</v>
      </c>
      <c r="G1610" s="68">
        <v>2356.3099999999995</v>
      </c>
      <c r="H1610" s="68">
        <v>2356.3099999999995</v>
      </c>
      <c r="I1610" s="68">
        <v>0</v>
      </c>
      <c r="J1610" s="68">
        <v>0</v>
      </c>
    </row>
    <row r="1611" spans="1:10" ht="14.25" customHeight="1">
      <c r="A1611" s="66" t="s">
        <v>3468</v>
      </c>
      <c r="B1611" s="66" t="s">
        <v>2724</v>
      </c>
      <c r="C1611" s="68">
        <v>0</v>
      </c>
      <c r="D1611" s="68">
        <v>0</v>
      </c>
      <c r="E1611" s="68">
        <v>240</v>
      </c>
      <c r="F1611" s="68">
        <v>240</v>
      </c>
      <c r="G1611" s="68">
        <v>3140</v>
      </c>
      <c r="H1611" s="68">
        <v>3140</v>
      </c>
      <c r="I1611" s="68">
        <v>0</v>
      </c>
      <c r="J1611" s="68">
        <v>0</v>
      </c>
    </row>
    <row r="1612" spans="1:10" ht="14.25" customHeight="1">
      <c r="A1612" s="66" t="s">
        <v>3469</v>
      </c>
      <c r="B1612" s="66" t="s">
        <v>3236</v>
      </c>
      <c r="C1612" s="68">
        <v>0</v>
      </c>
      <c r="D1612" s="68">
        <v>0</v>
      </c>
      <c r="E1612" s="68">
        <v>0</v>
      </c>
      <c r="F1612" s="68">
        <v>0</v>
      </c>
      <c r="G1612" s="68">
        <v>6620.35</v>
      </c>
      <c r="H1612" s="68">
        <v>6620.35</v>
      </c>
      <c r="I1612" s="68">
        <v>0</v>
      </c>
      <c r="J1612" s="68">
        <v>0</v>
      </c>
    </row>
    <row r="1613" spans="1:10" ht="14.25" customHeight="1">
      <c r="A1613" s="66" t="s">
        <v>3470</v>
      </c>
      <c r="B1613" s="66" t="s">
        <v>2676</v>
      </c>
      <c r="C1613" s="68">
        <v>0</v>
      </c>
      <c r="D1613" s="68">
        <v>0</v>
      </c>
      <c r="E1613" s="68">
        <v>0</v>
      </c>
      <c r="F1613" s="68">
        <v>0</v>
      </c>
      <c r="G1613" s="68">
        <v>1620</v>
      </c>
      <c r="H1613" s="68">
        <v>1620</v>
      </c>
      <c r="I1613" s="68">
        <v>0</v>
      </c>
      <c r="J1613" s="68">
        <v>0</v>
      </c>
    </row>
    <row r="1614" spans="1:10" ht="14.25" customHeight="1">
      <c r="A1614" s="66" t="s">
        <v>3471</v>
      </c>
      <c r="B1614" s="66" t="s">
        <v>2678</v>
      </c>
      <c r="C1614" s="68">
        <v>0</v>
      </c>
      <c r="D1614" s="68">
        <v>0</v>
      </c>
      <c r="E1614" s="68">
        <v>1403.8899999999994</v>
      </c>
      <c r="F1614" s="68">
        <v>1403.8899999999994</v>
      </c>
      <c r="G1614" s="68">
        <v>17256.54</v>
      </c>
      <c r="H1614" s="68">
        <v>17256.54</v>
      </c>
      <c r="I1614" s="68">
        <v>0</v>
      </c>
      <c r="J1614" s="68">
        <v>0</v>
      </c>
    </row>
    <row r="1615" spans="1:10" ht="14.25" customHeight="1">
      <c r="A1615" s="66" t="s">
        <v>3472</v>
      </c>
      <c r="B1615" s="66" t="s">
        <v>2680</v>
      </c>
      <c r="C1615" s="68">
        <v>0</v>
      </c>
      <c r="D1615" s="68">
        <v>0</v>
      </c>
      <c r="E1615" s="68">
        <v>0</v>
      </c>
      <c r="F1615" s="68">
        <v>0</v>
      </c>
      <c r="G1615" s="68">
        <v>155.66</v>
      </c>
      <c r="H1615" s="68">
        <v>155.66</v>
      </c>
      <c r="I1615" s="68">
        <v>0</v>
      </c>
      <c r="J1615" s="68">
        <v>0</v>
      </c>
    </row>
    <row r="1616" spans="1:10" ht="14.25" customHeight="1">
      <c r="A1616" s="66" t="s">
        <v>3473</v>
      </c>
      <c r="B1616" s="66" t="s">
        <v>3241</v>
      </c>
      <c r="C1616" s="68">
        <v>0</v>
      </c>
      <c r="D1616" s="68">
        <v>0</v>
      </c>
      <c r="E1616" s="68">
        <v>0</v>
      </c>
      <c r="F1616" s="68">
        <v>0</v>
      </c>
      <c r="G1616" s="68">
        <v>450</v>
      </c>
      <c r="H1616" s="68">
        <v>450</v>
      </c>
      <c r="I1616" s="68">
        <v>0</v>
      </c>
      <c r="J1616" s="68">
        <v>0</v>
      </c>
    </row>
    <row r="1617" spans="1:10" ht="14.25" customHeight="1">
      <c r="A1617" s="66" t="s">
        <v>3474</v>
      </c>
      <c r="B1617" s="66" t="s">
        <v>2708</v>
      </c>
      <c r="C1617" s="68">
        <v>0</v>
      </c>
      <c r="D1617" s="68">
        <v>0</v>
      </c>
      <c r="E1617" s="68">
        <v>50</v>
      </c>
      <c r="F1617" s="68">
        <v>50</v>
      </c>
      <c r="G1617" s="68">
        <v>600</v>
      </c>
      <c r="H1617" s="68">
        <v>600</v>
      </c>
      <c r="I1617" s="68">
        <v>0</v>
      </c>
      <c r="J1617" s="68">
        <v>0</v>
      </c>
    </row>
    <row r="1618" spans="1:10" ht="14.25" customHeight="1">
      <c r="A1618" s="66" t="s">
        <v>3475</v>
      </c>
      <c r="B1618" s="66" t="s">
        <v>3244</v>
      </c>
      <c r="C1618" s="68">
        <v>0</v>
      </c>
      <c r="D1618" s="68">
        <v>0</v>
      </c>
      <c r="E1618" s="68">
        <v>0</v>
      </c>
      <c r="F1618" s="68">
        <v>0</v>
      </c>
      <c r="G1618" s="68">
        <v>7468.09</v>
      </c>
      <c r="H1618" s="68">
        <v>7468.09</v>
      </c>
      <c r="I1618" s="68">
        <v>0</v>
      </c>
      <c r="J1618" s="68">
        <v>0</v>
      </c>
    </row>
    <row r="1619" spans="1:10" ht="14.25" customHeight="1">
      <c r="A1619" s="66" t="s">
        <v>3476</v>
      </c>
      <c r="B1619" s="66" t="s">
        <v>3246</v>
      </c>
      <c r="C1619" s="68">
        <v>0</v>
      </c>
      <c r="D1619" s="68">
        <v>0</v>
      </c>
      <c r="E1619" s="68">
        <v>95</v>
      </c>
      <c r="F1619" s="68">
        <v>95</v>
      </c>
      <c r="G1619" s="68">
        <v>1140</v>
      </c>
      <c r="H1619" s="68">
        <v>1140</v>
      </c>
      <c r="I1619" s="68">
        <v>0</v>
      </c>
      <c r="J1619" s="68">
        <v>0</v>
      </c>
    </row>
    <row r="1620" spans="1:10" ht="14.25" customHeight="1">
      <c r="A1620" s="66" t="s">
        <v>3477</v>
      </c>
      <c r="B1620" s="66" t="s">
        <v>2798</v>
      </c>
      <c r="C1620" s="68">
        <v>0</v>
      </c>
      <c r="D1620" s="68">
        <v>0</v>
      </c>
      <c r="E1620" s="68">
        <v>267.86999999999989</v>
      </c>
      <c r="F1620" s="68">
        <v>267.86999999999989</v>
      </c>
      <c r="G1620" s="68">
        <v>3213.9999999999995</v>
      </c>
      <c r="H1620" s="68">
        <v>3213.9999999999995</v>
      </c>
      <c r="I1620" s="68">
        <v>0</v>
      </c>
      <c r="J1620" s="68">
        <v>0</v>
      </c>
    </row>
    <row r="1621" spans="1:10" ht="14.25" customHeight="1">
      <c r="A1621" s="66" t="s">
        <v>3478</v>
      </c>
      <c r="B1621" s="66" t="s">
        <v>2688</v>
      </c>
      <c r="C1621" s="68">
        <v>0</v>
      </c>
      <c r="D1621" s="68">
        <v>0</v>
      </c>
      <c r="E1621" s="68">
        <v>0</v>
      </c>
      <c r="F1621" s="68">
        <v>0</v>
      </c>
      <c r="G1621" s="68">
        <v>30</v>
      </c>
      <c r="H1621" s="68">
        <v>30</v>
      </c>
      <c r="I1621" s="68">
        <v>0</v>
      </c>
      <c r="J1621" s="68">
        <v>0</v>
      </c>
    </row>
    <row r="1622" spans="1:10" ht="14.25" customHeight="1">
      <c r="A1622" s="66" t="s">
        <v>3479</v>
      </c>
      <c r="B1622" s="66" t="s">
        <v>2724</v>
      </c>
      <c r="C1622" s="68">
        <v>0</v>
      </c>
      <c r="D1622" s="68">
        <v>0</v>
      </c>
      <c r="E1622" s="68">
        <v>40</v>
      </c>
      <c r="F1622" s="68">
        <v>40</v>
      </c>
      <c r="G1622" s="68">
        <v>1210</v>
      </c>
      <c r="H1622" s="68">
        <v>1210</v>
      </c>
      <c r="I1622" s="68">
        <v>0</v>
      </c>
      <c r="J1622" s="68">
        <v>0</v>
      </c>
    </row>
    <row r="1623" spans="1:10" ht="14.25" customHeight="1">
      <c r="A1623" s="66" t="s">
        <v>3480</v>
      </c>
      <c r="B1623" s="66" t="s">
        <v>3236</v>
      </c>
      <c r="C1623" s="68">
        <v>0</v>
      </c>
      <c r="D1623" s="68">
        <v>0</v>
      </c>
      <c r="E1623" s="68">
        <v>21812.79</v>
      </c>
      <c r="F1623" s="68">
        <v>21812.79</v>
      </c>
      <c r="G1623" s="68">
        <v>39959.78</v>
      </c>
      <c r="H1623" s="68">
        <v>39959.78</v>
      </c>
      <c r="I1623" s="68">
        <v>0</v>
      </c>
      <c r="J1623" s="68">
        <v>0</v>
      </c>
    </row>
    <row r="1624" spans="1:10" ht="14.25" customHeight="1">
      <c r="A1624" s="66" t="s">
        <v>3481</v>
      </c>
      <c r="B1624" s="66" t="s">
        <v>2676</v>
      </c>
      <c r="C1624" s="68">
        <v>0</v>
      </c>
      <c r="D1624" s="68">
        <v>0</v>
      </c>
      <c r="E1624" s="68">
        <v>0</v>
      </c>
      <c r="F1624" s="68">
        <v>0</v>
      </c>
      <c r="G1624" s="68">
        <v>5920</v>
      </c>
      <c r="H1624" s="68">
        <v>5920</v>
      </c>
      <c r="I1624" s="68">
        <v>0</v>
      </c>
      <c r="J1624" s="68">
        <v>0</v>
      </c>
    </row>
    <row r="1625" spans="1:10" ht="14.25" customHeight="1">
      <c r="A1625" s="66" t="s">
        <v>3482</v>
      </c>
      <c r="B1625" s="66" t="s">
        <v>2678</v>
      </c>
      <c r="C1625" s="68">
        <v>0</v>
      </c>
      <c r="D1625" s="68">
        <v>0</v>
      </c>
      <c r="E1625" s="68">
        <v>716.72000000000116</v>
      </c>
      <c r="F1625" s="68">
        <v>716.72000000000116</v>
      </c>
      <c r="G1625" s="68">
        <v>45980.54</v>
      </c>
      <c r="H1625" s="68">
        <v>45980.54</v>
      </c>
      <c r="I1625" s="68">
        <v>0</v>
      </c>
      <c r="J1625" s="68">
        <v>0</v>
      </c>
    </row>
    <row r="1626" spans="1:10" ht="14.25" customHeight="1">
      <c r="A1626" s="66" t="s">
        <v>3483</v>
      </c>
      <c r="B1626" s="66" t="s">
        <v>2680</v>
      </c>
      <c r="C1626" s="68">
        <v>0</v>
      </c>
      <c r="D1626" s="68">
        <v>0</v>
      </c>
      <c r="E1626" s="68">
        <v>920</v>
      </c>
      <c r="F1626" s="68">
        <v>920</v>
      </c>
      <c r="G1626" s="68">
        <v>2539.0300000000002</v>
      </c>
      <c r="H1626" s="68">
        <v>2539.0300000000002</v>
      </c>
      <c r="I1626" s="68">
        <v>0</v>
      </c>
      <c r="J1626" s="68">
        <v>0</v>
      </c>
    </row>
    <row r="1627" spans="1:10" ht="14.25" customHeight="1">
      <c r="A1627" s="66" t="s">
        <v>3484</v>
      </c>
      <c r="B1627" s="66" t="s">
        <v>3241</v>
      </c>
      <c r="C1627" s="68">
        <v>0</v>
      </c>
      <c r="D1627" s="68">
        <v>0</v>
      </c>
      <c r="E1627" s="68">
        <v>0</v>
      </c>
      <c r="F1627" s="68">
        <v>0</v>
      </c>
      <c r="G1627" s="68">
        <v>650</v>
      </c>
      <c r="H1627" s="68">
        <v>650</v>
      </c>
      <c r="I1627" s="68">
        <v>0</v>
      </c>
      <c r="J1627" s="68">
        <v>0</v>
      </c>
    </row>
    <row r="1628" spans="1:10" ht="14.25" customHeight="1">
      <c r="A1628" s="66" t="s">
        <v>3485</v>
      </c>
      <c r="B1628" s="66" t="s">
        <v>2708</v>
      </c>
      <c r="C1628" s="68">
        <v>0</v>
      </c>
      <c r="D1628" s="68">
        <v>0</v>
      </c>
      <c r="E1628" s="68">
        <v>50</v>
      </c>
      <c r="F1628" s="68">
        <v>50</v>
      </c>
      <c r="G1628" s="68">
        <v>600</v>
      </c>
      <c r="H1628" s="68">
        <v>600</v>
      </c>
      <c r="I1628" s="68">
        <v>0</v>
      </c>
      <c r="J1628" s="68">
        <v>0</v>
      </c>
    </row>
    <row r="1629" spans="1:10" ht="14.25" customHeight="1">
      <c r="A1629" s="66" t="s">
        <v>3486</v>
      </c>
      <c r="B1629" s="66" t="s">
        <v>3244</v>
      </c>
      <c r="C1629" s="68">
        <v>0</v>
      </c>
      <c r="D1629" s="68">
        <v>0</v>
      </c>
      <c r="E1629" s="68">
        <v>12154.999999999998</v>
      </c>
      <c r="F1629" s="68">
        <v>12154.999999999998</v>
      </c>
      <c r="G1629" s="68">
        <v>24965.919999999998</v>
      </c>
      <c r="H1629" s="68">
        <v>24965.919999999998</v>
      </c>
      <c r="I1629" s="68">
        <v>0</v>
      </c>
      <c r="J1629" s="68">
        <v>0</v>
      </c>
    </row>
    <row r="1630" spans="1:10" ht="14.25" customHeight="1">
      <c r="A1630" s="66" t="s">
        <v>3487</v>
      </c>
      <c r="B1630" s="66" t="s">
        <v>3246</v>
      </c>
      <c r="C1630" s="68">
        <v>0</v>
      </c>
      <c r="D1630" s="68">
        <v>0</v>
      </c>
      <c r="E1630" s="68">
        <v>187</v>
      </c>
      <c r="F1630" s="68">
        <v>187</v>
      </c>
      <c r="G1630" s="68">
        <v>2244</v>
      </c>
      <c r="H1630" s="68">
        <v>2244</v>
      </c>
      <c r="I1630" s="68">
        <v>0</v>
      </c>
      <c r="J1630" s="68">
        <v>0</v>
      </c>
    </row>
    <row r="1631" spans="1:10" ht="14.25" customHeight="1">
      <c r="A1631" s="66" t="s">
        <v>3488</v>
      </c>
      <c r="B1631" s="66" t="s">
        <v>2798</v>
      </c>
      <c r="C1631" s="68">
        <v>0</v>
      </c>
      <c r="D1631" s="68">
        <v>0</v>
      </c>
      <c r="E1631" s="68">
        <v>318.25</v>
      </c>
      <c r="F1631" s="68">
        <v>318.25</v>
      </c>
      <c r="G1631" s="68">
        <v>3851.25</v>
      </c>
      <c r="H1631" s="68">
        <v>3851.25</v>
      </c>
      <c r="I1631" s="68">
        <v>0</v>
      </c>
      <c r="J1631" s="68">
        <v>0</v>
      </c>
    </row>
    <row r="1632" spans="1:10" ht="14.25" customHeight="1">
      <c r="A1632" s="66" t="s">
        <v>3489</v>
      </c>
      <c r="B1632" s="66" t="s">
        <v>2724</v>
      </c>
      <c r="C1632" s="68">
        <v>0</v>
      </c>
      <c r="D1632" s="68">
        <v>0</v>
      </c>
      <c r="E1632" s="68">
        <v>240</v>
      </c>
      <c r="F1632" s="68">
        <v>240</v>
      </c>
      <c r="G1632" s="68">
        <v>3730</v>
      </c>
      <c r="H1632" s="68">
        <v>3730</v>
      </c>
      <c r="I1632" s="68">
        <v>0</v>
      </c>
      <c r="J1632" s="68">
        <v>0</v>
      </c>
    </row>
    <row r="1633" spans="1:10" ht="14.25" customHeight="1">
      <c r="A1633" s="66" t="s">
        <v>3490</v>
      </c>
      <c r="B1633" s="66" t="s">
        <v>3236</v>
      </c>
      <c r="C1633" s="68">
        <v>0</v>
      </c>
      <c r="D1633" s="68">
        <v>0</v>
      </c>
      <c r="E1633" s="68">
        <v>6803.3600000000006</v>
      </c>
      <c r="F1633" s="68">
        <v>6803.3600000000006</v>
      </c>
      <c r="G1633" s="68">
        <v>36879.9</v>
      </c>
      <c r="H1633" s="68">
        <v>36879.9</v>
      </c>
      <c r="I1633" s="68">
        <v>0</v>
      </c>
      <c r="J1633" s="68">
        <v>0</v>
      </c>
    </row>
    <row r="1634" spans="1:10" ht="14.25" customHeight="1">
      <c r="A1634" s="66" t="s">
        <v>3491</v>
      </c>
      <c r="B1634" s="66" t="s">
        <v>2676</v>
      </c>
      <c r="C1634" s="68">
        <v>0</v>
      </c>
      <c r="D1634" s="68">
        <v>0</v>
      </c>
      <c r="E1634" s="68">
        <v>1840</v>
      </c>
      <c r="F1634" s="68">
        <v>1840</v>
      </c>
      <c r="G1634" s="68">
        <v>5290</v>
      </c>
      <c r="H1634" s="68">
        <v>5290</v>
      </c>
      <c r="I1634" s="68">
        <v>0</v>
      </c>
      <c r="J1634" s="68">
        <v>0</v>
      </c>
    </row>
    <row r="1635" spans="1:10" ht="14.25" customHeight="1">
      <c r="A1635" s="66" t="s">
        <v>3492</v>
      </c>
      <c r="B1635" s="66" t="s">
        <v>2678</v>
      </c>
      <c r="C1635" s="68">
        <v>0</v>
      </c>
      <c r="D1635" s="68">
        <v>0</v>
      </c>
      <c r="E1635" s="68">
        <v>2868.0400000000009</v>
      </c>
      <c r="F1635" s="68">
        <v>2868.0400000000009</v>
      </c>
      <c r="G1635" s="68">
        <v>26752.43</v>
      </c>
      <c r="H1635" s="68">
        <v>26752.43</v>
      </c>
      <c r="I1635" s="68">
        <v>0</v>
      </c>
      <c r="J1635" s="68">
        <v>0</v>
      </c>
    </row>
    <row r="1636" spans="1:10" ht="14.25" customHeight="1">
      <c r="A1636" s="66" t="s">
        <v>3493</v>
      </c>
      <c r="B1636" s="66" t="s">
        <v>2680</v>
      </c>
      <c r="C1636" s="68">
        <v>0</v>
      </c>
      <c r="D1636" s="68">
        <v>0</v>
      </c>
      <c r="E1636" s="68">
        <v>28</v>
      </c>
      <c r="F1636" s="68">
        <v>28</v>
      </c>
      <c r="G1636" s="68">
        <v>1684.02</v>
      </c>
      <c r="H1636" s="68">
        <v>1684.02</v>
      </c>
      <c r="I1636" s="68">
        <v>0</v>
      </c>
      <c r="J1636" s="68">
        <v>0</v>
      </c>
    </row>
    <row r="1637" spans="1:10" ht="14.25" customHeight="1">
      <c r="A1637" s="66" t="s">
        <v>3494</v>
      </c>
      <c r="B1637" s="66" t="s">
        <v>3241</v>
      </c>
      <c r="C1637" s="68">
        <v>0</v>
      </c>
      <c r="D1637" s="68">
        <v>0</v>
      </c>
      <c r="E1637" s="68">
        <v>0</v>
      </c>
      <c r="F1637" s="68">
        <v>0</v>
      </c>
      <c r="G1637" s="68">
        <v>650</v>
      </c>
      <c r="H1637" s="68">
        <v>650</v>
      </c>
      <c r="I1637" s="68">
        <v>0</v>
      </c>
      <c r="J1637" s="68">
        <v>0</v>
      </c>
    </row>
    <row r="1638" spans="1:10" ht="14.25" customHeight="1">
      <c r="A1638" s="66" t="s">
        <v>3495</v>
      </c>
      <c r="B1638" s="66" t="s">
        <v>2708</v>
      </c>
      <c r="C1638" s="68">
        <v>0</v>
      </c>
      <c r="D1638" s="68">
        <v>0</v>
      </c>
      <c r="E1638" s="68">
        <v>50</v>
      </c>
      <c r="F1638" s="68">
        <v>50</v>
      </c>
      <c r="G1638" s="68">
        <v>600</v>
      </c>
      <c r="H1638" s="68">
        <v>600</v>
      </c>
      <c r="I1638" s="68">
        <v>0</v>
      </c>
      <c r="J1638" s="68">
        <v>0</v>
      </c>
    </row>
    <row r="1639" spans="1:10" ht="14.25" customHeight="1">
      <c r="A1639" s="66" t="s">
        <v>3496</v>
      </c>
      <c r="B1639" s="66" t="s">
        <v>3244</v>
      </c>
      <c r="C1639" s="68">
        <v>0</v>
      </c>
      <c r="D1639" s="68">
        <v>0</v>
      </c>
      <c r="E1639" s="68">
        <v>5146.43</v>
      </c>
      <c r="F1639" s="68">
        <v>5146.43</v>
      </c>
      <c r="G1639" s="68">
        <v>20394.25</v>
      </c>
      <c r="H1639" s="68">
        <v>20394.25</v>
      </c>
      <c r="I1639" s="68">
        <v>0</v>
      </c>
      <c r="J1639" s="68">
        <v>0</v>
      </c>
    </row>
    <row r="1640" spans="1:10" ht="14.25" customHeight="1">
      <c r="A1640" s="66" t="s">
        <v>3497</v>
      </c>
      <c r="B1640" s="66" t="s">
        <v>3246</v>
      </c>
      <c r="C1640" s="68">
        <v>0</v>
      </c>
      <c r="D1640" s="68">
        <v>0</v>
      </c>
      <c r="E1640" s="68">
        <v>95</v>
      </c>
      <c r="F1640" s="68">
        <v>95</v>
      </c>
      <c r="G1640" s="68">
        <v>1140</v>
      </c>
      <c r="H1640" s="68">
        <v>1140</v>
      </c>
      <c r="I1640" s="68">
        <v>0</v>
      </c>
      <c r="J1640" s="68">
        <v>0</v>
      </c>
    </row>
    <row r="1641" spans="1:10" ht="14.25" customHeight="1">
      <c r="A1641" s="66" t="s">
        <v>3498</v>
      </c>
      <c r="B1641" s="66" t="s">
        <v>2798</v>
      </c>
      <c r="C1641" s="68">
        <v>0</v>
      </c>
      <c r="D1641" s="68">
        <v>0</v>
      </c>
      <c r="E1641" s="68">
        <v>165</v>
      </c>
      <c r="F1641" s="68">
        <v>165</v>
      </c>
      <c r="G1641" s="68">
        <v>1980</v>
      </c>
      <c r="H1641" s="68">
        <v>1980</v>
      </c>
      <c r="I1641" s="68">
        <v>0</v>
      </c>
      <c r="J1641" s="68">
        <v>0</v>
      </c>
    </row>
    <row r="1642" spans="1:10" ht="14.25" customHeight="1">
      <c r="A1642" s="66" t="s">
        <v>3499</v>
      </c>
      <c r="B1642" s="66" t="s">
        <v>2688</v>
      </c>
      <c r="C1642" s="68">
        <v>0</v>
      </c>
      <c r="D1642" s="68">
        <v>0</v>
      </c>
      <c r="E1642" s="68">
        <v>0</v>
      </c>
      <c r="F1642" s="68">
        <v>0</v>
      </c>
      <c r="G1642" s="68">
        <v>30</v>
      </c>
      <c r="H1642" s="68">
        <v>30</v>
      </c>
      <c r="I1642" s="68">
        <v>0</v>
      </c>
      <c r="J1642" s="68">
        <v>0</v>
      </c>
    </row>
    <row r="1643" spans="1:10" ht="14.25" customHeight="1">
      <c r="A1643" s="66" t="s">
        <v>3500</v>
      </c>
      <c r="B1643" s="66" t="s">
        <v>2724</v>
      </c>
      <c r="C1643" s="68">
        <v>0</v>
      </c>
      <c r="D1643" s="68">
        <v>0</v>
      </c>
      <c r="E1643" s="68">
        <v>240</v>
      </c>
      <c r="F1643" s="68">
        <v>240</v>
      </c>
      <c r="G1643" s="68">
        <v>3330</v>
      </c>
      <c r="H1643" s="68">
        <v>3330</v>
      </c>
      <c r="I1643" s="68">
        <v>0</v>
      </c>
      <c r="J1643" s="68">
        <v>0</v>
      </c>
    </row>
    <row r="1644" spans="1:10" ht="14.25" customHeight="1">
      <c r="A1644" s="66" t="s">
        <v>3501</v>
      </c>
      <c r="B1644" s="66" t="s">
        <v>3236</v>
      </c>
      <c r="C1644" s="68">
        <v>0</v>
      </c>
      <c r="D1644" s="68">
        <v>0</v>
      </c>
      <c r="E1644" s="68">
        <v>561.97000000000025</v>
      </c>
      <c r="F1644" s="68">
        <v>561.97000000000025</v>
      </c>
      <c r="G1644" s="68">
        <v>4002.9700000000003</v>
      </c>
      <c r="H1644" s="68">
        <v>4002.9700000000003</v>
      </c>
      <c r="I1644" s="68">
        <v>0</v>
      </c>
      <c r="J1644" s="68">
        <v>0</v>
      </c>
    </row>
    <row r="1645" spans="1:10" ht="14.25" customHeight="1">
      <c r="A1645" s="66" t="s">
        <v>3502</v>
      </c>
      <c r="B1645" s="66" t="s">
        <v>2676</v>
      </c>
      <c r="C1645" s="68">
        <v>0</v>
      </c>
      <c r="D1645" s="68">
        <v>0</v>
      </c>
      <c r="E1645" s="68">
        <v>0</v>
      </c>
      <c r="F1645" s="68">
        <v>0</v>
      </c>
      <c r="G1645" s="68">
        <v>2698</v>
      </c>
      <c r="H1645" s="68">
        <v>2698</v>
      </c>
      <c r="I1645" s="68">
        <v>0</v>
      </c>
      <c r="J1645" s="68">
        <v>0</v>
      </c>
    </row>
    <row r="1646" spans="1:10" ht="14.25" customHeight="1">
      <c r="A1646" s="66" t="s">
        <v>3503</v>
      </c>
      <c r="B1646" s="66" t="s">
        <v>2678</v>
      </c>
      <c r="C1646" s="68">
        <v>0</v>
      </c>
      <c r="D1646" s="68">
        <v>0</v>
      </c>
      <c r="E1646" s="68">
        <v>1923.0800000000017</v>
      </c>
      <c r="F1646" s="68">
        <v>1923.0800000000017</v>
      </c>
      <c r="G1646" s="68">
        <v>38968.519999999997</v>
      </c>
      <c r="H1646" s="68">
        <v>38968.519999999997</v>
      </c>
      <c r="I1646" s="68">
        <v>0</v>
      </c>
      <c r="J1646" s="68">
        <v>0</v>
      </c>
    </row>
    <row r="1647" spans="1:10" ht="14.25" customHeight="1">
      <c r="A1647" s="66" t="s">
        <v>3504</v>
      </c>
      <c r="B1647" s="66" t="s">
        <v>2680</v>
      </c>
      <c r="C1647" s="68">
        <v>0</v>
      </c>
      <c r="D1647" s="68">
        <v>0</v>
      </c>
      <c r="E1647" s="68">
        <v>22.5</v>
      </c>
      <c r="F1647" s="68">
        <v>22.5</v>
      </c>
      <c r="G1647" s="68">
        <v>1016.49</v>
      </c>
      <c r="H1647" s="68">
        <v>1016.49</v>
      </c>
      <c r="I1647" s="68">
        <v>0</v>
      </c>
      <c r="J1647" s="68">
        <v>0</v>
      </c>
    </row>
    <row r="1648" spans="1:10" ht="14.25" customHeight="1">
      <c r="A1648" s="66" t="s">
        <v>3505</v>
      </c>
      <c r="B1648" s="66" t="s">
        <v>3241</v>
      </c>
      <c r="C1648" s="68">
        <v>0</v>
      </c>
      <c r="D1648" s="68">
        <v>0</v>
      </c>
      <c r="E1648" s="68">
        <v>50</v>
      </c>
      <c r="F1648" s="68">
        <v>50</v>
      </c>
      <c r="G1648" s="68">
        <v>250</v>
      </c>
      <c r="H1648" s="68">
        <v>250</v>
      </c>
      <c r="I1648" s="68">
        <v>0</v>
      </c>
      <c r="J1648" s="68">
        <v>0</v>
      </c>
    </row>
    <row r="1649" spans="1:10" ht="14.25" customHeight="1">
      <c r="A1649" s="66" t="s">
        <v>3506</v>
      </c>
      <c r="B1649" s="66" t="s">
        <v>2708</v>
      </c>
      <c r="C1649" s="68">
        <v>0</v>
      </c>
      <c r="D1649" s="68">
        <v>0</v>
      </c>
      <c r="E1649" s="68">
        <v>65</v>
      </c>
      <c r="F1649" s="68">
        <v>65</v>
      </c>
      <c r="G1649" s="68">
        <v>780</v>
      </c>
      <c r="H1649" s="68">
        <v>780</v>
      </c>
      <c r="I1649" s="68">
        <v>0</v>
      </c>
      <c r="J1649" s="68">
        <v>0</v>
      </c>
    </row>
    <row r="1650" spans="1:10" ht="14.25" customHeight="1">
      <c r="A1650" s="66" t="s">
        <v>3507</v>
      </c>
      <c r="B1650" s="66" t="s">
        <v>3244</v>
      </c>
      <c r="C1650" s="68">
        <v>0</v>
      </c>
      <c r="D1650" s="68">
        <v>0</v>
      </c>
      <c r="E1650" s="68">
        <v>811.00000000000011</v>
      </c>
      <c r="F1650" s="68">
        <v>811</v>
      </c>
      <c r="G1650" s="68">
        <v>1739.92</v>
      </c>
      <c r="H1650" s="68">
        <v>1739.92</v>
      </c>
      <c r="I1650" s="68">
        <v>0</v>
      </c>
      <c r="J1650" s="68">
        <v>0</v>
      </c>
    </row>
    <row r="1651" spans="1:10" ht="14.25" customHeight="1">
      <c r="A1651" s="66" t="s">
        <v>3508</v>
      </c>
      <c r="B1651" s="66" t="s">
        <v>3246</v>
      </c>
      <c r="C1651" s="68">
        <v>0</v>
      </c>
      <c r="D1651" s="68">
        <v>0</v>
      </c>
      <c r="E1651" s="68">
        <v>138</v>
      </c>
      <c r="F1651" s="68">
        <v>138</v>
      </c>
      <c r="G1651" s="68">
        <v>1656</v>
      </c>
      <c r="H1651" s="68">
        <v>1656</v>
      </c>
      <c r="I1651" s="68">
        <v>0</v>
      </c>
      <c r="J1651" s="68">
        <v>0</v>
      </c>
    </row>
    <row r="1652" spans="1:10" ht="14.25" customHeight="1">
      <c r="A1652" s="66" t="s">
        <v>3509</v>
      </c>
      <c r="B1652" s="66" t="s">
        <v>2798</v>
      </c>
      <c r="C1652" s="68">
        <v>0</v>
      </c>
      <c r="D1652" s="68">
        <v>0</v>
      </c>
      <c r="E1652" s="68">
        <v>490.15999999999985</v>
      </c>
      <c r="F1652" s="68">
        <v>490.15999999999985</v>
      </c>
      <c r="G1652" s="68">
        <v>5850.83</v>
      </c>
      <c r="H1652" s="68">
        <v>5850.83</v>
      </c>
      <c r="I1652" s="68">
        <v>0</v>
      </c>
      <c r="J1652" s="68">
        <v>0</v>
      </c>
    </row>
    <row r="1653" spans="1:10" ht="14.25" customHeight="1">
      <c r="A1653" s="66" t="s">
        <v>3510</v>
      </c>
      <c r="B1653" s="66" t="s">
        <v>2688</v>
      </c>
      <c r="C1653" s="68">
        <v>0</v>
      </c>
      <c r="D1653" s="68">
        <v>0</v>
      </c>
      <c r="E1653" s="68">
        <v>15.219999999999999</v>
      </c>
      <c r="F1653" s="68">
        <v>15.219999999999999</v>
      </c>
      <c r="G1653" s="68">
        <v>40.22</v>
      </c>
      <c r="H1653" s="68">
        <v>40.22</v>
      </c>
      <c r="I1653" s="68">
        <v>0</v>
      </c>
      <c r="J1653" s="68">
        <v>0</v>
      </c>
    </row>
    <row r="1654" spans="1:10" ht="14.25" customHeight="1">
      <c r="A1654" s="66" t="s">
        <v>3511</v>
      </c>
      <c r="B1654" s="66" t="s">
        <v>2724</v>
      </c>
      <c r="C1654" s="68">
        <v>0</v>
      </c>
      <c r="D1654" s="68">
        <v>0</v>
      </c>
      <c r="E1654" s="68">
        <v>0</v>
      </c>
      <c r="F1654" s="68">
        <v>0</v>
      </c>
      <c r="G1654" s="68">
        <v>450</v>
      </c>
      <c r="H1654" s="68">
        <v>450</v>
      </c>
      <c r="I1654" s="68">
        <v>0</v>
      </c>
      <c r="J1654" s="68">
        <v>0</v>
      </c>
    </row>
    <row r="1655" spans="1:10" ht="14.25" customHeight="1">
      <c r="A1655" s="66" t="s">
        <v>3512</v>
      </c>
      <c r="B1655" s="66" t="s">
        <v>3236</v>
      </c>
      <c r="C1655" s="68">
        <v>0</v>
      </c>
      <c r="D1655" s="68">
        <v>0</v>
      </c>
      <c r="E1655" s="68">
        <v>355.31999999999994</v>
      </c>
      <c r="F1655" s="68">
        <v>355.31999999999994</v>
      </c>
      <c r="G1655" s="68">
        <v>632.31999999999994</v>
      </c>
      <c r="H1655" s="68">
        <v>632.31999999999994</v>
      </c>
      <c r="I1655" s="68">
        <v>0</v>
      </c>
      <c r="J1655" s="68">
        <v>0</v>
      </c>
    </row>
    <row r="1656" spans="1:10" ht="14.25" customHeight="1">
      <c r="A1656" s="66" t="s">
        <v>3513</v>
      </c>
      <c r="B1656" s="66" t="s">
        <v>3241</v>
      </c>
      <c r="C1656" s="68">
        <v>0</v>
      </c>
      <c r="D1656" s="68">
        <v>0</v>
      </c>
      <c r="E1656" s="68">
        <v>50</v>
      </c>
      <c r="F1656" s="68">
        <v>50</v>
      </c>
      <c r="G1656" s="68">
        <v>350</v>
      </c>
      <c r="H1656" s="68">
        <v>350</v>
      </c>
      <c r="I1656" s="68">
        <v>0</v>
      </c>
      <c r="J1656" s="68">
        <v>0</v>
      </c>
    </row>
    <row r="1657" spans="1:10" ht="14.25" customHeight="1">
      <c r="A1657" s="66" t="s">
        <v>3514</v>
      </c>
      <c r="B1657" s="66" t="s">
        <v>3244</v>
      </c>
      <c r="C1657" s="68">
        <v>0</v>
      </c>
      <c r="D1657" s="68">
        <v>0</v>
      </c>
      <c r="E1657" s="68">
        <v>1000</v>
      </c>
      <c r="F1657" s="68">
        <v>1000</v>
      </c>
      <c r="G1657" s="68">
        <v>2575.9</v>
      </c>
      <c r="H1657" s="68">
        <v>2575.9</v>
      </c>
      <c r="I1657" s="68">
        <v>0</v>
      </c>
      <c r="J1657" s="68">
        <v>0</v>
      </c>
    </row>
    <row r="1658" spans="1:10" ht="14.25" customHeight="1">
      <c r="A1658" s="66" t="s">
        <v>3515</v>
      </c>
      <c r="B1658" s="66" t="s">
        <v>3246</v>
      </c>
      <c r="C1658" s="68">
        <v>0</v>
      </c>
      <c r="D1658" s="68">
        <v>0</v>
      </c>
      <c r="E1658" s="68">
        <v>93</v>
      </c>
      <c r="F1658" s="68">
        <v>93</v>
      </c>
      <c r="G1658" s="68">
        <v>1116</v>
      </c>
      <c r="H1658" s="68">
        <v>1116</v>
      </c>
      <c r="I1658" s="68">
        <v>0</v>
      </c>
      <c r="J1658" s="68">
        <v>0</v>
      </c>
    </row>
    <row r="1659" spans="1:10" ht="14.25" customHeight="1">
      <c r="A1659" s="66" t="s">
        <v>3516</v>
      </c>
      <c r="B1659" s="66" t="s">
        <v>2798</v>
      </c>
      <c r="C1659" s="68">
        <v>0</v>
      </c>
      <c r="D1659" s="68">
        <v>0</v>
      </c>
      <c r="E1659" s="68">
        <v>171.91000000000008</v>
      </c>
      <c r="F1659" s="68">
        <v>171.91000000000008</v>
      </c>
      <c r="G1659" s="68">
        <v>2041.0000000000002</v>
      </c>
      <c r="H1659" s="68">
        <v>2041.0000000000002</v>
      </c>
      <c r="I1659" s="68">
        <v>0</v>
      </c>
      <c r="J1659" s="68">
        <v>0</v>
      </c>
    </row>
    <row r="1660" spans="1:10" ht="14.25" customHeight="1">
      <c r="A1660" s="66" t="s">
        <v>3517</v>
      </c>
      <c r="B1660" s="66" t="s">
        <v>2688</v>
      </c>
      <c r="C1660" s="68">
        <v>0</v>
      </c>
      <c r="D1660" s="68">
        <v>0</v>
      </c>
      <c r="E1660" s="68">
        <v>0</v>
      </c>
      <c r="F1660" s="68">
        <v>0</v>
      </c>
      <c r="G1660" s="68">
        <v>260.85000000000002</v>
      </c>
      <c r="H1660" s="68">
        <v>260.85000000000002</v>
      </c>
      <c r="I1660" s="68">
        <v>0</v>
      </c>
      <c r="J1660" s="68">
        <v>0</v>
      </c>
    </row>
    <row r="1661" spans="1:10" ht="14.25" customHeight="1">
      <c r="A1661" s="66" t="s">
        <v>3518</v>
      </c>
      <c r="B1661" s="66" t="s">
        <v>3236</v>
      </c>
      <c r="C1661" s="68">
        <v>0</v>
      </c>
      <c r="D1661" s="68">
        <v>0</v>
      </c>
      <c r="E1661" s="68">
        <v>1090.3099999999995</v>
      </c>
      <c r="F1661" s="68">
        <v>1090.3099999999995</v>
      </c>
      <c r="G1661" s="68">
        <v>14647.199999999999</v>
      </c>
      <c r="H1661" s="68">
        <v>14647.199999999999</v>
      </c>
      <c r="I1661" s="68">
        <v>0</v>
      </c>
      <c r="J1661" s="68">
        <v>0</v>
      </c>
    </row>
    <row r="1662" spans="1:10" ht="14.25" customHeight="1">
      <c r="A1662" s="66" t="s">
        <v>3519</v>
      </c>
      <c r="B1662" s="66" t="s">
        <v>2676</v>
      </c>
      <c r="C1662" s="68">
        <v>0</v>
      </c>
      <c r="D1662" s="68">
        <v>0</v>
      </c>
      <c r="E1662" s="68">
        <v>0</v>
      </c>
      <c r="F1662" s="68">
        <v>0</v>
      </c>
      <c r="G1662" s="68">
        <v>4540</v>
      </c>
      <c r="H1662" s="68">
        <v>4540</v>
      </c>
      <c r="I1662" s="68">
        <v>0</v>
      </c>
      <c r="J1662" s="68">
        <v>0</v>
      </c>
    </row>
    <row r="1663" spans="1:10" ht="14.25" customHeight="1">
      <c r="A1663" s="66" t="s">
        <v>3520</v>
      </c>
      <c r="B1663" s="66" t="s">
        <v>2678</v>
      </c>
      <c r="C1663" s="68">
        <v>0</v>
      </c>
      <c r="D1663" s="68">
        <v>0</v>
      </c>
      <c r="E1663" s="68">
        <v>4501.6599999999962</v>
      </c>
      <c r="F1663" s="68">
        <v>4501.6599999999962</v>
      </c>
      <c r="G1663" s="68">
        <v>45536.179999999993</v>
      </c>
      <c r="H1663" s="68">
        <v>45536.179999999993</v>
      </c>
      <c r="I1663" s="68">
        <v>0</v>
      </c>
      <c r="J1663" s="68">
        <v>0</v>
      </c>
    </row>
    <row r="1664" spans="1:10" ht="14.25" customHeight="1">
      <c r="A1664" s="66" t="s">
        <v>3521</v>
      </c>
      <c r="B1664" s="66" t="s">
        <v>2680</v>
      </c>
      <c r="C1664" s="68">
        <v>0</v>
      </c>
      <c r="D1664" s="68">
        <v>0</v>
      </c>
      <c r="E1664" s="68">
        <v>141.24</v>
      </c>
      <c r="F1664" s="68">
        <v>141.24</v>
      </c>
      <c r="G1664" s="68">
        <v>1471.27</v>
      </c>
      <c r="H1664" s="68">
        <v>1471.27</v>
      </c>
      <c r="I1664" s="68">
        <v>0</v>
      </c>
      <c r="J1664" s="68">
        <v>0</v>
      </c>
    </row>
    <row r="1665" spans="1:10" ht="14.25" customHeight="1">
      <c r="A1665" s="66" t="s">
        <v>3522</v>
      </c>
      <c r="B1665" s="66" t="s">
        <v>3241</v>
      </c>
      <c r="C1665" s="68">
        <v>0</v>
      </c>
      <c r="D1665" s="68">
        <v>0</v>
      </c>
      <c r="E1665" s="68">
        <v>130</v>
      </c>
      <c r="F1665" s="68">
        <v>130</v>
      </c>
      <c r="G1665" s="68">
        <v>1300</v>
      </c>
      <c r="H1665" s="68">
        <v>1300</v>
      </c>
      <c r="I1665" s="68">
        <v>0</v>
      </c>
      <c r="J1665" s="68">
        <v>0</v>
      </c>
    </row>
    <row r="1666" spans="1:10" ht="14.25" customHeight="1">
      <c r="A1666" s="66" t="s">
        <v>3523</v>
      </c>
      <c r="B1666" s="66" t="s">
        <v>2708</v>
      </c>
      <c r="C1666" s="68">
        <v>0</v>
      </c>
      <c r="D1666" s="68">
        <v>0</v>
      </c>
      <c r="E1666" s="68">
        <v>65</v>
      </c>
      <c r="F1666" s="68">
        <v>65</v>
      </c>
      <c r="G1666" s="68">
        <v>780</v>
      </c>
      <c r="H1666" s="68">
        <v>780</v>
      </c>
      <c r="I1666" s="68">
        <v>0</v>
      </c>
      <c r="J1666" s="68">
        <v>0</v>
      </c>
    </row>
    <row r="1667" spans="1:10" ht="14.25" customHeight="1">
      <c r="A1667" s="66" t="s">
        <v>3524</v>
      </c>
      <c r="B1667" s="66" t="s">
        <v>3244</v>
      </c>
      <c r="C1667" s="68">
        <v>0</v>
      </c>
      <c r="D1667" s="68">
        <v>0</v>
      </c>
      <c r="E1667" s="68">
        <v>910</v>
      </c>
      <c r="F1667" s="68">
        <v>910</v>
      </c>
      <c r="G1667" s="68">
        <v>13632.099999999999</v>
      </c>
      <c r="H1667" s="68">
        <v>13632.099999999999</v>
      </c>
      <c r="I1667" s="68">
        <v>0</v>
      </c>
      <c r="J1667" s="68">
        <v>0</v>
      </c>
    </row>
    <row r="1668" spans="1:10" ht="14.25" customHeight="1">
      <c r="A1668" s="66" t="s">
        <v>3525</v>
      </c>
      <c r="B1668" s="66" t="s">
        <v>2798</v>
      </c>
      <c r="C1668" s="68">
        <v>0</v>
      </c>
      <c r="D1668" s="68">
        <v>0</v>
      </c>
      <c r="E1668" s="68">
        <v>415.25</v>
      </c>
      <c r="F1668" s="68">
        <v>415.25</v>
      </c>
      <c r="G1668" s="68">
        <v>5096.75</v>
      </c>
      <c r="H1668" s="68">
        <v>5096.75</v>
      </c>
      <c r="I1668" s="68">
        <v>0</v>
      </c>
      <c r="J1668" s="68">
        <v>0</v>
      </c>
    </row>
    <row r="1669" spans="1:10" ht="14.25" customHeight="1">
      <c r="A1669" s="66" t="s">
        <v>3526</v>
      </c>
      <c r="B1669" s="66" t="s">
        <v>2724</v>
      </c>
      <c r="C1669" s="68">
        <v>0</v>
      </c>
      <c r="D1669" s="68">
        <v>0</v>
      </c>
      <c r="E1669" s="68">
        <v>240</v>
      </c>
      <c r="F1669" s="68">
        <v>240</v>
      </c>
      <c r="G1669" s="68">
        <v>3270</v>
      </c>
      <c r="H1669" s="68">
        <v>3270</v>
      </c>
      <c r="I1669" s="68">
        <v>0</v>
      </c>
      <c r="J1669" s="68">
        <v>0</v>
      </c>
    </row>
    <row r="1670" spans="1:10" ht="14.25" customHeight="1">
      <c r="A1670" s="66" t="s">
        <v>3527</v>
      </c>
      <c r="B1670" s="66" t="s">
        <v>3236</v>
      </c>
      <c r="C1670" s="68">
        <v>0</v>
      </c>
      <c r="D1670" s="68">
        <v>0</v>
      </c>
      <c r="E1670" s="68">
        <v>0</v>
      </c>
      <c r="F1670" s="68">
        <v>0</v>
      </c>
      <c r="G1670" s="68">
        <v>20058.150000000001</v>
      </c>
      <c r="H1670" s="68">
        <v>20058.150000000001</v>
      </c>
      <c r="I1670" s="68">
        <v>0</v>
      </c>
      <c r="J1670" s="68">
        <v>0</v>
      </c>
    </row>
    <row r="1671" spans="1:10" ht="14.25" customHeight="1">
      <c r="A1671" s="66" t="s">
        <v>3528</v>
      </c>
      <c r="B1671" s="66" t="s">
        <v>2676</v>
      </c>
      <c r="C1671" s="68">
        <v>0</v>
      </c>
      <c r="D1671" s="68">
        <v>0</v>
      </c>
      <c r="E1671" s="68">
        <v>0</v>
      </c>
      <c r="F1671" s="68">
        <v>0</v>
      </c>
      <c r="G1671" s="68">
        <v>2408</v>
      </c>
      <c r="H1671" s="68">
        <v>2408</v>
      </c>
      <c r="I1671" s="68">
        <v>0</v>
      </c>
      <c r="J1671" s="68">
        <v>0</v>
      </c>
    </row>
    <row r="1672" spans="1:10" ht="14.25" customHeight="1">
      <c r="A1672" s="66" t="s">
        <v>3529</v>
      </c>
      <c r="B1672" s="66" t="s">
        <v>2678</v>
      </c>
      <c r="C1672" s="68">
        <v>0</v>
      </c>
      <c r="D1672" s="68">
        <v>0</v>
      </c>
      <c r="E1672" s="68">
        <v>416.42000000000007</v>
      </c>
      <c r="F1672" s="68">
        <v>416.42000000000007</v>
      </c>
      <c r="G1672" s="68">
        <v>11454.39</v>
      </c>
      <c r="H1672" s="68">
        <v>11454.39</v>
      </c>
      <c r="I1672" s="68">
        <v>0</v>
      </c>
      <c r="J1672" s="68">
        <v>0</v>
      </c>
    </row>
    <row r="1673" spans="1:10" ht="14.25" customHeight="1">
      <c r="A1673" s="66" t="s">
        <v>3530</v>
      </c>
      <c r="B1673" s="66" t="s">
        <v>2680</v>
      </c>
      <c r="C1673" s="68">
        <v>0</v>
      </c>
      <c r="D1673" s="68">
        <v>0</v>
      </c>
      <c r="E1673" s="68">
        <v>0</v>
      </c>
      <c r="F1673" s="68">
        <v>0</v>
      </c>
      <c r="G1673" s="68">
        <v>1781.46</v>
      </c>
      <c r="H1673" s="68">
        <v>1781.46</v>
      </c>
      <c r="I1673" s="68">
        <v>0</v>
      </c>
      <c r="J1673" s="68">
        <v>0</v>
      </c>
    </row>
    <row r="1674" spans="1:10" ht="14.25" customHeight="1">
      <c r="A1674" s="66" t="s">
        <v>3531</v>
      </c>
      <c r="B1674" s="66" t="s">
        <v>3241</v>
      </c>
      <c r="C1674" s="68">
        <v>0</v>
      </c>
      <c r="D1674" s="68">
        <v>0</v>
      </c>
      <c r="E1674" s="68">
        <v>0</v>
      </c>
      <c r="F1674" s="68">
        <v>0</v>
      </c>
      <c r="G1674" s="68">
        <v>150</v>
      </c>
      <c r="H1674" s="68">
        <v>150</v>
      </c>
      <c r="I1674" s="68">
        <v>0</v>
      </c>
      <c r="J1674" s="68">
        <v>0</v>
      </c>
    </row>
    <row r="1675" spans="1:10" ht="14.25" customHeight="1">
      <c r="A1675" s="66" t="s">
        <v>3532</v>
      </c>
      <c r="B1675" s="66" t="s">
        <v>2708</v>
      </c>
      <c r="C1675" s="68">
        <v>0</v>
      </c>
      <c r="D1675" s="68">
        <v>0</v>
      </c>
      <c r="E1675" s="68">
        <v>50</v>
      </c>
      <c r="F1675" s="68">
        <v>50</v>
      </c>
      <c r="G1675" s="68">
        <v>600</v>
      </c>
      <c r="H1675" s="68">
        <v>600</v>
      </c>
      <c r="I1675" s="68">
        <v>0</v>
      </c>
      <c r="J1675" s="68">
        <v>0</v>
      </c>
    </row>
    <row r="1676" spans="1:10" ht="14.25" customHeight="1">
      <c r="A1676" s="66" t="s">
        <v>3533</v>
      </c>
      <c r="B1676" s="66" t="s">
        <v>3244</v>
      </c>
      <c r="C1676" s="68">
        <v>0</v>
      </c>
      <c r="D1676" s="68">
        <v>0</v>
      </c>
      <c r="E1676" s="68">
        <v>0</v>
      </c>
      <c r="F1676" s="68">
        <v>0</v>
      </c>
      <c r="G1676" s="68">
        <v>18971.39</v>
      </c>
      <c r="H1676" s="68">
        <v>18971.39</v>
      </c>
      <c r="I1676" s="68">
        <v>0</v>
      </c>
      <c r="J1676" s="68">
        <v>0</v>
      </c>
    </row>
    <row r="1677" spans="1:10" ht="14.25" customHeight="1">
      <c r="A1677" s="66" t="s">
        <v>3534</v>
      </c>
      <c r="B1677" s="66" t="s">
        <v>2798</v>
      </c>
      <c r="C1677" s="68">
        <v>0</v>
      </c>
      <c r="D1677" s="68">
        <v>0</v>
      </c>
      <c r="E1677" s="68">
        <v>198.15999999999985</v>
      </c>
      <c r="F1677" s="68">
        <v>198.15999999999985</v>
      </c>
      <c r="G1677" s="68">
        <v>2428.15</v>
      </c>
      <c r="H1677" s="68">
        <v>2428.15</v>
      </c>
      <c r="I1677" s="68">
        <v>0</v>
      </c>
      <c r="J1677" s="68">
        <v>0</v>
      </c>
    </row>
    <row r="1678" spans="1:10" ht="14.25" customHeight="1">
      <c r="A1678" s="66" t="s">
        <v>3535</v>
      </c>
      <c r="B1678" s="66" t="s">
        <v>2724</v>
      </c>
      <c r="C1678" s="68">
        <v>0</v>
      </c>
      <c r="D1678" s="68">
        <v>0</v>
      </c>
      <c r="E1678" s="68">
        <v>0</v>
      </c>
      <c r="F1678" s="68">
        <v>0</v>
      </c>
      <c r="G1678" s="68">
        <v>460</v>
      </c>
      <c r="H1678" s="68">
        <v>460</v>
      </c>
      <c r="I1678" s="68">
        <v>0</v>
      </c>
      <c r="J1678" s="68">
        <v>0</v>
      </c>
    </row>
    <row r="1679" spans="1:10" ht="14.25" customHeight="1">
      <c r="A1679" s="66" t="s">
        <v>3536</v>
      </c>
      <c r="B1679" s="66" t="s">
        <v>2798</v>
      </c>
      <c r="C1679" s="68">
        <v>0</v>
      </c>
      <c r="D1679" s="68">
        <v>0</v>
      </c>
      <c r="E1679" s="68">
        <v>0</v>
      </c>
      <c r="F1679" s="68">
        <v>0</v>
      </c>
      <c r="G1679" s="68">
        <v>700.87</v>
      </c>
      <c r="H1679" s="68">
        <v>700.87</v>
      </c>
      <c r="I1679" s="68">
        <v>0</v>
      </c>
      <c r="J1679" s="68">
        <v>0</v>
      </c>
    </row>
    <row r="1680" spans="1:10" ht="14.25" customHeight="1">
      <c r="A1680" s="66" t="s">
        <v>3537</v>
      </c>
      <c r="B1680" s="66" t="s">
        <v>2724</v>
      </c>
      <c r="C1680" s="68">
        <v>0</v>
      </c>
      <c r="D1680" s="68">
        <v>0</v>
      </c>
      <c r="E1680" s="68">
        <v>0</v>
      </c>
      <c r="F1680" s="68">
        <v>0</v>
      </c>
      <c r="G1680" s="68">
        <v>880</v>
      </c>
      <c r="H1680" s="68">
        <v>880</v>
      </c>
      <c r="I1680" s="68">
        <v>0</v>
      </c>
      <c r="J1680" s="68">
        <v>0</v>
      </c>
    </row>
    <row r="1681" spans="1:10" ht="14.25" customHeight="1">
      <c r="A1681" s="66" t="s">
        <v>3538</v>
      </c>
      <c r="B1681" s="66" t="s">
        <v>3236</v>
      </c>
      <c r="C1681" s="68">
        <v>0</v>
      </c>
      <c r="D1681" s="68">
        <v>0</v>
      </c>
      <c r="E1681" s="68">
        <v>0</v>
      </c>
      <c r="F1681" s="68">
        <v>0</v>
      </c>
      <c r="G1681" s="68">
        <v>13079.6</v>
      </c>
      <c r="H1681" s="68">
        <v>13079.6</v>
      </c>
      <c r="I1681" s="68">
        <v>0</v>
      </c>
      <c r="J1681" s="68">
        <v>0</v>
      </c>
    </row>
    <row r="1682" spans="1:10" ht="14.25" customHeight="1">
      <c r="A1682" s="66" t="s">
        <v>3539</v>
      </c>
      <c r="B1682" s="66" t="s">
        <v>2676</v>
      </c>
      <c r="C1682" s="68">
        <v>0</v>
      </c>
      <c r="D1682" s="68">
        <v>0</v>
      </c>
      <c r="E1682" s="68">
        <v>0</v>
      </c>
      <c r="F1682" s="68">
        <v>0</v>
      </c>
      <c r="G1682" s="68">
        <v>900</v>
      </c>
      <c r="H1682" s="68">
        <v>900</v>
      </c>
      <c r="I1682" s="68">
        <v>0</v>
      </c>
      <c r="J1682" s="68">
        <v>0</v>
      </c>
    </row>
    <row r="1683" spans="1:10" ht="14.25" customHeight="1">
      <c r="A1683" s="66" t="s">
        <v>3540</v>
      </c>
      <c r="B1683" s="66" t="s">
        <v>2678</v>
      </c>
      <c r="C1683" s="68">
        <v>0</v>
      </c>
      <c r="D1683" s="68">
        <v>0</v>
      </c>
      <c r="E1683" s="68">
        <v>1962.5499999999993</v>
      </c>
      <c r="F1683" s="68">
        <v>1962.5499999999993</v>
      </c>
      <c r="G1683" s="68">
        <v>14607.72</v>
      </c>
      <c r="H1683" s="68">
        <v>14607.72</v>
      </c>
      <c r="I1683" s="68">
        <v>0</v>
      </c>
      <c r="J1683" s="68">
        <v>0</v>
      </c>
    </row>
    <row r="1684" spans="1:10" ht="14.25" customHeight="1">
      <c r="A1684" s="66" t="s">
        <v>3541</v>
      </c>
      <c r="B1684" s="66" t="s">
        <v>2680</v>
      </c>
      <c r="C1684" s="68">
        <v>0</v>
      </c>
      <c r="D1684" s="68">
        <v>0</v>
      </c>
      <c r="E1684" s="68">
        <v>0</v>
      </c>
      <c r="F1684" s="68">
        <v>0</v>
      </c>
      <c r="G1684" s="68">
        <v>906.90000000000009</v>
      </c>
      <c r="H1684" s="68">
        <v>906.90000000000009</v>
      </c>
      <c r="I1684" s="68">
        <v>0</v>
      </c>
      <c r="J1684" s="68">
        <v>0</v>
      </c>
    </row>
    <row r="1685" spans="1:10" ht="14.25" customHeight="1">
      <c r="A1685" s="66" t="s">
        <v>3542</v>
      </c>
      <c r="B1685" s="66" t="s">
        <v>3241</v>
      </c>
      <c r="C1685" s="68">
        <v>0</v>
      </c>
      <c r="D1685" s="68">
        <v>0</v>
      </c>
      <c r="E1685" s="68">
        <v>0</v>
      </c>
      <c r="F1685" s="68">
        <v>0</v>
      </c>
      <c r="G1685" s="68">
        <v>990</v>
      </c>
      <c r="H1685" s="68">
        <v>990</v>
      </c>
      <c r="I1685" s="68">
        <v>0</v>
      </c>
      <c r="J1685" s="68">
        <v>0</v>
      </c>
    </row>
    <row r="1686" spans="1:10" ht="14.25" customHeight="1">
      <c r="A1686" s="66" t="s">
        <v>3543</v>
      </c>
      <c r="B1686" s="66" t="s">
        <v>2708</v>
      </c>
      <c r="C1686" s="68">
        <v>0</v>
      </c>
      <c r="D1686" s="68">
        <v>0</v>
      </c>
      <c r="E1686" s="68">
        <v>50</v>
      </c>
      <c r="F1686" s="68">
        <v>50</v>
      </c>
      <c r="G1686" s="68">
        <v>600</v>
      </c>
      <c r="H1686" s="68">
        <v>600</v>
      </c>
      <c r="I1686" s="68">
        <v>0</v>
      </c>
      <c r="J1686" s="68">
        <v>0</v>
      </c>
    </row>
    <row r="1687" spans="1:10" ht="14.25" customHeight="1">
      <c r="A1687" s="66" t="s">
        <v>3544</v>
      </c>
      <c r="B1687" s="66" t="s">
        <v>3244</v>
      </c>
      <c r="C1687" s="68">
        <v>0</v>
      </c>
      <c r="D1687" s="68">
        <v>0</v>
      </c>
      <c r="E1687" s="68">
        <v>399.47999999999956</v>
      </c>
      <c r="F1687" s="68">
        <v>399.47999999999956</v>
      </c>
      <c r="G1687" s="68">
        <v>11861.259999999998</v>
      </c>
      <c r="H1687" s="68">
        <v>11861.259999999998</v>
      </c>
      <c r="I1687" s="68">
        <v>0</v>
      </c>
      <c r="J1687" s="68">
        <v>0</v>
      </c>
    </row>
    <row r="1688" spans="1:10" ht="14.25" customHeight="1">
      <c r="A1688" s="66" t="s">
        <v>3545</v>
      </c>
      <c r="B1688" s="66" t="s">
        <v>3246</v>
      </c>
      <c r="C1688" s="68">
        <v>0</v>
      </c>
      <c r="D1688" s="68">
        <v>0</v>
      </c>
      <c r="E1688" s="68">
        <v>89</v>
      </c>
      <c r="F1688" s="68">
        <v>89</v>
      </c>
      <c r="G1688" s="68">
        <v>1068</v>
      </c>
      <c r="H1688" s="68">
        <v>1068</v>
      </c>
      <c r="I1688" s="68">
        <v>0</v>
      </c>
      <c r="J1688" s="68">
        <v>0</v>
      </c>
    </row>
    <row r="1689" spans="1:10" ht="14.25" customHeight="1">
      <c r="A1689" s="66" t="s">
        <v>3546</v>
      </c>
      <c r="B1689" s="66" t="s">
        <v>2798</v>
      </c>
      <c r="C1689" s="68">
        <v>0</v>
      </c>
      <c r="D1689" s="68">
        <v>0</v>
      </c>
      <c r="E1689" s="68">
        <v>151.75</v>
      </c>
      <c r="F1689" s="68">
        <v>151.75</v>
      </c>
      <c r="G1689" s="68">
        <v>1851.44</v>
      </c>
      <c r="H1689" s="68">
        <v>1851.44</v>
      </c>
      <c r="I1689" s="68">
        <v>0</v>
      </c>
      <c r="J1689" s="68">
        <v>0</v>
      </c>
    </row>
    <row r="1690" spans="1:10" ht="14.25" customHeight="1">
      <c r="A1690" s="66" t="s">
        <v>3547</v>
      </c>
      <c r="B1690" s="66" t="s">
        <v>2724</v>
      </c>
      <c r="C1690" s="68">
        <v>0</v>
      </c>
      <c r="D1690" s="68">
        <v>0</v>
      </c>
      <c r="E1690" s="68">
        <v>240</v>
      </c>
      <c r="F1690" s="68">
        <v>240</v>
      </c>
      <c r="G1690" s="68">
        <v>2950</v>
      </c>
      <c r="H1690" s="68">
        <v>2950</v>
      </c>
      <c r="I1690" s="68">
        <v>0</v>
      </c>
      <c r="J1690" s="68">
        <v>0</v>
      </c>
    </row>
    <row r="1691" spans="1:10" ht="14.25" customHeight="1">
      <c r="A1691" s="66" t="s">
        <v>3548</v>
      </c>
      <c r="B1691" s="66" t="s">
        <v>2798</v>
      </c>
      <c r="C1691" s="68">
        <v>0</v>
      </c>
      <c r="D1691" s="68">
        <v>0</v>
      </c>
      <c r="E1691" s="68">
        <v>0</v>
      </c>
      <c r="F1691" s="68">
        <v>0</v>
      </c>
      <c r="G1691" s="68">
        <v>120.56</v>
      </c>
      <c r="H1691" s="68">
        <v>120.56</v>
      </c>
      <c r="I1691" s="68">
        <v>0</v>
      </c>
      <c r="J1691" s="68">
        <v>0</v>
      </c>
    </row>
    <row r="1692" spans="1:10" ht="14.25" customHeight="1">
      <c r="A1692" s="66" t="s">
        <v>3549</v>
      </c>
      <c r="B1692" s="66" t="s">
        <v>3236</v>
      </c>
      <c r="C1692" s="68">
        <v>0</v>
      </c>
      <c r="D1692" s="68">
        <v>0</v>
      </c>
      <c r="E1692" s="68">
        <v>0</v>
      </c>
      <c r="F1692" s="68">
        <v>0</v>
      </c>
      <c r="G1692" s="68">
        <v>16786.87</v>
      </c>
      <c r="H1692" s="68">
        <v>16786.87</v>
      </c>
      <c r="I1692" s="68">
        <v>0</v>
      </c>
      <c r="J1692" s="68">
        <v>0</v>
      </c>
    </row>
    <row r="1693" spans="1:10" ht="14.25" customHeight="1">
      <c r="A1693" s="66" t="s">
        <v>3550</v>
      </c>
      <c r="B1693" s="66" t="s">
        <v>2680</v>
      </c>
      <c r="C1693" s="68">
        <v>0</v>
      </c>
      <c r="D1693" s="68">
        <v>0</v>
      </c>
      <c r="E1693" s="68">
        <v>0</v>
      </c>
      <c r="F1693" s="68">
        <v>0</v>
      </c>
      <c r="G1693" s="68">
        <v>1098.5999999999999</v>
      </c>
      <c r="H1693" s="68">
        <v>1098.5999999999999</v>
      </c>
      <c r="I1693" s="68">
        <v>0</v>
      </c>
      <c r="J1693" s="68">
        <v>0</v>
      </c>
    </row>
    <row r="1694" spans="1:10" ht="14.25" customHeight="1">
      <c r="A1694" s="66" t="s">
        <v>3551</v>
      </c>
      <c r="B1694" s="66" t="s">
        <v>3244</v>
      </c>
      <c r="C1694" s="68">
        <v>0</v>
      </c>
      <c r="D1694" s="68">
        <v>0</v>
      </c>
      <c r="E1694" s="68">
        <v>0</v>
      </c>
      <c r="F1694" s="68">
        <v>0</v>
      </c>
      <c r="G1694" s="68">
        <v>10002.299999999999</v>
      </c>
      <c r="H1694" s="68">
        <v>10002.299999999999</v>
      </c>
      <c r="I1694" s="68">
        <v>0</v>
      </c>
      <c r="J1694" s="68">
        <v>0</v>
      </c>
    </row>
    <row r="1695" spans="1:10" ht="14.25" customHeight="1">
      <c r="A1695" s="66" t="s">
        <v>3552</v>
      </c>
      <c r="B1695" s="66" t="s">
        <v>2798</v>
      </c>
      <c r="C1695" s="68">
        <v>0</v>
      </c>
      <c r="D1695" s="68">
        <v>0</v>
      </c>
      <c r="E1695" s="68">
        <v>95.75</v>
      </c>
      <c r="F1695" s="68">
        <v>95.75</v>
      </c>
      <c r="G1695" s="68">
        <v>1169.53</v>
      </c>
      <c r="H1695" s="68">
        <v>1169.53</v>
      </c>
      <c r="I1695" s="68">
        <v>0</v>
      </c>
      <c r="J1695" s="68">
        <v>0</v>
      </c>
    </row>
    <row r="1696" spans="1:10" ht="14.25" customHeight="1">
      <c r="A1696" s="66" t="s">
        <v>3553</v>
      </c>
      <c r="B1696" s="66" t="s">
        <v>3236</v>
      </c>
      <c r="C1696" s="68">
        <v>0</v>
      </c>
      <c r="D1696" s="68">
        <v>0</v>
      </c>
      <c r="E1696" s="68">
        <v>434.38000000000102</v>
      </c>
      <c r="F1696" s="68">
        <v>434.38000000000102</v>
      </c>
      <c r="G1696" s="68">
        <v>21407.920000000002</v>
      </c>
      <c r="H1696" s="68">
        <v>21407.919999999998</v>
      </c>
      <c r="I1696" s="68">
        <v>3.637978807091713E-12</v>
      </c>
      <c r="J1696" s="68">
        <v>0</v>
      </c>
    </row>
    <row r="1697" spans="1:10" ht="14.25" customHeight="1">
      <c r="A1697" s="66" t="s">
        <v>3554</v>
      </c>
      <c r="B1697" s="66" t="s">
        <v>2676</v>
      </c>
      <c r="C1697" s="68">
        <v>0</v>
      </c>
      <c r="D1697" s="68">
        <v>0</v>
      </c>
      <c r="E1697" s="68">
        <v>0</v>
      </c>
      <c r="F1697" s="68">
        <v>0</v>
      </c>
      <c r="G1697" s="68">
        <v>1379.96</v>
      </c>
      <c r="H1697" s="68">
        <v>1379.96</v>
      </c>
      <c r="I1697" s="68">
        <v>0</v>
      </c>
      <c r="J1697" s="68">
        <v>0</v>
      </c>
    </row>
    <row r="1698" spans="1:10" ht="14.25" customHeight="1">
      <c r="A1698" s="66" t="s">
        <v>3555</v>
      </c>
      <c r="B1698" s="66" t="s">
        <v>2678</v>
      </c>
      <c r="C1698" s="68">
        <v>0</v>
      </c>
      <c r="D1698" s="68">
        <v>0</v>
      </c>
      <c r="E1698" s="68">
        <v>5621.2099999999991</v>
      </c>
      <c r="F1698" s="68">
        <v>5621.2099999999991</v>
      </c>
      <c r="G1698" s="68">
        <v>55960.99</v>
      </c>
      <c r="H1698" s="68">
        <v>55960.99</v>
      </c>
      <c r="I1698" s="68">
        <v>0</v>
      </c>
      <c r="J1698" s="68">
        <v>0</v>
      </c>
    </row>
    <row r="1699" spans="1:10" ht="14.25" customHeight="1">
      <c r="A1699" s="66" t="s">
        <v>3556</v>
      </c>
      <c r="B1699" s="66" t="s">
        <v>2680</v>
      </c>
      <c r="C1699" s="68">
        <v>0</v>
      </c>
      <c r="D1699" s="68">
        <v>0</v>
      </c>
      <c r="E1699" s="68">
        <v>0</v>
      </c>
      <c r="F1699" s="68">
        <v>0</v>
      </c>
      <c r="G1699" s="68">
        <v>1693.15</v>
      </c>
      <c r="H1699" s="68">
        <v>1693.15</v>
      </c>
      <c r="I1699" s="68">
        <v>0</v>
      </c>
      <c r="J1699" s="68">
        <v>0</v>
      </c>
    </row>
    <row r="1700" spans="1:10" ht="14.25" customHeight="1">
      <c r="A1700" s="66" t="s">
        <v>3557</v>
      </c>
      <c r="B1700" s="66" t="s">
        <v>3241</v>
      </c>
      <c r="C1700" s="68">
        <v>0</v>
      </c>
      <c r="D1700" s="68">
        <v>0</v>
      </c>
      <c r="E1700" s="68">
        <v>0</v>
      </c>
      <c r="F1700" s="68">
        <v>0</v>
      </c>
      <c r="G1700" s="68">
        <v>910</v>
      </c>
      <c r="H1700" s="68">
        <v>910</v>
      </c>
      <c r="I1700" s="68">
        <v>0</v>
      </c>
      <c r="J1700" s="68">
        <v>0</v>
      </c>
    </row>
    <row r="1701" spans="1:10" ht="14.25" customHeight="1">
      <c r="A1701" s="66" t="s">
        <v>3558</v>
      </c>
      <c r="B1701" s="66" t="s">
        <v>2708</v>
      </c>
      <c r="C1701" s="68">
        <v>0</v>
      </c>
      <c r="D1701" s="68">
        <v>0</v>
      </c>
      <c r="E1701" s="68">
        <v>65</v>
      </c>
      <c r="F1701" s="68">
        <v>65</v>
      </c>
      <c r="G1701" s="68">
        <v>780</v>
      </c>
      <c r="H1701" s="68">
        <v>780</v>
      </c>
      <c r="I1701" s="68">
        <v>0</v>
      </c>
      <c r="J1701" s="68">
        <v>0</v>
      </c>
    </row>
    <row r="1702" spans="1:10" ht="14.25" customHeight="1">
      <c r="A1702" s="66" t="s">
        <v>3559</v>
      </c>
      <c r="B1702" s="66" t="s">
        <v>3244</v>
      </c>
      <c r="C1702" s="68">
        <v>0</v>
      </c>
      <c r="D1702" s="68">
        <v>0</v>
      </c>
      <c r="E1702" s="68">
        <v>0</v>
      </c>
      <c r="F1702" s="68">
        <v>0</v>
      </c>
      <c r="G1702" s="68">
        <v>9212.51</v>
      </c>
      <c r="H1702" s="68">
        <v>9212.51</v>
      </c>
      <c r="I1702" s="68">
        <v>0</v>
      </c>
      <c r="J1702" s="68">
        <v>0</v>
      </c>
    </row>
    <row r="1703" spans="1:10" ht="14.25" customHeight="1">
      <c r="A1703" s="66" t="s">
        <v>3560</v>
      </c>
      <c r="B1703" s="66" t="s">
        <v>3246</v>
      </c>
      <c r="C1703" s="68">
        <v>0</v>
      </c>
      <c r="D1703" s="68">
        <v>0</v>
      </c>
      <c r="E1703" s="68">
        <v>0</v>
      </c>
      <c r="F1703" s="68">
        <v>0</v>
      </c>
      <c r="G1703" s="68">
        <v>1225</v>
      </c>
      <c r="H1703" s="68">
        <v>1225</v>
      </c>
      <c r="I1703" s="68">
        <v>0</v>
      </c>
      <c r="J1703" s="68">
        <v>0</v>
      </c>
    </row>
    <row r="1704" spans="1:10" ht="14.25" customHeight="1">
      <c r="A1704" s="66" t="s">
        <v>3561</v>
      </c>
      <c r="B1704" s="66" t="s">
        <v>2798</v>
      </c>
      <c r="C1704" s="68">
        <v>0</v>
      </c>
      <c r="D1704" s="68">
        <v>0</v>
      </c>
      <c r="E1704" s="68">
        <v>332.32999999999993</v>
      </c>
      <c r="F1704" s="68">
        <v>332.32999999999993</v>
      </c>
      <c r="G1704" s="68">
        <v>4035.9999999999995</v>
      </c>
      <c r="H1704" s="68">
        <v>4035.9999999999995</v>
      </c>
      <c r="I1704" s="68">
        <v>0</v>
      </c>
      <c r="J1704" s="68">
        <v>0</v>
      </c>
    </row>
    <row r="1705" spans="1:10" ht="14.25" customHeight="1">
      <c r="A1705" s="66" t="s">
        <v>3562</v>
      </c>
      <c r="B1705" s="66" t="s">
        <v>2688</v>
      </c>
      <c r="C1705" s="68">
        <v>0</v>
      </c>
      <c r="D1705" s="68">
        <v>0</v>
      </c>
      <c r="E1705" s="68">
        <v>0</v>
      </c>
      <c r="F1705" s="68">
        <v>0</v>
      </c>
      <c r="G1705" s="68">
        <v>241.46</v>
      </c>
      <c r="H1705" s="68">
        <v>241.46</v>
      </c>
      <c r="I1705" s="68">
        <v>0</v>
      </c>
      <c r="J1705" s="68">
        <v>0</v>
      </c>
    </row>
    <row r="1706" spans="1:10" ht="14.25" customHeight="1">
      <c r="A1706" s="66" t="s">
        <v>3563</v>
      </c>
      <c r="B1706" s="66" t="s">
        <v>2724</v>
      </c>
      <c r="C1706" s="68">
        <v>0</v>
      </c>
      <c r="D1706" s="68">
        <v>0</v>
      </c>
      <c r="E1706" s="68">
        <v>130</v>
      </c>
      <c r="F1706" s="68">
        <v>130</v>
      </c>
      <c r="G1706" s="68">
        <v>1430</v>
      </c>
      <c r="H1706" s="68">
        <v>1430</v>
      </c>
      <c r="I1706" s="68">
        <v>0</v>
      </c>
      <c r="J1706" s="68">
        <v>0</v>
      </c>
    </row>
    <row r="1707" spans="1:10" ht="14.25" customHeight="1">
      <c r="A1707" s="66" t="s">
        <v>3564</v>
      </c>
      <c r="B1707" s="66" t="s">
        <v>3236</v>
      </c>
      <c r="C1707" s="68">
        <v>0</v>
      </c>
      <c r="D1707" s="68">
        <v>0</v>
      </c>
      <c r="E1707" s="68">
        <v>301.48999999999978</v>
      </c>
      <c r="F1707" s="68">
        <v>301.48999999999978</v>
      </c>
      <c r="G1707" s="68">
        <v>12359.130000000001</v>
      </c>
      <c r="H1707" s="68">
        <v>12359.130000000001</v>
      </c>
      <c r="I1707" s="68">
        <v>0</v>
      </c>
      <c r="J1707" s="68">
        <v>0</v>
      </c>
    </row>
    <row r="1708" spans="1:10" ht="14.25" customHeight="1">
      <c r="A1708" s="66" t="s">
        <v>3565</v>
      </c>
      <c r="B1708" s="66" t="s">
        <v>2676</v>
      </c>
      <c r="C1708" s="68">
        <v>0</v>
      </c>
      <c r="D1708" s="68">
        <v>0</v>
      </c>
      <c r="E1708" s="68">
        <v>0</v>
      </c>
      <c r="F1708" s="68">
        <v>0</v>
      </c>
      <c r="G1708" s="68">
        <v>5920</v>
      </c>
      <c r="H1708" s="68">
        <v>5920</v>
      </c>
      <c r="I1708" s="68">
        <v>0</v>
      </c>
      <c r="J1708" s="68">
        <v>0</v>
      </c>
    </row>
    <row r="1709" spans="1:10" ht="14.25" customHeight="1">
      <c r="A1709" s="66" t="s">
        <v>3566</v>
      </c>
      <c r="B1709" s="66" t="s">
        <v>2678</v>
      </c>
      <c r="C1709" s="68">
        <v>0</v>
      </c>
      <c r="D1709" s="68">
        <v>0</v>
      </c>
      <c r="E1709" s="68">
        <v>3540.9400000000023</v>
      </c>
      <c r="F1709" s="68">
        <v>3540.9400000000023</v>
      </c>
      <c r="G1709" s="68">
        <v>38458.860000000008</v>
      </c>
      <c r="H1709" s="68">
        <v>38458.860000000008</v>
      </c>
      <c r="I1709" s="68">
        <v>0</v>
      </c>
      <c r="J1709" s="68">
        <v>0</v>
      </c>
    </row>
    <row r="1710" spans="1:10" ht="14.25" customHeight="1">
      <c r="A1710" s="66" t="s">
        <v>3567</v>
      </c>
      <c r="B1710" s="66" t="s">
        <v>2680</v>
      </c>
      <c r="C1710" s="68">
        <v>0</v>
      </c>
      <c r="D1710" s="68">
        <v>0</v>
      </c>
      <c r="E1710" s="68">
        <v>0</v>
      </c>
      <c r="F1710" s="68">
        <v>0</v>
      </c>
      <c r="G1710" s="68">
        <v>1232.98</v>
      </c>
      <c r="H1710" s="68">
        <v>1232.98</v>
      </c>
      <c r="I1710" s="68">
        <v>0</v>
      </c>
      <c r="J1710" s="68">
        <v>0</v>
      </c>
    </row>
    <row r="1711" spans="1:10" ht="14.25" customHeight="1">
      <c r="A1711" s="66" t="s">
        <v>3568</v>
      </c>
      <c r="B1711" s="66" t="s">
        <v>3241</v>
      </c>
      <c r="C1711" s="68">
        <v>0</v>
      </c>
      <c r="D1711" s="68">
        <v>0</v>
      </c>
      <c r="E1711" s="68">
        <v>130</v>
      </c>
      <c r="F1711" s="68">
        <v>130</v>
      </c>
      <c r="G1711" s="68">
        <v>780</v>
      </c>
      <c r="H1711" s="68">
        <v>780</v>
      </c>
      <c r="I1711" s="68">
        <v>0</v>
      </c>
      <c r="J1711" s="68">
        <v>0</v>
      </c>
    </row>
    <row r="1712" spans="1:10" ht="14.25" customHeight="1">
      <c r="A1712" s="66" t="s">
        <v>3569</v>
      </c>
      <c r="B1712" s="66" t="s">
        <v>2708</v>
      </c>
      <c r="C1712" s="68">
        <v>0</v>
      </c>
      <c r="D1712" s="68">
        <v>0</v>
      </c>
      <c r="E1712" s="68">
        <v>65</v>
      </c>
      <c r="F1712" s="68">
        <v>65</v>
      </c>
      <c r="G1712" s="68">
        <v>780</v>
      </c>
      <c r="H1712" s="68">
        <v>780</v>
      </c>
      <c r="I1712" s="68">
        <v>0</v>
      </c>
      <c r="J1712" s="68">
        <v>0</v>
      </c>
    </row>
    <row r="1713" spans="1:10" ht="14.25" customHeight="1">
      <c r="A1713" s="66" t="s">
        <v>3570</v>
      </c>
      <c r="B1713" s="66" t="s">
        <v>3244</v>
      </c>
      <c r="C1713" s="68">
        <v>0</v>
      </c>
      <c r="D1713" s="68">
        <v>0</v>
      </c>
      <c r="E1713" s="68">
        <v>2995</v>
      </c>
      <c r="F1713" s="68">
        <v>2995</v>
      </c>
      <c r="G1713" s="68">
        <v>11733.8</v>
      </c>
      <c r="H1713" s="68">
        <v>11733.8</v>
      </c>
      <c r="I1713" s="68">
        <v>0</v>
      </c>
      <c r="J1713" s="68">
        <v>0</v>
      </c>
    </row>
    <row r="1714" spans="1:10" ht="14.25" customHeight="1">
      <c r="A1714" s="66" t="s">
        <v>3571</v>
      </c>
      <c r="B1714" s="66" t="s">
        <v>3246</v>
      </c>
      <c r="C1714" s="68">
        <v>0</v>
      </c>
      <c r="D1714" s="68">
        <v>0</v>
      </c>
      <c r="E1714" s="68">
        <v>0</v>
      </c>
      <c r="F1714" s="68">
        <v>0</v>
      </c>
      <c r="G1714" s="68">
        <v>1543</v>
      </c>
      <c r="H1714" s="68">
        <v>1543</v>
      </c>
      <c r="I1714" s="68">
        <v>0</v>
      </c>
      <c r="J1714" s="68">
        <v>0</v>
      </c>
    </row>
    <row r="1715" spans="1:10" ht="14.25" customHeight="1">
      <c r="A1715" s="66" t="s">
        <v>3572</v>
      </c>
      <c r="B1715" s="66" t="s">
        <v>2798</v>
      </c>
      <c r="C1715" s="68">
        <v>0</v>
      </c>
      <c r="D1715" s="68">
        <v>0</v>
      </c>
      <c r="E1715" s="68">
        <v>469.90999999999985</v>
      </c>
      <c r="F1715" s="68">
        <v>469.90999999999985</v>
      </c>
      <c r="G1715" s="68">
        <v>5734.6399999999994</v>
      </c>
      <c r="H1715" s="68">
        <v>5734.6399999999994</v>
      </c>
      <c r="I1715" s="68">
        <v>0</v>
      </c>
      <c r="J1715" s="68">
        <v>0</v>
      </c>
    </row>
    <row r="1716" spans="1:10" ht="14.25" customHeight="1">
      <c r="A1716" s="66" t="s">
        <v>3573</v>
      </c>
      <c r="B1716" s="66" t="s">
        <v>2724</v>
      </c>
      <c r="C1716" s="68">
        <v>0</v>
      </c>
      <c r="D1716" s="68">
        <v>0</v>
      </c>
      <c r="E1716" s="68">
        <v>130</v>
      </c>
      <c r="F1716" s="68">
        <v>130</v>
      </c>
      <c r="G1716" s="68">
        <v>1950</v>
      </c>
      <c r="H1716" s="68">
        <v>1950</v>
      </c>
      <c r="I1716" s="68">
        <v>0</v>
      </c>
      <c r="J1716" s="68">
        <v>0</v>
      </c>
    </row>
    <row r="1717" spans="1:10" ht="14.25" customHeight="1">
      <c r="A1717" s="66" t="s">
        <v>3574</v>
      </c>
      <c r="B1717" s="66" t="s">
        <v>3236</v>
      </c>
      <c r="C1717" s="68">
        <v>0</v>
      </c>
      <c r="D1717" s="68">
        <v>0</v>
      </c>
      <c r="E1717" s="68">
        <v>0</v>
      </c>
      <c r="F1717" s="68">
        <v>0</v>
      </c>
      <c r="G1717" s="68">
        <v>4961.3799999999992</v>
      </c>
      <c r="H1717" s="68">
        <v>4961.3799999999992</v>
      </c>
      <c r="I1717" s="68">
        <v>0</v>
      </c>
      <c r="J1717" s="68">
        <v>0</v>
      </c>
    </row>
    <row r="1718" spans="1:10" ht="14.25" customHeight="1">
      <c r="A1718" s="66" t="s">
        <v>3575</v>
      </c>
      <c r="B1718" s="66" t="s">
        <v>2678</v>
      </c>
      <c r="C1718" s="68">
        <v>0</v>
      </c>
      <c r="D1718" s="68">
        <v>0</v>
      </c>
      <c r="E1718" s="68">
        <v>288.16000000000349</v>
      </c>
      <c r="F1718" s="68">
        <v>288.16000000000349</v>
      </c>
      <c r="G1718" s="68">
        <v>35054.500000000007</v>
      </c>
      <c r="H1718" s="68">
        <v>35054.500000000007</v>
      </c>
      <c r="I1718" s="68">
        <v>0</v>
      </c>
      <c r="J1718" s="68">
        <v>0</v>
      </c>
    </row>
    <row r="1719" spans="1:10" ht="14.25" customHeight="1">
      <c r="A1719" s="66" t="s">
        <v>3576</v>
      </c>
      <c r="B1719" s="66" t="s">
        <v>2680</v>
      </c>
      <c r="C1719" s="68">
        <v>0</v>
      </c>
      <c r="D1719" s="68">
        <v>0</v>
      </c>
      <c r="E1719" s="68">
        <v>0</v>
      </c>
      <c r="F1719" s="68">
        <v>0</v>
      </c>
      <c r="G1719" s="68">
        <v>579.81999999999994</v>
      </c>
      <c r="H1719" s="68">
        <v>579.81999999999994</v>
      </c>
      <c r="I1719" s="68">
        <v>0</v>
      </c>
      <c r="J1719" s="68">
        <v>0</v>
      </c>
    </row>
    <row r="1720" spans="1:10" ht="14.25" customHeight="1">
      <c r="A1720" s="66" t="s">
        <v>3577</v>
      </c>
      <c r="B1720" s="66" t="s">
        <v>3241</v>
      </c>
      <c r="C1720" s="68">
        <v>0</v>
      </c>
      <c r="D1720" s="68">
        <v>0</v>
      </c>
      <c r="E1720" s="68">
        <v>0</v>
      </c>
      <c r="F1720" s="68">
        <v>0</v>
      </c>
      <c r="G1720" s="68">
        <v>90</v>
      </c>
      <c r="H1720" s="68">
        <v>90</v>
      </c>
      <c r="I1720" s="68">
        <v>0</v>
      </c>
      <c r="J1720" s="68">
        <v>0</v>
      </c>
    </row>
    <row r="1721" spans="1:10" ht="14.25" customHeight="1">
      <c r="A1721" s="66" t="s">
        <v>3578</v>
      </c>
      <c r="B1721" s="66" t="s">
        <v>2708</v>
      </c>
      <c r="C1721" s="68">
        <v>0</v>
      </c>
      <c r="D1721" s="68">
        <v>0</v>
      </c>
      <c r="E1721" s="68">
        <v>65</v>
      </c>
      <c r="F1721" s="68">
        <v>65</v>
      </c>
      <c r="G1721" s="68">
        <v>780</v>
      </c>
      <c r="H1721" s="68">
        <v>780</v>
      </c>
      <c r="I1721" s="68">
        <v>0</v>
      </c>
      <c r="J1721" s="68">
        <v>0</v>
      </c>
    </row>
    <row r="1722" spans="1:10" ht="14.25" customHeight="1">
      <c r="A1722" s="66" t="s">
        <v>3579</v>
      </c>
      <c r="B1722" s="66" t="s">
        <v>3244</v>
      </c>
      <c r="C1722" s="68">
        <v>0</v>
      </c>
      <c r="D1722" s="68">
        <v>0</v>
      </c>
      <c r="E1722" s="68">
        <v>0</v>
      </c>
      <c r="F1722" s="68">
        <v>0</v>
      </c>
      <c r="G1722" s="68">
        <v>2144.89</v>
      </c>
      <c r="H1722" s="68">
        <v>2144.89</v>
      </c>
      <c r="I1722" s="68">
        <v>0</v>
      </c>
      <c r="J1722" s="68">
        <v>0</v>
      </c>
    </row>
    <row r="1723" spans="1:10" ht="14.25" customHeight="1">
      <c r="A1723" s="66" t="s">
        <v>3580</v>
      </c>
      <c r="B1723" s="66" t="s">
        <v>2798</v>
      </c>
      <c r="C1723" s="68">
        <v>0</v>
      </c>
      <c r="D1723" s="68">
        <v>0</v>
      </c>
      <c r="E1723" s="68">
        <v>667.5</v>
      </c>
      <c r="F1723" s="68">
        <v>667.5</v>
      </c>
      <c r="G1723" s="68">
        <v>8245</v>
      </c>
      <c r="H1723" s="68">
        <v>8245</v>
      </c>
      <c r="I1723" s="68">
        <v>0</v>
      </c>
      <c r="J1723" s="68">
        <v>0</v>
      </c>
    </row>
    <row r="1724" spans="1:10" ht="14.25" customHeight="1">
      <c r="A1724" s="66" t="s">
        <v>3581</v>
      </c>
      <c r="B1724" s="66" t="s">
        <v>3236</v>
      </c>
      <c r="C1724" s="68">
        <v>0</v>
      </c>
      <c r="D1724" s="68">
        <v>0</v>
      </c>
      <c r="E1724" s="68">
        <v>0</v>
      </c>
      <c r="F1724" s="68">
        <v>0</v>
      </c>
      <c r="G1724" s="68">
        <v>11523.439999999999</v>
      </c>
      <c r="H1724" s="68">
        <v>11523.439999999999</v>
      </c>
      <c r="I1724" s="68">
        <v>0</v>
      </c>
      <c r="J1724" s="68">
        <v>0</v>
      </c>
    </row>
    <row r="1725" spans="1:10" ht="14.25" customHeight="1">
      <c r="A1725" s="66" t="s">
        <v>3582</v>
      </c>
      <c r="B1725" s="66" t="s">
        <v>2678</v>
      </c>
      <c r="C1725" s="68">
        <v>0</v>
      </c>
      <c r="D1725" s="68">
        <v>0</v>
      </c>
      <c r="E1725" s="68">
        <v>3583.2799999999988</v>
      </c>
      <c r="F1725" s="68">
        <v>3583.2799999999988</v>
      </c>
      <c r="G1725" s="68">
        <v>25120.69</v>
      </c>
      <c r="H1725" s="68">
        <v>25120.69</v>
      </c>
      <c r="I1725" s="68">
        <v>0</v>
      </c>
      <c r="J1725" s="68">
        <v>0</v>
      </c>
    </row>
    <row r="1726" spans="1:10" ht="14.25" customHeight="1">
      <c r="A1726" s="72" t="s">
        <v>3583</v>
      </c>
      <c r="B1726" s="72" t="s">
        <v>2680</v>
      </c>
      <c r="C1726" s="73">
        <v>0</v>
      </c>
      <c r="D1726" s="73">
        <v>0</v>
      </c>
      <c r="E1726" s="73">
        <v>0</v>
      </c>
      <c r="F1726" s="73">
        <v>0</v>
      </c>
      <c r="G1726" s="73">
        <v>1112.28</v>
      </c>
      <c r="H1726" s="73">
        <v>1112.28</v>
      </c>
      <c r="I1726" s="73">
        <v>0</v>
      </c>
      <c r="J1726" s="73">
        <v>0</v>
      </c>
    </row>
    <row r="1727" spans="1:10" ht="14.25" customHeight="1">
      <c r="A1727" s="72" t="s">
        <v>3584</v>
      </c>
      <c r="B1727" s="72" t="s">
        <v>3241</v>
      </c>
      <c r="C1727" s="73">
        <v>0</v>
      </c>
      <c r="D1727" s="73">
        <v>0</v>
      </c>
      <c r="E1727" s="73">
        <v>25</v>
      </c>
      <c r="F1727" s="73">
        <v>25</v>
      </c>
      <c r="G1727" s="73">
        <v>285</v>
      </c>
      <c r="H1727" s="73">
        <v>285</v>
      </c>
      <c r="I1727" s="73">
        <v>0</v>
      </c>
      <c r="J1727" s="73">
        <v>0</v>
      </c>
    </row>
    <row r="1728" spans="1:10" ht="14.25" customHeight="1">
      <c r="A1728" s="72" t="s">
        <v>3585</v>
      </c>
      <c r="B1728" s="72" t="s">
        <v>2708</v>
      </c>
      <c r="C1728" s="73">
        <v>0</v>
      </c>
      <c r="D1728" s="73">
        <v>0</v>
      </c>
      <c r="E1728" s="73">
        <v>64.999999999999943</v>
      </c>
      <c r="F1728" s="73">
        <v>64.999999999999943</v>
      </c>
      <c r="G1728" s="73">
        <v>540.04999999999995</v>
      </c>
      <c r="H1728" s="73">
        <v>540.04999999999995</v>
      </c>
      <c r="I1728" s="73">
        <v>0</v>
      </c>
      <c r="J1728" s="73">
        <v>0</v>
      </c>
    </row>
    <row r="1729" spans="1:10" ht="14.25" customHeight="1">
      <c r="A1729" s="72" t="s">
        <v>3586</v>
      </c>
      <c r="B1729" s="72" t="s">
        <v>3244</v>
      </c>
      <c r="C1729" s="73">
        <v>0</v>
      </c>
      <c r="D1729" s="73">
        <v>0</v>
      </c>
      <c r="E1729" s="73">
        <v>2833.8300000000017</v>
      </c>
      <c r="F1729" s="73">
        <v>2833.8300000000017</v>
      </c>
      <c r="G1729" s="73">
        <v>19784.620000000003</v>
      </c>
      <c r="H1729" s="73">
        <v>19784.620000000003</v>
      </c>
      <c r="I1729" s="73">
        <v>0</v>
      </c>
      <c r="J1729" s="73">
        <v>0</v>
      </c>
    </row>
    <row r="1730" spans="1:10" ht="14.25" customHeight="1">
      <c r="A1730" s="72" t="s">
        <v>3587</v>
      </c>
      <c r="B1730" s="72" t="s">
        <v>3246</v>
      </c>
      <c r="C1730" s="73">
        <v>0</v>
      </c>
      <c r="D1730" s="73">
        <v>0</v>
      </c>
      <c r="E1730" s="73">
        <v>108</v>
      </c>
      <c r="F1730" s="73">
        <v>108</v>
      </c>
      <c r="G1730" s="73">
        <v>1080</v>
      </c>
      <c r="H1730" s="73">
        <v>1080</v>
      </c>
      <c r="I1730" s="73">
        <v>0</v>
      </c>
      <c r="J1730" s="73">
        <v>0</v>
      </c>
    </row>
    <row r="1731" spans="1:10" ht="14.25" customHeight="1">
      <c r="A1731" s="72" t="s">
        <v>3588</v>
      </c>
      <c r="B1731" s="72" t="s">
        <v>2798</v>
      </c>
      <c r="C1731" s="73">
        <v>0</v>
      </c>
      <c r="D1731" s="73">
        <v>0</v>
      </c>
      <c r="E1731" s="73">
        <v>487.32999999999993</v>
      </c>
      <c r="F1731" s="73">
        <v>487.32999999999993</v>
      </c>
      <c r="G1731" s="73">
        <v>4873.3</v>
      </c>
      <c r="H1731" s="73">
        <v>4873.3</v>
      </c>
      <c r="I1731" s="73">
        <v>0</v>
      </c>
      <c r="J1731" s="73">
        <v>0</v>
      </c>
    </row>
    <row r="1732" spans="1:10" ht="14.25" customHeight="1">
      <c r="A1732" s="72" t="s">
        <v>3589</v>
      </c>
      <c r="B1732" s="72" t="s">
        <v>2688</v>
      </c>
      <c r="C1732" s="73">
        <v>0</v>
      </c>
      <c r="D1732" s="73">
        <v>0</v>
      </c>
      <c r="E1732" s="73">
        <v>0</v>
      </c>
      <c r="F1732" s="73">
        <v>0</v>
      </c>
      <c r="G1732" s="73">
        <v>1020</v>
      </c>
      <c r="H1732" s="73">
        <v>1020</v>
      </c>
      <c r="I1732" s="73">
        <v>0</v>
      </c>
      <c r="J1732" s="73">
        <v>0</v>
      </c>
    </row>
    <row r="1733" spans="1:10" ht="14.25" customHeight="1">
      <c r="A1733" s="72" t="s">
        <v>3590</v>
      </c>
      <c r="B1733" s="72" t="s">
        <v>2724</v>
      </c>
      <c r="C1733" s="73">
        <v>0</v>
      </c>
      <c r="D1733" s="73">
        <v>0</v>
      </c>
      <c r="E1733" s="73">
        <v>130</v>
      </c>
      <c r="F1733" s="73">
        <v>130</v>
      </c>
      <c r="G1733" s="73">
        <v>4607.25</v>
      </c>
      <c r="H1733" s="73">
        <v>4607.25</v>
      </c>
      <c r="I1733" s="73">
        <v>0</v>
      </c>
      <c r="J1733" s="73">
        <v>0</v>
      </c>
    </row>
    <row r="1734" spans="1:10" ht="14.25" customHeight="1">
      <c r="A1734" s="72" t="s">
        <v>3591</v>
      </c>
      <c r="B1734" s="72" t="s">
        <v>3592</v>
      </c>
      <c r="C1734" s="73">
        <v>1339869.17</v>
      </c>
      <c r="D1734" s="73">
        <v>0</v>
      </c>
      <c r="E1734" s="73">
        <v>250857.16000000015</v>
      </c>
      <c r="F1734" s="73">
        <v>408911.05999999959</v>
      </c>
      <c r="G1734" s="73">
        <v>6732206.620000001</v>
      </c>
      <c r="H1734" s="73">
        <v>5074531.55</v>
      </c>
      <c r="I1734" s="73">
        <v>1657675.0700000012</v>
      </c>
      <c r="J1734" s="73">
        <v>0</v>
      </c>
    </row>
    <row r="1735" spans="1:10">
      <c r="A1735" s="72" t="s">
        <v>3593</v>
      </c>
      <c r="B1735" s="72" t="s">
        <v>3594</v>
      </c>
      <c r="C1735" s="73">
        <v>260757.9</v>
      </c>
      <c r="D1735" s="73">
        <v>0</v>
      </c>
      <c r="E1735" s="73">
        <v>61821</v>
      </c>
      <c r="F1735" s="73">
        <v>61331.800000000047</v>
      </c>
      <c r="G1735" s="73">
        <v>906093.59</v>
      </c>
      <c r="H1735" s="73">
        <v>739374.23</v>
      </c>
      <c r="I1735" s="73">
        <v>166719.35999999999</v>
      </c>
      <c r="J1735" s="73">
        <v>0</v>
      </c>
    </row>
    <row r="1736" spans="1:10">
      <c r="A1736" s="72" t="s">
        <v>3595</v>
      </c>
      <c r="B1736" s="72" t="s">
        <v>2682</v>
      </c>
      <c r="C1736" s="73">
        <v>7191.2</v>
      </c>
      <c r="D1736" s="73">
        <v>0</v>
      </c>
      <c r="E1736" s="73">
        <v>0</v>
      </c>
      <c r="F1736" s="73">
        <v>599.44999999999982</v>
      </c>
      <c r="G1736" s="73">
        <v>8735.64</v>
      </c>
      <c r="H1736" s="73">
        <v>7191.2</v>
      </c>
      <c r="I1736" s="73">
        <v>1544.4399999999996</v>
      </c>
      <c r="J1736" s="73">
        <v>0</v>
      </c>
    </row>
    <row r="1737" spans="1:10">
      <c r="A1737" s="72" t="s">
        <v>3596</v>
      </c>
      <c r="B1737" s="72" t="s">
        <v>3597</v>
      </c>
      <c r="C1737" s="73">
        <v>1071920.07</v>
      </c>
      <c r="D1737" s="73">
        <v>0</v>
      </c>
      <c r="E1737" s="73">
        <v>189036.16000000015</v>
      </c>
      <c r="F1737" s="73">
        <v>346979.80999999959</v>
      </c>
      <c r="G1737" s="73">
        <v>5817377.3900000006</v>
      </c>
      <c r="H1737" s="73">
        <v>4327966.1199999992</v>
      </c>
      <c r="I1737" s="73">
        <v>1489411.2700000014</v>
      </c>
      <c r="J1737" s="73">
        <v>0</v>
      </c>
    </row>
    <row r="1738" spans="1:10">
      <c r="A1738" s="72" t="s">
        <v>3598</v>
      </c>
      <c r="B1738" s="72" t="s">
        <v>3599</v>
      </c>
      <c r="C1738" s="73">
        <v>0</v>
      </c>
      <c r="D1738" s="73">
        <v>12460520.750000002</v>
      </c>
      <c r="E1738" s="73">
        <v>336695</v>
      </c>
      <c r="F1738" s="73">
        <v>131596.25</v>
      </c>
      <c r="G1738" s="73">
        <v>683290.85</v>
      </c>
      <c r="H1738" s="73">
        <v>13551533.709999997</v>
      </c>
      <c r="I1738" s="73">
        <v>0</v>
      </c>
      <c r="J1738" s="73">
        <v>12868242.859999998</v>
      </c>
    </row>
    <row r="1739" spans="1:10">
      <c r="A1739" s="72" t="s">
        <v>3600</v>
      </c>
      <c r="B1739" s="72" t="s">
        <v>3601</v>
      </c>
      <c r="C1739" s="73">
        <v>0</v>
      </c>
      <c r="D1739" s="73">
        <v>10689202.710000001</v>
      </c>
      <c r="E1739" s="73">
        <v>0</v>
      </c>
      <c r="F1739" s="73">
        <v>22707</v>
      </c>
      <c r="G1739" s="73">
        <v>0</v>
      </c>
      <c r="H1739" s="73">
        <v>10961202.710000001</v>
      </c>
      <c r="I1739" s="73">
        <v>0</v>
      </c>
      <c r="J1739" s="73">
        <v>10961202.710000001</v>
      </c>
    </row>
    <row r="1740" spans="1:10">
      <c r="A1740" s="72" t="s">
        <v>3602</v>
      </c>
      <c r="B1740" s="72" t="s">
        <v>3603</v>
      </c>
      <c r="C1740" s="73">
        <v>0</v>
      </c>
      <c r="D1740" s="73">
        <v>282874.40999999997</v>
      </c>
      <c r="E1740" s="73">
        <v>81730.070000000007</v>
      </c>
      <c r="F1740" s="73">
        <v>0</v>
      </c>
      <c r="G1740" s="73">
        <v>81730.070000000007</v>
      </c>
      <c r="H1740" s="73">
        <v>282874.40999999997</v>
      </c>
      <c r="I1740" s="73">
        <v>0</v>
      </c>
      <c r="J1740" s="73">
        <v>201144.33999999997</v>
      </c>
    </row>
    <row r="1741" spans="1:10">
      <c r="A1741" s="72" t="s">
        <v>3604</v>
      </c>
      <c r="B1741" s="72" t="s">
        <v>3605</v>
      </c>
      <c r="C1741" s="73">
        <v>0</v>
      </c>
      <c r="D1741" s="73">
        <v>148443.63</v>
      </c>
      <c r="E1741" s="73">
        <v>148443.63</v>
      </c>
      <c r="F1741" s="73">
        <v>365895.81</v>
      </c>
      <c r="G1741" s="73">
        <v>148443.63</v>
      </c>
      <c r="H1741" s="73">
        <v>514339.44</v>
      </c>
      <c r="I1741" s="73">
        <v>0</v>
      </c>
      <c r="J1741" s="73">
        <v>365895.81</v>
      </c>
    </row>
    <row r="1742" spans="1:10">
      <c r="A1742" s="72" t="s">
        <v>3606</v>
      </c>
      <c r="B1742" s="72" t="s">
        <v>3607</v>
      </c>
      <c r="C1742" s="73">
        <v>0</v>
      </c>
      <c r="D1742" s="73">
        <v>1340000</v>
      </c>
      <c r="E1742" s="73">
        <v>106521.29999999999</v>
      </c>
      <c r="F1742" s="73">
        <v>-257006.56000000006</v>
      </c>
      <c r="G1742" s="73">
        <v>453117.14999999997</v>
      </c>
      <c r="H1742" s="73">
        <v>1793117.15</v>
      </c>
      <c r="I1742" s="73">
        <v>0</v>
      </c>
      <c r="J1742" s="73">
        <v>1340000</v>
      </c>
    </row>
    <row r="1743" spans="1:10">
      <c r="A1743" s="72" t="s">
        <v>3608</v>
      </c>
      <c r="B1743" s="72" t="s">
        <v>3609</v>
      </c>
      <c r="C1743" s="73">
        <v>3291902</v>
      </c>
      <c r="D1743" s="73">
        <v>0</v>
      </c>
      <c r="E1743" s="73">
        <v>361999</v>
      </c>
      <c r="F1743" s="73">
        <v>0</v>
      </c>
      <c r="G1743" s="73">
        <v>3653901</v>
      </c>
      <c r="H1743" s="73">
        <v>0</v>
      </c>
      <c r="I1743" s="73">
        <v>3653901</v>
      </c>
      <c r="J1743" s="73">
        <v>0</v>
      </c>
    </row>
    <row r="1744" spans="1:10">
      <c r="A1744" s="72" t="s">
        <v>3610</v>
      </c>
      <c r="B1744" s="72" t="s">
        <v>3611</v>
      </c>
      <c r="C1744" s="73">
        <v>0</v>
      </c>
      <c r="D1744" s="73">
        <v>0</v>
      </c>
      <c r="E1744" s="73">
        <v>0</v>
      </c>
      <c r="F1744" s="73">
        <v>3220567.8500000015</v>
      </c>
      <c r="G1744" s="73">
        <v>0</v>
      </c>
      <c r="H1744" s="73">
        <v>37239583.090000004</v>
      </c>
      <c r="I1744" s="73">
        <v>0</v>
      </c>
      <c r="J1744" s="73">
        <v>37239583.090000004</v>
      </c>
    </row>
    <row r="1745" spans="1:10">
      <c r="A1745" s="72" t="s">
        <v>3612</v>
      </c>
      <c r="B1745" s="72" t="s">
        <v>3613</v>
      </c>
      <c r="C1745" s="73">
        <v>0</v>
      </c>
      <c r="D1745" s="73">
        <v>0</v>
      </c>
      <c r="E1745" s="73">
        <v>0</v>
      </c>
      <c r="F1745" s="73">
        <v>2696387.8500000015</v>
      </c>
      <c r="G1745" s="73">
        <v>0</v>
      </c>
      <c r="H1745" s="73">
        <v>33078948.910000004</v>
      </c>
      <c r="I1745" s="73">
        <v>0</v>
      </c>
      <c r="J1745" s="73">
        <v>33078948.910000004</v>
      </c>
    </row>
    <row r="1746" spans="1:10">
      <c r="A1746" s="72" t="s">
        <v>3614</v>
      </c>
      <c r="B1746" s="72" t="s">
        <v>3615</v>
      </c>
      <c r="C1746" s="73">
        <v>0</v>
      </c>
      <c r="D1746" s="73">
        <v>0</v>
      </c>
      <c r="E1746" s="73">
        <v>0</v>
      </c>
      <c r="F1746" s="73">
        <v>97389.280000000028</v>
      </c>
      <c r="G1746" s="73">
        <v>0</v>
      </c>
      <c r="H1746" s="73">
        <v>648884.12</v>
      </c>
      <c r="I1746" s="73">
        <v>0</v>
      </c>
      <c r="J1746" s="73">
        <v>648884.12</v>
      </c>
    </row>
    <row r="1747" spans="1:10">
      <c r="A1747" s="72" t="s">
        <v>3616</v>
      </c>
      <c r="B1747" s="72" t="s">
        <v>3617</v>
      </c>
      <c r="C1747" s="73">
        <v>0</v>
      </c>
      <c r="D1747" s="73">
        <v>0</v>
      </c>
      <c r="E1747" s="73">
        <v>0</v>
      </c>
      <c r="F1747" s="73">
        <v>120106.69999999995</v>
      </c>
      <c r="G1747" s="73">
        <v>0</v>
      </c>
      <c r="H1747" s="73">
        <v>1671690.9600000002</v>
      </c>
      <c r="I1747" s="73">
        <v>0</v>
      </c>
      <c r="J1747" s="73">
        <v>1671690.9600000002</v>
      </c>
    </row>
    <row r="1748" spans="1:10">
      <c r="A1748" s="72" t="s">
        <v>3618</v>
      </c>
      <c r="B1748" s="72" t="s">
        <v>3619</v>
      </c>
      <c r="C1748" s="73">
        <v>0</v>
      </c>
      <c r="D1748" s="73">
        <v>0</v>
      </c>
      <c r="E1748" s="73">
        <v>0</v>
      </c>
      <c r="F1748" s="73">
        <v>0</v>
      </c>
      <c r="G1748" s="73">
        <v>0</v>
      </c>
      <c r="H1748" s="73">
        <v>56856.039999999994</v>
      </c>
      <c r="I1748" s="73">
        <v>0</v>
      </c>
      <c r="J1748" s="73">
        <v>56856.039999999994</v>
      </c>
    </row>
    <row r="1749" spans="1:10">
      <c r="A1749" s="72" t="s">
        <v>3620</v>
      </c>
      <c r="B1749" s="72" t="s">
        <v>3597</v>
      </c>
      <c r="C1749" s="73">
        <v>0</v>
      </c>
      <c r="D1749" s="73">
        <v>0</v>
      </c>
      <c r="E1749" s="73">
        <v>0</v>
      </c>
      <c r="F1749" s="73">
        <v>290312.59999999986</v>
      </c>
      <c r="G1749" s="73">
        <v>0</v>
      </c>
      <c r="H1749" s="73">
        <v>1599214.9</v>
      </c>
      <c r="I1749" s="73">
        <v>0</v>
      </c>
      <c r="J1749" s="73">
        <v>1599214.9</v>
      </c>
    </row>
    <row r="1750" spans="1:10">
      <c r="A1750" s="72" t="s">
        <v>3621</v>
      </c>
      <c r="B1750" s="72" t="s">
        <v>2691</v>
      </c>
      <c r="C1750" s="73">
        <v>0</v>
      </c>
      <c r="D1750" s="73">
        <v>0</v>
      </c>
      <c r="E1750" s="73">
        <v>0</v>
      </c>
      <c r="F1750" s="73">
        <v>16371.420000000013</v>
      </c>
      <c r="G1750" s="73">
        <v>0</v>
      </c>
      <c r="H1750" s="73">
        <v>179594.84</v>
      </c>
      <c r="I1750" s="73">
        <v>0</v>
      </c>
      <c r="J1750" s="73">
        <v>179594.84</v>
      </c>
    </row>
    <row r="1751" spans="1:10">
      <c r="A1751" s="72" t="s">
        <v>3622</v>
      </c>
      <c r="B1751" s="72" t="s">
        <v>3623</v>
      </c>
      <c r="C1751" s="73">
        <v>0</v>
      </c>
      <c r="D1751" s="73">
        <v>0</v>
      </c>
      <c r="E1751" s="73">
        <v>0</v>
      </c>
      <c r="F1751" s="73">
        <v>0</v>
      </c>
      <c r="G1751" s="73">
        <v>0</v>
      </c>
      <c r="H1751" s="73">
        <v>4393.32</v>
      </c>
      <c r="I1751" s="73">
        <v>0</v>
      </c>
      <c r="J1751" s="73">
        <v>4393.32</v>
      </c>
    </row>
    <row r="1752" spans="1:10">
      <c r="A1752" s="72" t="s">
        <v>3624</v>
      </c>
      <c r="B1752" s="72" t="s">
        <v>3625</v>
      </c>
      <c r="C1752" s="73">
        <v>0</v>
      </c>
      <c r="D1752" s="73">
        <v>0</v>
      </c>
      <c r="E1752" s="73">
        <v>0</v>
      </c>
      <c r="F1752" s="73">
        <v>3152807.9600000009</v>
      </c>
      <c r="G1752" s="73">
        <v>0</v>
      </c>
      <c r="H1752" s="73">
        <v>31269424.360000003</v>
      </c>
      <c r="I1752" s="73">
        <v>0</v>
      </c>
      <c r="J1752" s="73">
        <v>31269424.360000003</v>
      </c>
    </row>
    <row r="1753" spans="1:10">
      <c r="A1753" s="74" t="s">
        <v>3626</v>
      </c>
      <c r="B1753" s="74" t="s">
        <v>3627</v>
      </c>
      <c r="C1753" s="75">
        <v>0</v>
      </c>
      <c r="D1753" s="75">
        <v>0</v>
      </c>
      <c r="E1753" s="75">
        <v>0</v>
      </c>
      <c r="F1753" s="75">
        <v>1836519.4200000018</v>
      </c>
      <c r="G1753" s="75">
        <v>0</v>
      </c>
      <c r="H1753" s="75">
        <v>23833839.170000002</v>
      </c>
      <c r="I1753" s="75">
        <v>0</v>
      </c>
      <c r="J1753" s="75">
        <v>23833839.170000002</v>
      </c>
    </row>
    <row r="1754" spans="1:10">
      <c r="A1754" s="74" t="s">
        <v>3628</v>
      </c>
      <c r="B1754" s="74" t="s">
        <v>3629</v>
      </c>
      <c r="C1754" s="75">
        <v>0</v>
      </c>
      <c r="D1754" s="75">
        <v>0</v>
      </c>
      <c r="E1754" s="75">
        <v>0</v>
      </c>
      <c r="F1754" s="75">
        <v>1262108.79</v>
      </c>
      <c r="G1754" s="75">
        <v>0</v>
      </c>
      <c r="H1754" s="75">
        <v>6842777.2799999993</v>
      </c>
      <c r="I1754" s="75">
        <v>0</v>
      </c>
      <c r="J1754" s="75">
        <v>6842777.2799999993</v>
      </c>
    </row>
    <row r="1755" spans="1:10">
      <c r="A1755" s="66" t="s">
        <v>3630</v>
      </c>
      <c r="B1755" s="66" t="s">
        <v>3631</v>
      </c>
      <c r="C1755" s="68">
        <v>0</v>
      </c>
      <c r="D1755" s="68">
        <v>0</v>
      </c>
      <c r="E1755" s="68">
        <v>0</v>
      </c>
      <c r="F1755" s="68">
        <v>52179.75</v>
      </c>
      <c r="G1755" s="68">
        <v>0</v>
      </c>
      <c r="H1755" s="68">
        <v>569455.91</v>
      </c>
      <c r="I1755" s="68">
        <v>0</v>
      </c>
      <c r="J1755" s="68">
        <v>569455.91</v>
      </c>
    </row>
    <row r="1756" spans="1:10">
      <c r="A1756" s="66" t="s">
        <v>3632</v>
      </c>
      <c r="B1756" s="66" t="s">
        <v>3633</v>
      </c>
      <c r="C1756" s="68">
        <v>0</v>
      </c>
      <c r="D1756" s="68">
        <v>0</v>
      </c>
      <c r="E1756" s="68">
        <v>0</v>
      </c>
      <c r="F1756" s="68">
        <v>1200</v>
      </c>
      <c r="G1756" s="68">
        <v>0</v>
      </c>
      <c r="H1756" s="68">
        <v>16590</v>
      </c>
      <c r="I1756" s="68">
        <v>0</v>
      </c>
      <c r="J1756" s="68">
        <v>16590</v>
      </c>
    </row>
    <row r="1757" spans="1:10">
      <c r="A1757" s="66" t="s">
        <v>3634</v>
      </c>
      <c r="B1757" s="66" t="s">
        <v>3623</v>
      </c>
      <c r="C1757" s="68">
        <v>0</v>
      </c>
      <c r="D1757" s="68">
        <v>0</v>
      </c>
      <c r="E1757" s="68">
        <v>0</v>
      </c>
      <c r="F1757" s="68">
        <v>800</v>
      </c>
      <c r="G1757" s="68">
        <v>0</v>
      </c>
      <c r="H1757" s="68">
        <v>6762</v>
      </c>
      <c r="I1757" s="68">
        <v>0</v>
      </c>
      <c r="J1757" s="68">
        <v>6762</v>
      </c>
    </row>
    <row r="1758" spans="1:10">
      <c r="A1758" s="66" t="s">
        <v>3635</v>
      </c>
      <c r="B1758" s="66" t="s">
        <v>3636</v>
      </c>
      <c r="C1758" s="68">
        <v>0</v>
      </c>
      <c r="D1758" s="68">
        <v>0</v>
      </c>
      <c r="E1758" s="68">
        <v>0</v>
      </c>
      <c r="F1758" s="68">
        <v>861280.25999999978</v>
      </c>
      <c r="G1758" s="68">
        <v>0</v>
      </c>
      <c r="H1758" s="68">
        <v>9291524.8699999992</v>
      </c>
      <c r="I1758" s="68">
        <v>0</v>
      </c>
      <c r="J1758" s="68">
        <v>9291524.8699999992</v>
      </c>
    </row>
    <row r="1759" spans="1:10">
      <c r="A1759" s="66" t="s">
        <v>3637</v>
      </c>
      <c r="B1759" s="66" t="s">
        <v>3638</v>
      </c>
      <c r="C1759" s="68">
        <v>0</v>
      </c>
      <c r="D1759" s="68">
        <v>0</v>
      </c>
      <c r="E1759" s="68">
        <v>0</v>
      </c>
      <c r="F1759" s="68">
        <v>861280.25999999978</v>
      </c>
      <c r="G1759" s="68">
        <v>0</v>
      </c>
      <c r="H1759" s="68">
        <v>9291524.8699999992</v>
      </c>
      <c r="I1759" s="68">
        <v>0</v>
      </c>
      <c r="J1759" s="68">
        <v>9291524.8699999992</v>
      </c>
    </row>
    <row r="1760" spans="1:10">
      <c r="A1760" s="66" t="s">
        <v>3639</v>
      </c>
      <c r="B1760" s="66" t="s">
        <v>3640</v>
      </c>
      <c r="C1760" s="68">
        <v>0</v>
      </c>
      <c r="D1760" s="68">
        <v>0</v>
      </c>
      <c r="E1760" s="68">
        <v>0</v>
      </c>
      <c r="F1760" s="68">
        <v>16615.73000000001</v>
      </c>
      <c r="G1760" s="68">
        <v>0</v>
      </c>
      <c r="H1760" s="68">
        <v>134248.37000000002</v>
      </c>
      <c r="I1760" s="68">
        <v>0</v>
      </c>
      <c r="J1760" s="68">
        <v>134248.37000000002</v>
      </c>
    </row>
    <row r="1761" spans="1:10">
      <c r="A1761" s="66" t="s">
        <v>3641</v>
      </c>
      <c r="B1761" s="66" t="s">
        <v>2691</v>
      </c>
      <c r="C1761" s="68">
        <v>0</v>
      </c>
      <c r="D1761" s="68">
        <v>0</v>
      </c>
      <c r="E1761" s="68">
        <v>0</v>
      </c>
      <c r="F1761" s="68">
        <v>8433.7299999999959</v>
      </c>
      <c r="G1761" s="68">
        <v>0</v>
      </c>
      <c r="H1761" s="68">
        <v>78238.12</v>
      </c>
      <c r="I1761" s="68">
        <v>0</v>
      </c>
      <c r="J1761" s="68">
        <v>78238.12</v>
      </c>
    </row>
    <row r="1762" spans="1:10">
      <c r="A1762" s="66" t="s">
        <v>3642</v>
      </c>
      <c r="B1762" s="66" t="s">
        <v>2693</v>
      </c>
      <c r="C1762" s="68">
        <v>0</v>
      </c>
      <c r="D1762" s="68">
        <v>0</v>
      </c>
      <c r="E1762" s="68">
        <v>0</v>
      </c>
      <c r="F1762" s="68">
        <v>8182</v>
      </c>
      <c r="G1762" s="68">
        <v>0</v>
      </c>
      <c r="H1762" s="68">
        <v>56010.25</v>
      </c>
      <c r="I1762" s="68">
        <v>0</v>
      </c>
      <c r="J1762" s="68">
        <v>56010.25</v>
      </c>
    </row>
    <row r="1763" spans="1:10">
      <c r="A1763" s="66" t="s">
        <v>3643</v>
      </c>
      <c r="B1763" s="66" t="s">
        <v>3644</v>
      </c>
      <c r="C1763" s="68">
        <v>0</v>
      </c>
      <c r="D1763" s="68">
        <v>0</v>
      </c>
      <c r="E1763" s="68">
        <v>4037340.549999997</v>
      </c>
      <c r="F1763" s="68">
        <v>4037340.549999997</v>
      </c>
      <c r="G1763" s="68">
        <v>52143503.949999988</v>
      </c>
      <c r="H1763" s="68">
        <v>52143503.950000003</v>
      </c>
      <c r="I1763" s="68">
        <v>0</v>
      </c>
      <c r="J1763" s="68">
        <v>1.4901161193847656E-8</v>
      </c>
    </row>
    <row r="1764" spans="1:10">
      <c r="A1764" s="66" t="s">
        <v>3645</v>
      </c>
      <c r="B1764" s="66" t="s">
        <v>3646</v>
      </c>
      <c r="C1764" s="68">
        <v>0</v>
      </c>
      <c r="D1764" s="68">
        <v>0</v>
      </c>
      <c r="E1764" s="68">
        <v>2103304.1900000013</v>
      </c>
      <c r="F1764" s="68">
        <v>2103304.1900000013</v>
      </c>
      <c r="G1764" s="68">
        <v>26787383.210000001</v>
      </c>
      <c r="H1764" s="68">
        <v>26787383.210000001</v>
      </c>
      <c r="I1764" s="68">
        <v>0</v>
      </c>
      <c r="J1764" s="68">
        <v>0</v>
      </c>
    </row>
    <row r="1765" spans="1:10">
      <c r="A1765" s="66" t="s">
        <v>3647</v>
      </c>
      <c r="B1765" s="66" t="s">
        <v>3648</v>
      </c>
      <c r="C1765" s="68">
        <v>0</v>
      </c>
      <c r="D1765" s="68">
        <v>0</v>
      </c>
      <c r="E1765" s="68">
        <v>606775.22999999952</v>
      </c>
      <c r="F1765" s="68">
        <v>606775.22999999952</v>
      </c>
      <c r="G1765" s="68">
        <v>8212355.9399999995</v>
      </c>
      <c r="H1765" s="68">
        <v>8212355.9399999995</v>
      </c>
      <c r="I1765" s="68">
        <v>0</v>
      </c>
      <c r="J1765" s="68">
        <v>0</v>
      </c>
    </row>
    <row r="1766" spans="1:10">
      <c r="A1766" s="66" t="s">
        <v>3649</v>
      </c>
      <c r="B1766" s="66" t="s">
        <v>3650</v>
      </c>
      <c r="C1766" s="68">
        <v>0</v>
      </c>
      <c r="D1766" s="68">
        <v>0</v>
      </c>
      <c r="E1766" s="68">
        <v>191773.10000000009</v>
      </c>
      <c r="F1766" s="68">
        <v>191773.10000000009</v>
      </c>
      <c r="G1766" s="68">
        <v>2443008.6100000003</v>
      </c>
      <c r="H1766" s="68">
        <v>2443008.6100000003</v>
      </c>
      <c r="I1766" s="68">
        <v>0</v>
      </c>
      <c r="J1766" s="68">
        <v>0</v>
      </c>
    </row>
    <row r="1767" spans="1:10">
      <c r="A1767" s="66" t="s">
        <v>3651</v>
      </c>
      <c r="B1767" s="66" t="s">
        <v>3652</v>
      </c>
      <c r="C1767" s="68">
        <v>0</v>
      </c>
      <c r="D1767" s="68">
        <v>0</v>
      </c>
      <c r="E1767" s="68">
        <v>83062.030000000028</v>
      </c>
      <c r="F1767" s="68">
        <v>83062.030000000028</v>
      </c>
      <c r="G1767" s="68">
        <v>1116305.6299999999</v>
      </c>
      <c r="H1767" s="68">
        <v>1116305.6299999999</v>
      </c>
      <c r="I1767" s="68">
        <v>0</v>
      </c>
      <c r="J1767" s="68">
        <v>0</v>
      </c>
    </row>
    <row r="1768" spans="1:10">
      <c r="A1768" s="66" t="s">
        <v>3653</v>
      </c>
      <c r="B1768" s="66" t="s">
        <v>3654</v>
      </c>
      <c r="C1768" s="68">
        <v>0</v>
      </c>
      <c r="D1768" s="68">
        <v>0</v>
      </c>
      <c r="E1768" s="68">
        <v>226542.12000000011</v>
      </c>
      <c r="F1768" s="68">
        <v>226542.12000000011</v>
      </c>
      <c r="G1768" s="68">
        <v>3294165.22</v>
      </c>
      <c r="H1768" s="68">
        <v>3294165.22</v>
      </c>
      <c r="I1768" s="68">
        <v>0</v>
      </c>
      <c r="J1768" s="68">
        <v>0</v>
      </c>
    </row>
    <row r="1769" spans="1:10">
      <c r="A1769" s="66" t="s">
        <v>3655</v>
      </c>
      <c r="B1769" s="66" t="s">
        <v>3656</v>
      </c>
      <c r="C1769" s="68">
        <v>0</v>
      </c>
      <c r="D1769" s="68">
        <v>0</v>
      </c>
      <c r="E1769" s="68">
        <v>167959.97999999998</v>
      </c>
      <c r="F1769" s="68">
        <v>167959.97999999998</v>
      </c>
      <c r="G1769" s="68">
        <v>2413105.29</v>
      </c>
      <c r="H1769" s="68">
        <v>2413105.29</v>
      </c>
      <c r="I1769" s="68">
        <v>0</v>
      </c>
      <c r="J1769" s="68">
        <v>0</v>
      </c>
    </row>
    <row r="1770" spans="1:10">
      <c r="A1770" s="66" t="s">
        <v>3657</v>
      </c>
      <c r="B1770" s="66" t="s">
        <v>3658</v>
      </c>
      <c r="C1770" s="68">
        <v>0</v>
      </c>
      <c r="D1770" s="68">
        <v>0</v>
      </c>
      <c r="E1770" s="68">
        <v>177410.29999999981</v>
      </c>
      <c r="F1770" s="68">
        <v>177410.29999999981</v>
      </c>
      <c r="G1770" s="68">
        <v>2539031.1999999997</v>
      </c>
      <c r="H1770" s="68">
        <v>2539031.1999999997</v>
      </c>
      <c r="I1770" s="68">
        <v>0</v>
      </c>
      <c r="J1770" s="68">
        <v>0</v>
      </c>
    </row>
    <row r="1771" spans="1:10">
      <c r="A1771" s="66" t="s">
        <v>3659</v>
      </c>
      <c r="B1771" s="66" t="s">
        <v>3660</v>
      </c>
      <c r="C1771" s="68">
        <v>0</v>
      </c>
      <c r="D1771" s="68">
        <v>0</v>
      </c>
      <c r="E1771" s="68">
        <v>137041.35000000009</v>
      </c>
      <c r="F1771" s="68">
        <v>137041.35000000009</v>
      </c>
      <c r="G1771" s="68">
        <v>1601703.6</v>
      </c>
      <c r="H1771" s="68">
        <v>1601703.6</v>
      </c>
      <c r="I1771" s="68">
        <v>0</v>
      </c>
      <c r="J1771" s="68">
        <v>0</v>
      </c>
    </row>
    <row r="1772" spans="1:10">
      <c r="A1772" s="66" t="s">
        <v>3661</v>
      </c>
      <c r="B1772" s="66" t="s">
        <v>3662</v>
      </c>
      <c r="C1772" s="68">
        <v>0</v>
      </c>
      <c r="D1772" s="68">
        <v>0</v>
      </c>
      <c r="E1772" s="68">
        <v>343472.25</v>
      </c>
      <c r="F1772" s="68">
        <v>343472.25</v>
      </c>
      <c r="G1772" s="68">
        <v>3736445.25</v>
      </c>
      <c r="H1772" s="68">
        <v>3736445.25</v>
      </c>
      <c r="I1772" s="68">
        <v>0</v>
      </c>
      <c r="J1772" s="68">
        <v>0</v>
      </c>
    </row>
    <row r="1773" spans="1:10">
      <c r="A1773" s="66" t="s">
        <v>3663</v>
      </c>
      <c r="B1773" s="66" t="s">
        <v>3664</v>
      </c>
      <c r="C1773" s="68">
        <v>0</v>
      </c>
      <c r="D1773" s="68">
        <v>0</v>
      </c>
      <c r="E1773" s="68">
        <v>0</v>
      </c>
      <c r="F1773" s="68">
        <v>36146.099999999977</v>
      </c>
      <c r="G1773" s="68">
        <v>0</v>
      </c>
      <c r="H1773" s="68">
        <v>989436.55999999994</v>
      </c>
      <c r="I1773" s="68">
        <v>0</v>
      </c>
      <c r="J1773" s="68">
        <v>989436.55999999994</v>
      </c>
    </row>
    <row r="1774" spans="1:10">
      <c r="A1774" s="66" t="s">
        <v>3665</v>
      </c>
      <c r="B1774" s="66" t="s">
        <v>3666</v>
      </c>
      <c r="C1774" s="68">
        <v>0</v>
      </c>
      <c r="D1774" s="68">
        <v>0</v>
      </c>
      <c r="E1774" s="68">
        <v>0</v>
      </c>
      <c r="F1774" s="68">
        <v>32071.270000000019</v>
      </c>
      <c r="G1774" s="68">
        <v>0</v>
      </c>
      <c r="H1774" s="68">
        <v>653360.33000000007</v>
      </c>
      <c r="I1774" s="68">
        <v>0</v>
      </c>
      <c r="J1774" s="68">
        <v>653360.33000000007</v>
      </c>
    </row>
    <row r="1775" spans="1:10">
      <c r="A1775" s="66" t="s">
        <v>3667</v>
      </c>
      <c r="B1775" s="66" t="s">
        <v>3668</v>
      </c>
      <c r="C1775" s="68">
        <v>0</v>
      </c>
      <c r="D1775" s="68">
        <v>0</v>
      </c>
      <c r="E1775" s="68">
        <v>0</v>
      </c>
      <c r="F1775" s="68">
        <v>4074.8300000000163</v>
      </c>
      <c r="G1775" s="68">
        <v>0</v>
      </c>
      <c r="H1775" s="68">
        <v>336076.23</v>
      </c>
      <c r="I1775" s="68">
        <v>0</v>
      </c>
      <c r="J1775" s="68">
        <v>336076.23</v>
      </c>
    </row>
    <row r="1776" spans="1:10">
      <c r="A1776" s="72" t="s">
        <v>3669</v>
      </c>
      <c r="B1776" s="72" t="s">
        <v>3670</v>
      </c>
      <c r="C1776" s="73">
        <v>0</v>
      </c>
      <c r="D1776" s="73">
        <v>0</v>
      </c>
      <c r="E1776" s="73">
        <v>0</v>
      </c>
      <c r="F1776" s="73">
        <v>0</v>
      </c>
      <c r="G1776" s="73">
        <v>487099.32999999996</v>
      </c>
      <c r="H1776" s="73">
        <v>0</v>
      </c>
      <c r="I1776" s="73">
        <v>487099.32999999996</v>
      </c>
      <c r="J1776" s="73">
        <v>0</v>
      </c>
    </row>
    <row r="1777" spans="1:10">
      <c r="A1777" s="72" t="s">
        <v>3671</v>
      </c>
      <c r="B1777" s="72" t="s">
        <v>3666</v>
      </c>
      <c r="C1777" s="73">
        <v>0</v>
      </c>
      <c r="D1777" s="73">
        <v>0</v>
      </c>
      <c r="E1777" s="73">
        <v>0</v>
      </c>
      <c r="F1777" s="73">
        <v>0</v>
      </c>
      <c r="G1777" s="73">
        <v>345097.41</v>
      </c>
      <c r="H1777" s="73">
        <v>0</v>
      </c>
      <c r="I1777" s="73">
        <v>345097.41</v>
      </c>
      <c r="J1777" s="73">
        <v>0</v>
      </c>
    </row>
    <row r="1778" spans="1:10">
      <c r="A1778" s="72" t="s">
        <v>3672</v>
      </c>
      <c r="B1778" s="72" t="s">
        <v>3668</v>
      </c>
      <c r="C1778" s="73">
        <v>0</v>
      </c>
      <c r="D1778" s="73">
        <v>0</v>
      </c>
      <c r="E1778" s="73">
        <v>0</v>
      </c>
      <c r="F1778" s="73">
        <v>0</v>
      </c>
      <c r="G1778" s="73">
        <v>142001.91999999998</v>
      </c>
      <c r="H1778" s="73">
        <v>0</v>
      </c>
      <c r="I1778" s="73">
        <v>142001.91999999998</v>
      </c>
      <c r="J1778" s="73">
        <v>0</v>
      </c>
    </row>
    <row r="1779" spans="1:10">
      <c r="A1779" s="72" t="s">
        <v>3673</v>
      </c>
      <c r="B1779" s="72" t="s">
        <v>46</v>
      </c>
      <c r="C1779" s="73">
        <v>0</v>
      </c>
      <c r="D1779" s="73">
        <v>0</v>
      </c>
      <c r="E1779" s="73">
        <v>0</v>
      </c>
      <c r="F1779" s="73">
        <v>2276.4000000000015</v>
      </c>
      <c r="G1779" s="73">
        <v>0</v>
      </c>
      <c r="H1779" s="73">
        <v>51056.09</v>
      </c>
      <c r="I1779" s="73">
        <v>0</v>
      </c>
      <c r="J1779" s="73">
        <v>51056.09</v>
      </c>
    </row>
    <row r="1780" spans="1:10">
      <c r="A1780" s="72" t="s">
        <v>3674</v>
      </c>
      <c r="B1780" s="72" t="s">
        <v>3675</v>
      </c>
      <c r="C1780" s="73">
        <v>0</v>
      </c>
      <c r="D1780" s="73">
        <v>0</v>
      </c>
      <c r="E1780" s="73">
        <v>0</v>
      </c>
      <c r="F1780" s="73">
        <v>716.63999999999942</v>
      </c>
      <c r="G1780" s="73">
        <v>0</v>
      </c>
      <c r="H1780" s="73">
        <v>34743.999999999993</v>
      </c>
      <c r="I1780" s="73">
        <v>0</v>
      </c>
      <c r="J1780" s="73">
        <v>34743.999999999993</v>
      </c>
    </row>
    <row r="1781" spans="1:10">
      <c r="A1781" s="72" t="s">
        <v>3676</v>
      </c>
      <c r="B1781" s="72" t="s">
        <v>3677</v>
      </c>
      <c r="C1781" s="73">
        <v>0</v>
      </c>
      <c r="D1781" s="73">
        <v>0</v>
      </c>
      <c r="E1781" s="73">
        <v>0</v>
      </c>
      <c r="F1781" s="73">
        <v>40.860000000000582</v>
      </c>
      <c r="G1781" s="73">
        <v>0</v>
      </c>
      <c r="H1781" s="73">
        <v>14712.08</v>
      </c>
      <c r="I1781" s="73">
        <v>0</v>
      </c>
      <c r="J1781" s="73">
        <v>14712.08</v>
      </c>
    </row>
    <row r="1782" spans="1:10">
      <c r="A1782" s="72" t="s">
        <v>3678</v>
      </c>
      <c r="B1782" s="72" t="s">
        <v>3679</v>
      </c>
      <c r="C1782" s="73">
        <v>0</v>
      </c>
      <c r="D1782" s="73">
        <v>0</v>
      </c>
      <c r="E1782" s="73">
        <v>0</v>
      </c>
      <c r="F1782" s="73">
        <v>1518.9</v>
      </c>
      <c r="G1782" s="73">
        <v>0</v>
      </c>
      <c r="H1782" s="73">
        <v>1600.01</v>
      </c>
      <c r="I1782" s="73">
        <v>0</v>
      </c>
      <c r="J1782" s="73">
        <v>1600.01</v>
      </c>
    </row>
    <row r="1783" spans="1:10">
      <c r="A1783" s="72" t="s">
        <v>3680</v>
      </c>
      <c r="B1783" s="72" t="s">
        <v>3681</v>
      </c>
      <c r="C1783" s="73">
        <v>0</v>
      </c>
      <c r="D1783" s="73">
        <v>0</v>
      </c>
      <c r="E1783" s="73">
        <v>72335.449999999953</v>
      </c>
      <c r="F1783" s="73">
        <v>0</v>
      </c>
      <c r="G1783" s="73">
        <v>847863.98999999987</v>
      </c>
      <c r="H1783" s="73">
        <v>0</v>
      </c>
      <c r="I1783" s="73">
        <v>847863.98999999987</v>
      </c>
      <c r="J1783" s="73">
        <v>0</v>
      </c>
    </row>
    <row r="1784" spans="1:10">
      <c r="A1784" s="72" t="s">
        <v>3682</v>
      </c>
      <c r="B1784" s="72" t="s">
        <v>3683</v>
      </c>
      <c r="C1784" s="73">
        <v>0</v>
      </c>
      <c r="D1784" s="73">
        <v>0</v>
      </c>
      <c r="E1784" s="73">
        <v>53491.440000000061</v>
      </c>
      <c r="F1784" s="73">
        <v>0</v>
      </c>
      <c r="G1784" s="73">
        <v>604913</v>
      </c>
      <c r="H1784" s="73">
        <v>0</v>
      </c>
      <c r="I1784" s="73">
        <v>604913</v>
      </c>
      <c r="J1784" s="73">
        <v>0</v>
      </c>
    </row>
    <row r="1785" spans="1:10">
      <c r="A1785" s="72" t="s">
        <v>3684</v>
      </c>
      <c r="B1785" s="72" t="s">
        <v>3677</v>
      </c>
      <c r="C1785" s="73">
        <v>0</v>
      </c>
      <c r="D1785" s="73">
        <v>0</v>
      </c>
      <c r="E1785" s="73">
        <v>1.1800000000000068</v>
      </c>
      <c r="F1785" s="73">
        <v>0</v>
      </c>
      <c r="G1785" s="73">
        <v>511.33</v>
      </c>
      <c r="H1785" s="73">
        <v>0</v>
      </c>
      <c r="I1785" s="73">
        <v>511.33</v>
      </c>
      <c r="J1785" s="73">
        <v>0</v>
      </c>
    </row>
    <row r="1786" spans="1:10">
      <c r="A1786" s="72" t="s">
        <v>3685</v>
      </c>
      <c r="B1786" s="72" t="s">
        <v>3686</v>
      </c>
      <c r="C1786" s="73">
        <v>0</v>
      </c>
      <c r="D1786" s="73">
        <v>0</v>
      </c>
      <c r="E1786" s="73">
        <v>14</v>
      </c>
      <c r="F1786" s="73">
        <v>0</v>
      </c>
      <c r="G1786" s="73">
        <v>49042.04</v>
      </c>
      <c r="H1786" s="73">
        <v>0</v>
      </c>
      <c r="I1786" s="73">
        <v>49042.04</v>
      </c>
      <c r="J1786" s="73">
        <v>0</v>
      </c>
    </row>
    <row r="1787" spans="1:10">
      <c r="A1787" s="72" t="s">
        <v>3687</v>
      </c>
      <c r="B1787" s="72" t="s">
        <v>3688</v>
      </c>
      <c r="C1787" s="73">
        <v>0</v>
      </c>
      <c r="D1787" s="73">
        <v>0</v>
      </c>
      <c r="E1787" s="73">
        <v>12015.760000000009</v>
      </c>
      <c r="F1787" s="73">
        <v>0</v>
      </c>
      <c r="G1787" s="73">
        <v>154414.73000000001</v>
      </c>
      <c r="H1787" s="73">
        <v>0</v>
      </c>
      <c r="I1787" s="73">
        <v>154414.73000000001</v>
      </c>
      <c r="J1787" s="73">
        <v>0</v>
      </c>
    </row>
    <row r="1788" spans="1:10">
      <c r="A1788" s="72" t="s">
        <v>3689</v>
      </c>
      <c r="B1788" s="72" t="s">
        <v>3690</v>
      </c>
      <c r="C1788" s="73">
        <v>0</v>
      </c>
      <c r="D1788" s="73">
        <v>0</v>
      </c>
      <c r="E1788" s="73">
        <v>6813.07</v>
      </c>
      <c r="F1788" s="73">
        <v>0</v>
      </c>
      <c r="G1788" s="73">
        <v>38982.89</v>
      </c>
      <c r="H1788" s="73">
        <v>0</v>
      </c>
      <c r="I1788" s="73">
        <v>38982.89</v>
      </c>
      <c r="J1788" s="73">
        <v>0</v>
      </c>
    </row>
    <row r="1789" spans="1:10">
      <c r="A1789" s="72" t="s">
        <v>3691</v>
      </c>
      <c r="B1789" s="72" t="s">
        <v>3692</v>
      </c>
      <c r="C1789" s="73">
        <v>0</v>
      </c>
      <c r="D1789" s="73">
        <v>0</v>
      </c>
      <c r="E1789" s="73">
        <v>0</v>
      </c>
      <c r="F1789" s="73">
        <v>626711.46</v>
      </c>
      <c r="G1789" s="73">
        <v>0</v>
      </c>
      <c r="H1789" s="73">
        <v>5492804.29</v>
      </c>
      <c r="I1789" s="73">
        <v>0</v>
      </c>
      <c r="J1789" s="73">
        <v>5492804.29</v>
      </c>
    </row>
    <row r="1790" spans="1:10">
      <c r="A1790" s="72" t="s">
        <v>3693</v>
      </c>
      <c r="B1790" s="72" t="s">
        <v>3694</v>
      </c>
      <c r="C1790" s="73">
        <v>0</v>
      </c>
      <c r="D1790" s="73">
        <v>0</v>
      </c>
      <c r="E1790" s="73">
        <v>0</v>
      </c>
      <c r="F1790" s="73">
        <v>230173.7</v>
      </c>
      <c r="G1790" s="73">
        <v>0</v>
      </c>
      <c r="H1790" s="73">
        <v>233491.78</v>
      </c>
      <c r="I1790" s="73">
        <v>0</v>
      </c>
      <c r="J1790" s="73">
        <v>233491.78</v>
      </c>
    </row>
    <row r="1791" spans="1:10">
      <c r="A1791" s="72" t="s">
        <v>3695</v>
      </c>
      <c r="B1791" s="72" t="s">
        <v>3696</v>
      </c>
      <c r="C1791" s="73">
        <v>0</v>
      </c>
      <c r="D1791" s="73">
        <v>0</v>
      </c>
      <c r="E1791" s="73">
        <v>0</v>
      </c>
      <c r="F1791" s="73">
        <v>0</v>
      </c>
      <c r="G1791" s="73">
        <v>0</v>
      </c>
      <c r="H1791" s="73">
        <v>3577.2400000000002</v>
      </c>
      <c r="I1791" s="73">
        <v>0</v>
      </c>
      <c r="J1791" s="73">
        <v>3577.2400000000002</v>
      </c>
    </row>
    <row r="1792" spans="1:10">
      <c r="A1792" s="72" t="s">
        <v>3697</v>
      </c>
      <c r="B1792" s="72" t="s">
        <v>3698</v>
      </c>
      <c r="C1792" s="73">
        <v>0</v>
      </c>
      <c r="D1792" s="73">
        <v>0</v>
      </c>
      <c r="E1792" s="73">
        <v>0</v>
      </c>
      <c r="F1792" s="73">
        <v>0</v>
      </c>
      <c r="G1792" s="73">
        <v>0</v>
      </c>
      <c r="H1792" s="73">
        <v>1573602.21</v>
      </c>
      <c r="I1792" s="73">
        <v>0</v>
      </c>
      <c r="J1792" s="73">
        <v>1573602.21</v>
      </c>
    </row>
    <row r="1793" spans="1:10">
      <c r="A1793" s="66" t="s">
        <v>3699</v>
      </c>
      <c r="B1793" s="66" t="s">
        <v>3700</v>
      </c>
      <c r="C1793" s="68">
        <v>0</v>
      </c>
      <c r="D1793" s="68">
        <v>0</v>
      </c>
      <c r="E1793" s="68">
        <v>0</v>
      </c>
      <c r="F1793" s="68">
        <v>255776.2799999998</v>
      </c>
      <c r="G1793" s="68">
        <v>0</v>
      </c>
      <c r="H1793" s="68">
        <v>3069314.9200000004</v>
      </c>
      <c r="I1793" s="68">
        <v>0</v>
      </c>
      <c r="J1793" s="68">
        <v>3069314.9200000004</v>
      </c>
    </row>
    <row r="1794" spans="1:10">
      <c r="A1794" s="66" t="s">
        <v>3701</v>
      </c>
      <c r="B1794" s="66" t="s">
        <v>3702</v>
      </c>
      <c r="C1794" s="68">
        <v>0</v>
      </c>
      <c r="D1794" s="68">
        <v>0</v>
      </c>
      <c r="E1794" s="68">
        <v>0</v>
      </c>
      <c r="F1794" s="68">
        <v>46913.410000000018</v>
      </c>
      <c r="G1794" s="68">
        <v>0</v>
      </c>
      <c r="H1794" s="68">
        <v>160320.33000000002</v>
      </c>
      <c r="I1794" s="68">
        <v>0</v>
      </c>
      <c r="J1794" s="68">
        <v>160320.33000000002</v>
      </c>
    </row>
    <row r="1795" spans="1:10">
      <c r="A1795" s="66" t="s">
        <v>3703</v>
      </c>
      <c r="B1795" s="66" t="s">
        <v>3692</v>
      </c>
      <c r="C1795" s="68">
        <v>0</v>
      </c>
      <c r="D1795" s="68">
        <v>0</v>
      </c>
      <c r="E1795" s="68">
        <v>0</v>
      </c>
      <c r="F1795" s="68">
        <v>93848.07</v>
      </c>
      <c r="G1795" s="68">
        <v>0</v>
      </c>
      <c r="H1795" s="68">
        <v>452497.81</v>
      </c>
      <c r="I1795" s="68">
        <v>0</v>
      </c>
      <c r="J1795" s="68">
        <v>452497.81</v>
      </c>
    </row>
    <row r="1796" spans="1:10">
      <c r="A1796" s="66" t="s">
        <v>3704</v>
      </c>
      <c r="B1796" s="66" t="s">
        <v>42</v>
      </c>
      <c r="C1796" s="68">
        <v>0</v>
      </c>
      <c r="D1796" s="68">
        <v>0</v>
      </c>
      <c r="E1796" s="68">
        <v>418140.08000000019</v>
      </c>
      <c r="F1796" s="68">
        <v>0</v>
      </c>
      <c r="G1796" s="68">
        <v>824523.82000000018</v>
      </c>
      <c r="H1796" s="68">
        <v>0</v>
      </c>
      <c r="I1796" s="68">
        <v>824523.82000000018</v>
      </c>
      <c r="J1796" s="68">
        <v>0</v>
      </c>
    </row>
    <row r="1797" spans="1:10">
      <c r="A1797" s="66" t="s">
        <v>3705</v>
      </c>
      <c r="B1797" s="66" t="s">
        <v>3706</v>
      </c>
      <c r="C1797" s="68">
        <v>0</v>
      </c>
      <c r="D1797" s="68">
        <v>0</v>
      </c>
      <c r="E1797" s="68">
        <v>365895.81</v>
      </c>
      <c r="F1797" s="68">
        <v>0</v>
      </c>
      <c r="G1797" s="68">
        <v>365895.81</v>
      </c>
      <c r="H1797" s="68">
        <v>0</v>
      </c>
      <c r="I1797" s="68">
        <v>365895.81</v>
      </c>
      <c r="J1797" s="68">
        <v>0</v>
      </c>
    </row>
    <row r="1798" spans="1:10">
      <c r="A1798" s="66" t="s">
        <v>3707</v>
      </c>
      <c r="B1798" s="66" t="s">
        <v>3708</v>
      </c>
      <c r="C1798" s="68">
        <v>0</v>
      </c>
      <c r="D1798" s="68">
        <v>0</v>
      </c>
      <c r="E1798" s="68">
        <v>0</v>
      </c>
      <c r="F1798" s="68">
        <v>0</v>
      </c>
      <c r="G1798" s="68">
        <v>893.6</v>
      </c>
      <c r="H1798" s="68">
        <v>0</v>
      </c>
      <c r="I1798" s="68">
        <v>893.6</v>
      </c>
      <c r="J1798" s="68">
        <v>0</v>
      </c>
    </row>
    <row r="1799" spans="1:10">
      <c r="A1799" s="66" t="s">
        <v>3709</v>
      </c>
      <c r="B1799" s="66" t="s">
        <v>2641</v>
      </c>
      <c r="C1799" s="68">
        <v>0</v>
      </c>
      <c r="D1799" s="68">
        <v>0</v>
      </c>
      <c r="E1799" s="68">
        <v>20388.210000000017</v>
      </c>
      <c r="F1799" s="68">
        <v>0</v>
      </c>
      <c r="G1799" s="68">
        <v>20388.210000000017</v>
      </c>
      <c r="H1799" s="68">
        <v>0</v>
      </c>
      <c r="I1799" s="68">
        <v>20388.210000000017</v>
      </c>
      <c r="J1799" s="68">
        <v>0</v>
      </c>
    </row>
    <row r="1800" spans="1:10">
      <c r="A1800" s="66" t="s">
        <v>3710</v>
      </c>
      <c r="B1800" s="66" t="s">
        <v>3711</v>
      </c>
      <c r="C1800" s="68">
        <v>0</v>
      </c>
      <c r="D1800" s="68">
        <v>0</v>
      </c>
      <c r="E1800" s="68">
        <v>6503.3300000000017</v>
      </c>
      <c r="F1800" s="68">
        <v>0</v>
      </c>
      <c r="G1800" s="68">
        <v>60503.33</v>
      </c>
      <c r="H1800" s="68">
        <v>0</v>
      </c>
      <c r="I1800" s="68">
        <v>60503.33</v>
      </c>
      <c r="J1800" s="68">
        <v>0</v>
      </c>
    </row>
    <row r="1801" spans="1:10">
      <c r="A1801" s="66" t="s">
        <v>3712</v>
      </c>
      <c r="B1801" s="66" t="s">
        <v>42</v>
      </c>
      <c r="C1801" s="68">
        <v>0</v>
      </c>
      <c r="D1801" s="68">
        <v>0</v>
      </c>
      <c r="E1801" s="68">
        <v>2246.8999999999942</v>
      </c>
      <c r="F1801" s="68">
        <v>0</v>
      </c>
      <c r="G1801" s="68">
        <v>104432.68999999999</v>
      </c>
      <c r="H1801" s="68">
        <v>0</v>
      </c>
      <c r="I1801" s="68">
        <v>104432.68999999999</v>
      </c>
      <c r="J1801" s="68">
        <v>0</v>
      </c>
    </row>
    <row r="1802" spans="1:10">
      <c r="A1802" s="66" t="s">
        <v>3713</v>
      </c>
      <c r="B1802" s="66" t="s">
        <v>3714</v>
      </c>
      <c r="C1802" s="68">
        <v>0</v>
      </c>
      <c r="D1802" s="68">
        <v>0</v>
      </c>
      <c r="E1802" s="68">
        <v>23105.829999999987</v>
      </c>
      <c r="F1802" s="68">
        <v>0</v>
      </c>
      <c r="G1802" s="68">
        <v>272410.18</v>
      </c>
      <c r="H1802" s="68">
        <v>0</v>
      </c>
      <c r="I1802" s="68">
        <v>272410.18</v>
      </c>
      <c r="J1802" s="68">
        <v>0</v>
      </c>
    </row>
    <row r="1803" spans="1:10">
      <c r="A1803" s="66" t="s">
        <v>3715</v>
      </c>
      <c r="B1803" s="66" t="s">
        <v>3716</v>
      </c>
      <c r="C1803" s="68">
        <v>0</v>
      </c>
      <c r="D1803" s="68">
        <v>8840000</v>
      </c>
      <c r="E1803" s="68">
        <v>0</v>
      </c>
      <c r="F1803" s="68">
        <v>0</v>
      </c>
      <c r="G1803" s="68">
        <v>0</v>
      </c>
      <c r="H1803" s="68">
        <v>8840000</v>
      </c>
      <c r="I1803" s="68">
        <v>0</v>
      </c>
      <c r="J1803" s="68">
        <v>8840000</v>
      </c>
    </row>
    <row r="1804" spans="1:10">
      <c r="A1804" s="66" t="s">
        <v>3717</v>
      </c>
      <c r="B1804" s="66" t="s">
        <v>2375</v>
      </c>
      <c r="C1804" s="68">
        <v>0</v>
      </c>
      <c r="D1804" s="68">
        <v>7956500</v>
      </c>
      <c r="E1804" s="68">
        <v>0</v>
      </c>
      <c r="F1804" s="68">
        <v>0</v>
      </c>
      <c r="G1804" s="68">
        <v>0</v>
      </c>
      <c r="H1804" s="68">
        <v>7956500</v>
      </c>
      <c r="I1804" s="68">
        <v>0</v>
      </c>
      <c r="J1804" s="68">
        <v>7956500</v>
      </c>
    </row>
    <row r="1805" spans="1:10">
      <c r="A1805" s="66" t="s">
        <v>3718</v>
      </c>
      <c r="B1805" s="66" t="s">
        <v>2729</v>
      </c>
      <c r="C1805" s="68">
        <v>0</v>
      </c>
      <c r="D1805" s="68">
        <v>288000</v>
      </c>
      <c r="E1805" s="68">
        <v>0</v>
      </c>
      <c r="F1805" s="68">
        <v>0</v>
      </c>
      <c r="G1805" s="68">
        <v>0</v>
      </c>
      <c r="H1805" s="68">
        <v>288000</v>
      </c>
      <c r="I1805" s="68">
        <v>0</v>
      </c>
      <c r="J1805" s="68">
        <v>288000</v>
      </c>
    </row>
    <row r="1806" spans="1:10">
      <c r="A1806" s="66" t="s">
        <v>3719</v>
      </c>
      <c r="B1806" s="66" t="s">
        <v>3720</v>
      </c>
      <c r="C1806" s="68">
        <v>0</v>
      </c>
      <c r="D1806" s="68">
        <v>280500</v>
      </c>
      <c r="E1806" s="68">
        <v>0</v>
      </c>
      <c r="F1806" s="68">
        <v>0</v>
      </c>
      <c r="G1806" s="68">
        <v>0</v>
      </c>
      <c r="H1806" s="68">
        <v>280500</v>
      </c>
      <c r="I1806" s="68">
        <v>0</v>
      </c>
      <c r="J1806" s="68">
        <v>280500</v>
      </c>
    </row>
    <row r="1807" spans="1:10">
      <c r="A1807" s="66" t="s">
        <v>3721</v>
      </c>
      <c r="B1807" s="66" t="s">
        <v>1588</v>
      </c>
      <c r="C1807" s="68">
        <v>0</v>
      </c>
      <c r="D1807" s="68">
        <v>57500</v>
      </c>
      <c r="E1807" s="68">
        <v>0</v>
      </c>
      <c r="F1807" s="68">
        <v>0</v>
      </c>
      <c r="G1807" s="68">
        <v>0</v>
      </c>
      <c r="H1807" s="68">
        <v>57500</v>
      </c>
      <c r="I1807" s="68">
        <v>0</v>
      </c>
      <c r="J1807" s="68">
        <v>57500</v>
      </c>
    </row>
    <row r="1808" spans="1:10">
      <c r="A1808" s="66" t="s">
        <v>3722</v>
      </c>
      <c r="B1808" s="66" t="s">
        <v>2731</v>
      </c>
      <c r="C1808" s="68">
        <v>0</v>
      </c>
      <c r="D1808" s="68">
        <v>77500</v>
      </c>
      <c r="E1808" s="68">
        <v>0</v>
      </c>
      <c r="F1808" s="68">
        <v>0</v>
      </c>
      <c r="G1808" s="68">
        <v>0</v>
      </c>
      <c r="H1808" s="68">
        <v>77500</v>
      </c>
      <c r="I1808" s="68">
        <v>0</v>
      </c>
      <c r="J1808" s="68">
        <v>77500</v>
      </c>
    </row>
    <row r="1809" spans="1:10">
      <c r="A1809" s="72" t="s">
        <v>3723</v>
      </c>
      <c r="B1809" s="72" t="s">
        <v>2377</v>
      </c>
      <c r="C1809" s="73">
        <v>0</v>
      </c>
      <c r="D1809" s="73">
        <v>82000</v>
      </c>
      <c r="E1809" s="73">
        <v>0</v>
      </c>
      <c r="F1809" s="73">
        <v>0</v>
      </c>
      <c r="G1809" s="73">
        <v>0</v>
      </c>
      <c r="H1809" s="73">
        <v>82000</v>
      </c>
      <c r="I1809" s="73">
        <v>0</v>
      </c>
      <c r="J1809" s="73">
        <v>82000</v>
      </c>
    </row>
    <row r="1810" spans="1:10">
      <c r="A1810" s="72" t="s">
        <v>3724</v>
      </c>
      <c r="B1810" s="72" t="s">
        <v>3725</v>
      </c>
      <c r="C1810" s="73">
        <v>0</v>
      </c>
      <c r="D1810" s="73">
        <v>49000</v>
      </c>
      <c r="E1810" s="73">
        <v>0</v>
      </c>
      <c r="F1810" s="73">
        <v>0</v>
      </c>
      <c r="G1810" s="73">
        <v>0</v>
      </c>
      <c r="H1810" s="73">
        <v>49000</v>
      </c>
      <c r="I1810" s="73">
        <v>0</v>
      </c>
      <c r="J1810" s="73">
        <v>49000</v>
      </c>
    </row>
    <row r="1811" spans="1:10">
      <c r="A1811" s="72" t="s">
        <v>3726</v>
      </c>
      <c r="B1811" s="72" t="s">
        <v>2734</v>
      </c>
      <c r="C1811" s="73">
        <v>0</v>
      </c>
      <c r="D1811" s="73">
        <v>49000</v>
      </c>
      <c r="E1811" s="73">
        <v>0</v>
      </c>
      <c r="F1811" s="73">
        <v>0</v>
      </c>
      <c r="G1811" s="73">
        <v>0</v>
      </c>
      <c r="H1811" s="73">
        <v>49000</v>
      </c>
      <c r="I1811" s="73">
        <v>0</v>
      </c>
      <c r="J1811" s="73">
        <v>49000</v>
      </c>
    </row>
    <row r="1812" spans="1:10">
      <c r="A1812" s="72" t="s">
        <v>3727</v>
      </c>
      <c r="B1812" s="72" t="s">
        <v>3728</v>
      </c>
      <c r="C1812" s="73">
        <v>0</v>
      </c>
      <c r="D1812" s="73">
        <v>26227515.149999999</v>
      </c>
      <c r="E1812" s="73">
        <v>0</v>
      </c>
      <c r="F1812" s="73">
        <v>638491.3900000006</v>
      </c>
      <c r="G1812" s="73">
        <v>0</v>
      </c>
      <c r="H1812" s="73">
        <v>26866006.539999999</v>
      </c>
      <c r="I1812" s="73">
        <v>0</v>
      </c>
      <c r="J1812" s="73">
        <v>26866006.539999999</v>
      </c>
    </row>
    <row r="1813" spans="1:10">
      <c r="A1813" s="72" t="s">
        <v>3729</v>
      </c>
      <c r="B1813" s="72" t="s">
        <v>3730</v>
      </c>
      <c r="C1813" s="73">
        <v>0</v>
      </c>
      <c r="D1813" s="73">
        <v>0</v>
      </c>
      <c r="E1813" s="73">
        <v>638491.39</v>
      </c>
      <c r="F1813" s="73">
        <v>638491.39</v>
      </c>
      <c r="G1813" s="73">
        <v>638491.39</v>
      </c>
      <c r="H1813" s="73">
        <v>638491.39</v>
      </c>
      <c r="I1813" s="73">
        <v>0</v>
      </c>
      <c r="J1813" s="73">
        <v>0</v>
      </c>
    </row>
    <row r="1814" spans="1:10">
      <c r="A1814" s="72" t="s">
        <v>3731</v>
      </c>
      <c r="B1814" s="72" t="s">
        <v>3732</v>
      </c>
      <c r="C1814" s="73">
        <v>0</v>
      </c>
      <c r="D1814" s="73">
        <v>48398987.240000002</v>
      </c>
      <c r="E1814" s="73">
        <v>302689.69000000041</v>
      </c>
      <c r="F1814" s="73">
        <v>0</v>
      </c>
      <c r="G1814" s="73">
        <v>4210249.9400000004</v>
      </c>
      <c r="H1814" s="73">
        <v>52412414.100000001</v>
      </c>
      <c r="I1814" s="73">
        <v>0</v>
      </c>
      <c r="J1814" s="73">
        <v>48202164.160000004</v>
      </c>
    </row>
    <row r="1815" spans="1:10">
      <c r="A1815" s="72" t="s">
        <v>3733</v>
      </c>
      <c r="B1815" s="72" t="s">
        <v>3734</v>
      </c>
      <c r="C1815" s="73">
        <v>0</v>
      </c>
      <c r="D1815" s="73">
        <v>47745817</v>
      </c>
      <c r="E1815" s="73">
        <v>255776.2799999998</v>
      </c>
      <c r="F1815" s="73">
        <v>0</v>
      </c>
      <c r="G1815" s="73">
        <v>3069314.9200000004</v>
      </c>
      <c r="H1815" s="73">
        <v>47745817</v>
      </c>
      <c r="I1815" s="73">
        <v>0</v>
      </c>
      <c r="J1815" s="73">
        <v>44676502.079999998</v>
      </c>
    </row>
    <row r="1816" spans="1:10">
      <c r="A1816" s="72" t="s">
        <v>3735</v>
      </c>
      <c r="B1816" s="72" t="s">
        <v>3736</v>
      </c>
      <c r="C1816" s="73">
        <v>0</v>
      </c>
      <c r="D1816" s="73">
        <v>11932.5</v>
      </c>
      <c r="E1816" s="73">
        <v>322.5</v>
      </c>
      <c r="F1816" s="73">
        <v>0</v>
      </c>
      <c r="G1816" s="73">
        <v>3870</v>
      </c>
      <c r="H1816" s="73">
        <v>11932.5</v>
      </c>
      <c r="I1816" s="73">
        <v>0</v>
      </c>
      <c r="J1816" s="73">
        <v>8062.5</v>
      </c>
    </row>
    <row r="1817" spans="1:10">
      <c r="A1817" s="72" t="s">
        <v>3737</v>
      </c>
      <c r="B1817" s="72" t="s">
        <v>3738</v>
      </c>
      <c r="C1817" s="73">
        <v>0</v>
      </c>
      <c r="D1817" s="73">
        <v>10714.74</v>
      </c>
      <c r="E1817" s="73">
        <v>108.23000000000002</v>
      </c>
      <c r="F1817" s="73">
        <v>0</v>
      </c>
      <c r="G1817" s="73">
        <v>1298.76</v>
      </c>
      <c r="H1817" s="73">
        <v>10714.74</v>
      </c>
      <c r="I1817" s="73">
        <v>0</v>
      </c>
      <c r="J1817" s="73">
        <v>9415.98</v>
      </c>
    </row>
    <row r="1818" spans="1:10">
      <c r="A1818" s="72" t="s">
        <v>3739</v>
      </c>
      <c r="B1818" s="72" t="s">
        <v>3740</v>
      </c>
      <c r="C1818" s="73">
        <v>0</v>
      </c>
      <c r="D1818" s="73">
        <v>193514.74</v>
      </c>
      <c r="E1818" s="73">
        <v>3084.1900000000023</v>
      </c>
      <c r="F1818" s="73">
        <v>0</v>
      </c>
      <c r="G1818" s="73">
        <v>37010.28</v>
      </c>
      <c r="H1818" s="73">
        <v>193514.74</v>
      </c>
      <c r="I1818" s="73">
        <v>0</v>
      </c>
      <c r="J1818" s="73">
        <v>156504.46</v>
      </c>
    </row>
    <row r="1819" spans="1:10">
      <c r="A1819" s="72" t="s">
        <v>3741</v>
      </c>
      <c r="B1819" s="72" t="s">
        <v>3742</v>
      </c>
      <c r="C1819" s="73">
        <v>0</v>
      </c>
      <c r="D1819" s="73">
        <v>249936.55</v>
      </c>
      <c r="E1819" s="73">
        <v>5046.4700000000012</v>
      </c>
      <c r="F1819" s="73">
        <v>0</v>
      </c>
      <c r="G1819" s="73">
        <v>60557.640000000007</v>
      </c>
      <c r="H1819" s="73">
        <v>249936.55</v>
      </c>
      <c r="I1819" s="73">
        <v>0</v>
      </c>
      <c r="J1819" s="73">
        <v>189378.90999999997</v>
      </c>
    </row>
    <row r="1820" spans="1:10">
      <c r="A1820" s="72" t="s">
        <v>3743</v>
      </c>
      <c r="B1820" s="72" t="s">
        <v>3744</v>
      </c>
      <c r="C1820" s="73">
        <v>0</v>
      </c>
      <c r="D1820" s="73">
        <v>187071.71</v>
      </c>
      <c r="E1820" s="73">
        <v>1748.3300000000017</v>
      </c>
      <c r="F1820" s="73">
        <v>0</v>
      </c>
      <c r="G1820" s="73">
        <v>20979.96</v>
      </c>
      <c r="H1820" s="73">
        <v>187071.71</v>
      </c>
      <c r="I1820" s="73">
        <v>0</v>
      </c>
      <c r="J1820" s="73">
        <v>166091.75</v>
      </c>
    </row>
    <row r="1821" spans="1:10">
      <c r="A1821" s="72" t="s">
        <v>3745</v>
      </c>
      <c r="B1821" s="72" t="s">
        <v>3746</v>
      </c>
      <c r="C1821" s="73">
        <v>0</v>
      </c>
      <c r="D1821" s="73">
        <v>0</v>
      </c>
      <c r="E1821" s="73">
        <v>0</v>
      </c>
      <c r="F1821" s="73">
        <v>0</v>
      </c>
      <c r="G1821" s="73">
        <v>980556.4</v>
      </c>
      <c r="H1821" s="73">
        <v>3710000</v>
      </c>
      <c r="I1821" s="73">
        <v>0</v>
      </c>
      <c r="J1821" s="73">
        <v>2729443.6</v>
      </c>
    </row>
    <row r="1822" spans="1:10">
      <c r="A1822" s="66" t="s">
        <v>3747</v>
      </c>
      <c r="B1822" s="66" t="s">
        <v>3748</v>
      </c>
      <c r="C1822" s="68">
        <v>0</v>
      </c>
      <c r="D1822" s="68">
        <v>0</v>
      </c>
      <c r="E1822" s="68">
        <v>36603.69</v>
      </c>
      <c r="F1822" s="68">
        <v>0</v>
      </c>
      <c r="G1822" s="68">
        <v>36603.69</v>
      </c>
      <c r="H1822" s="68">
        <v>303368.55</v>
      </c>
      <c r="I1822" s="68">
        <v>0</v>
      </c>
      <c r="J1822" s="68">
        <v>266764.86</v>
      </c>
    </row>
    <row r="1823" spans="1:10">
      <c r="A1823" s="66" t="s">
        <v>3749</v>
      </c>
      <c r="B1823" s="66" t="s">
        <v>3750</v>
      </c>
      <c r="C1823" s="68">
        <v>0</v>
      </c>
      <c r="D1823" s="68">
        <v>0</v>
      </c>
      <c r="E1823" s="68">
        <v>0</v>
      </c>
      <c r="F1823" s="68">
        <v>0</v>
      </c>
      <c r="G1823" s="68">
        <v>58.290000000000006</v>
      </c>
      <c r="H1823" s="68">
        <v>58.309999999999995</v>
      </c>
      <c r="I1823" s="68">
        <v>0</v>
      </c>
      <c r="J1823" s="68">
        <v>1.9999999999988916E-2</v>
      </c>
    </row>
    <row r="1824" spans="1:10">
      <c r="A1824" s="66" t="s">
        <v>3751</v>
      </c>
      <c r="B1824" s="66" t="s">
        <v>3752</v>
      </c>
      <c r="C1824" s="68">
        <v>0</v>
      </c>
      <c r="D1824" s="68">
        <v>62455</v>
      </c>
      <c r="E1824" s="68">
        <v>0</v>
      </c>
      <c r="F1824" s="68">
        <v>-3806</v>
      </c>
      <c r="G1824" s="68">
        <v>0</v>
      </c>
      <c r="H1824" s="68">
        <v>58649</v>
      </c>
      <c r="I1824" s="68">
        <v>0</v>
      </c>
      <c r="J1824" s="68">
        <v>58649</v>
      </c>
    </row>
    <row r="1825" spans="1:10">
      <c r="A1825" s="66" t="s">
        <v>3753</v>
      </c>
      <c r="B1825" s="66" t="s">
        <v>1304</v>
      </c>
      <c r="C1825" s="68">
        <v>0</v>
      </c>
      <c r="D1825" s="68">
        <v>60833.88</v>
      </c>
      <c r="E1825" s="68">
        <v>90369.160000000033</v>
      </c>
      <c r="F1825" s="68">
        <v>-2519.6900000000023</v>
      </c>
      <c r="G1825" s="68">
        <v>445101.66000000003</v>
      </c>
      <c r="H1825" s="68">
        <v>467066.09</v>
      </c>
      <c r="I1825" s="68">
        <v>0</v>
      </c>
      <c r="J1825" s="68">
        <v>21964.429999999993</v>
      </c>
    </row>
    <row r="1826" spans="1:10">
      <c r="A1826" s="66" t="s">
        <v>3754</v>
      </c>
      <c r="B1826" s="66" t="s">
        <v>3755</v>
      </c>
      <c r="C1826" s="68">
        <v>0</v>
      </c>
      <c r="D1826" s="68">
        <v>638491.39</v>
      </c>
      <c r="E1826" s="68">
        <v>638491.39</v>
      </c>
      <c r="F1826" s="68">
        <v>0</v>
      </c>
      <c r="G1826" s="68">
        <v>638491.39</v>
      </c>
      <c r="H1826" s="68">
        <v>638491.39</v>
      </c>
      <c r="I1826" s="68">
        <v>0</v>
      </c>
      <c r="J1826" s="68">
        <v>0</v>
      </c>
    </row>
    <row r="1827" spans="1:10">
      <c r="A1827" s="66" t="s">
        <v>3756</v>
      </c>
      <c r="B1827" s="66" t="s">
        <v>3757</v>
      </c>
      <c r="C1827" s="68">
        <v>0</v>
      </c>
      <c r="D1827" s="68">
        <v>0</v>
      </c>
      <c r="E1827" s="68">
        <v>-3806</v>
      </c>
      <c r="F1827" s="68">
        <v>361999</v>
      </c>
      <c r="G1827" s="68">
        <v>-3806</v>
      </c>
      <c r="H1827" s="68">
        <v>361999</v>
      </c>
      <c r="I1827" s="68">
        <v>0</v>
      </c>
      <c r="J1827" s="68">
        <v>365805</v>
      </c>
    </row>
    <row r="1828" spans="1:10">
      <c r="A1828" s="66" t="s">
        <v>3758</v>
      </c>
      <c r="B1828" s="66" t="s">
        <v>3759</v>
      </c>
      <c r="C1828" s="68">
        <v>0</v>
      </c>
      <c r="D1828" s="68">
        <v>0</v>
      </c>
      <c r="E1828" s="68">
        <v>-3806</v>
      </c>
      <c r="F1828" s="68">
        <v>361999</v>
      </c>
      <c r="G1828" s="68">
        <v>-3806</v>
      </c>
      <c r="H1828" s="68">
        <v>361999</v>
      </c>
      <c r="I1828" s="68">
        <v>0</v>
      </c>
      <c r="J1828" s="68">
        <v>365805</v>
      </c>
    </row>
    <row r="1829" spans="1:10">
      <c r="A1829" s="66" t="s">
        <v>3760</v>
      </c>
    </row>
    <row r="1831" spans="1:10">
      <c r="B1831" s="66" t="s">
        <v>3761</v>
      </c>
      <c r="C1831" s="68">
        <v>198527564.58999997</v>
      </c>
      <c r="D1831" s="68">
        <v>198527564.58999997</v>
      </c>
      <c r="E1831" s="68">
        <v>198229739.01999989</v>
      </c>
      <c r="F1831" s="68">
        <v>198229739.01999998</v>
      </c>
      <c r="G1831" s="68">
        <v>2033979299.1499999</v>
      </c>
      <c r="H1831" s="68">
        <v>2033979299.1499994</v>
      </c>
      <c r="I1831" s="68">
        <v>376564858.0200004</v>
      </c>
      <c r="J1831" s="68">
        <v>376564858.02000004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G79"/>
  <sheetViews>
    <sheetView topLeftCell="A52" workbookViewId="0">
      <selection activeCell="I15" sqref="I15"/>
    </sheetView>
  </sheetViews>
  <sheetFormatPr defaultColWidth="11.42578125" defaultRowHeight="12.75"/>
  <cols>
    <col min="2" max="2" width="35.28515625" customWidth="1"/>
    <col min="3" max="3" width="11.140625" bestFit="1" customWidth="1"/>
    <col min="4" max="4" width="11" bestFit="1" customWidth="1"/>
    <col min="5" max="5" width="11" style="387" bestFit="1" customWidth="1"/>
    <col min="6" max="7" width="11" bestFit="1" customWidth="1"/>
  </cols>
  <sheetData>
    <row r="1" spans="2:7" s="387" customFormat="1"/>
    <row r="2" spans="2:7">
      <c r="B2" s="462" t="s">
        <v>4180</v>
      </c>
      <c r="C2" s="462"/>
      <c r="D2" s="462"/>
      <c r="E2" s="462"/>
      <c r="F2" s="462"/>
      <c r="G2" s="462"/>
    </row>
    <row r="3" spans="2:7">
      <c r="B3" s="394" t="s">
        <v>4177</v>
      </c>
      <c r="C3" s="395">
        <v>-0.5</v>
      </c>
      <c r="D3" s="395">
        <v>-0.25</v>
      </c>
      <c r="E3" s="395">
        <v>0</v>
      </c>
      <c r="F3" s="396" t="s">
        <v>4178</v>
      </c>
      <c r="G3" s="396" t="s">
        <v>4179</v>
      </c>
    </row>
    <row r="4" spans="2:7" ht="15" customHeight="1">
      <c r="B4" s="393" t="s">
        <v>4175</v>
      </c>
      <c r="C4" s="398">
        <v>15981077.964719312</v>
      </c>
      <c r="D4" s="398">
        <v>13868792.798467124</v>
      </c>
      <c r="E4" s="398">
        <v>11756507.632214861</v>
      </c>
      <c r="F4" s="398">
        <v>9625047.5525336526</v>
      </c>
      <c r="G4" s="398">
        <v>7478831.1469824659</v>
      </c>
    </row>
    <row r="5" spans="2:7">
      <c r="B5" s="393" t="s">
        <v>4176</v>
      </c>
      <c r="C5" s="398">
        <v>18771711.802520864</v>
      </c>
      <c r="D5" s="398">
        <v>15264109.717367861</v>
      </c>
      <c r="E5" s="398">
        <v>11756508</v>
      </c>
      <c r="F5" s="398">
        <v>8199786.0645043561</v>
      </c>
      <c r="G5" s="398">
        <v>4621698.666514297</v>
      </c>
    </row>
    <row r="7" spans="2:7" s="387" customFormat="1"/>
    <row r="8" spans="2:7" s="387" customFormat="1"/>
    <row r="9" spans="2:7" s="387" customFormat="1"/>
    <row r="10" spans="2:7" s="387" customFormat="1"/>
    <row r="11" spans="2:7" s="387" customFormat="1"/>
    <row r="12" spans="2:7" s="387" customFormat="1"/>
    <row r="13" spans="2:7" s="387" customFormat="1"/>
    <row r="14" spans="2:7" s="387" customFormat="1"/>
    <row r="15" spans="2:7" s="387" customFormat="1"/>
    <row r="16" spans="2:7" s="387" customFormat="1"/>
    <row r="17" spans="2:7" s="387" customFormat="1"/>
    <row r="18" spans="2:7" s="387" customFormat="1"/>
    <row r="19" spans="2:7" s="387" customFormat="1"/>
    <row r="20" spans="2:7" s="387" customFormat="1"/>
    <row r="21" spans="2:7" s="387" customFormat="1"/>
    <row r="22" spans="2:7" s="387" customFormat="1"/>
    <row r="23" spans="2:7" s="387" customFormat="1"/>
    <row r="24" spans="2:7" s="387" customFormat="1"/>
    <row r="25" spans="2:7" s="387" customFormat="1"/>
    <row r="26" spans="2:7" s="387" customFormat="1"/>
    <row r="27" spans="2:7" s="387" customFormat="1"/>
    <row r="28" spans="2:7" s="387" customFormat="1">
      <c r="B28" s="462" t="s">
        <v>4194</v>
      </c>
      <c r="C28" s="462"/>
      <c r="D28" s="462"/>
      <c r="E28" s="462"/>
      <c r="F28" s="462"/>
      <c r="G28" s="462"/>
    </row>
    <row r="29" spans="2:7">
      <c r="B29" s="394" t="s">
        <v>4177</v>
      </c>
      <c r="C29" s="395">
        <v>-0.5</v>
      </c>
      <c r="D29" s="395">
        <v>-0.25</v>
      </c>
      <c r="E29" s="395">
        <v>0</v>
      </c>
      <c r="F29" s="396" t="s">
        <v>4178</v>
      </c>
      <c r="G29" s="396" t="s">
        <v>4179</v>
      </c>
    </row>
    <row r="30" spans="2:7">
      <c r="B30" s="393" t="s">
        <v>4175</v>
      </c>
      <c r="C30" s="398">
        <v>21826550.022727672</v>
      </c>
      <c r="D30" s="398">
        <v>21125175.562490836</v>
      </c>
      <c r="E30" s="398">
        <v>20423801.102254007</v>
      </c>
      <c r="F30" s="398">
        <v>19722426.642017175</v>
      </c>
      <c r="G30" s="398">
        <v>19021052.181780346</v>
      </c>
    </row>
    <row r="31" spans="2:7">
      <c r="B31" s="393" t="s">
        <v>4176</v>
      </c>
      <c r="C31" s="398">
        <v>22310159.136683784</v>
      </c>
      <c r="D31" s="398">
        <v>21366980.11946889</v>
      </c>
      <c r="E31" s="398">
        <v>20423801.102254007</v>
      </c>
      <c r="F31" s="398">
        <v>19480622.085039116</v>
      </c>
      <c r="G31" s="398">
        <v>18537443.067824233</v>
      </c>
    </row>
    <row r="55" spans="2:7">
      <c r="B55" s="462" t="s">
        <v>4195</v>
      </c>
      <c r="C55" s="462"/>
      <c r="D55" s="462"/>
      <c r="E55" s="462"/>
      <c r="F55" s="462"/>
      <c r="G55" s="462"/>
    </row>
    <row r="56" spans="2:7">
      <c r="B56" s="394" t="s">
        <v>4177</v>
      </c>
      <c r="C56" s="395">
        <v>-0.5</v>
      </c>
      <c r="D56" s="395">
        <v>-0.25</v>
      </c>
      <c r="E56" s="395">
        <v>0</v>
      </c>
      <c r="F56" s="396" t="s">
        <v>4178</v>
      </c>
      <c r="G56" s="396" t="s">
        <v>4179</v>
      </c>
    </row>
    <row r="57" spans="2:7">
      <c r="B57" s="393" t="s">
        <v>4175</v>
      </c>
      <c r="C57" s="398">
        <v>11155766.499008853</v>
      </c>
      <c r="D57" s="398">
        <v>9963429.9166062549</v>
      </c>
      <c r="E57" s="398">
        <v>8771093.3342036344</v>
      </c>
      <c r="F57" s="398">
        <v>7578756.7518010177</v>
      </c>
      <c r="G57" s="398">
        <v>6386420.1693984047</v>
      </c>
    </row>
    <row r="58" spans="2:7">
      <c r="B58" s="393" t="s">
        <v>4176</v>
      </c>
      <c r="C58" s="398">
        <v>13459227.281259611</v>
      </c>
      <c r="D58" s="398">
        <v>11115160.307731614</v>
      </c>
      <c r="E58" s="398">
        <v>8771093.3342036344</v>
      </c>
      <c r="F58" s="398">
        <v>6427026.3606756441</v>
      </c>
      <c r="G58" s="398">
        <v>4082959.3871476613</v>
      </c>
    </row>
    <row r="59" spans="2:7">
      <c r="B59" s="404"/>
      <c r="C59" s="404"/>
      <c r="D59" s="404"/>
      <c r="E59" s="404"/>
      <c r="F59" s="404"/>
      <c r="G59" s="404"/>
    </row>
    <row r="60" spans="2:7">
      <c r="B60" s="404"/>
      <c r="C60" s="404"/>
      <c r="D60" s="404"/>
      <c r="E60" s="404"/>
      <c r="F60" s="404"/>
      <c r="G60" s="404"/>
    </row>
    <row r="61" spans="2:7">
      <c r="B61" s="404"/>
      <c r="C61" s="404"/>
      <c r="D61" s="404"/>
      <c r="E61" s="404"/>
      <c r="F61" s="404"/>
      <c r="G61" s="404"/>
    </row>
    <row r="62" spans="2:7">
      <c r="B62" s="404"/>
      <c r="C62" s="404"/>
      <c r="D62" s="404"/>
      <c r="E62" s="404"/>
      <c r="F62" s="404"/>
      <c r="G62" s="404"/>
    </row>
    <row r="63" spans="2:7">
      <c r="B63" s="404"/>
      <c r="C63" s="404"/>
      <c r="D63" s="404"/>
      <c r="E63" s="404"/>
      <c r="F63" s="404"/>
      <c r="G63" s="404"/>
    </row>
    <row r="64" spans="2:7">
      <c r="B64" s="404"/>
      <c r="C64" s="404"/>
      <c r="D64" s="404"/>
      <c r="E64" s="404"/>
      <c r="F64" s="404"/>
      <c r="G64" s="404"/>
    </row>
    <row r="65" spans="2:7">
      <c r="B65" s="404"/>
      <c r="C65" s="404"/>
      <c r="D65" s="404"/>
      <c r="E65" s="404"/>
      <c r="F65" s="404"/>
      <c r="G65" s="404"/>
    </row>
    <row r="66" spans="2:7">
      <c r="B66" s="404"/>
      <c r="C66" s="404"/>
      <c r="D66" s="404"/>
      <c r="E66" s="404"/>
      <c r="F66" s="404"/>
      <c r="G66" s="404"/>
    </row>
    <row r="67" spans="2:7">
      <c r="B67" s="404"/>
      <c r="C67" s="404"/>
      <c r="D67" s="404"/>
      <c r="E67" s="404"/>
      <c r="F67" s="404"/>
      <c r="G67" s="404"/>
    </row>
    <row r="68" spans="2:7">
      <c r="B68" s="404"/>
      <c r="C68" s="404"/>
      <c r="D68" s="404"/>
      <c r="E68" s="404"/>
      <c r="F68" s="404"/>
      <c r="G68" s="404"/>
    </row>
    <row r="69" spans="2:7">
      <c r="B69" s="404"/>
      <c r="C69" s="404"/>
      <c r="D69" s="404"/>
      <c r="E69" s="404"/>
      <c r="F69" s="404"/>
      <c r="G69" s="404"/>
    </row>
    <row r="70" spans="2:7">
      <c r="B70" s="404"/>
      <c r="C70" s="404"/>
      <c r="D70" s="404"/>
      <c r="E70" s="404"/>
      <c r="F70" s="404"/>
      <c r="G70" s="404"/>
    </row>
    <row r="71" spans="2:7">
      <c r="B71" s="404"/>
      <c r="C71" s="404"/>
      <c r="D71" s="404"/>
      <c r="E71" s="404"/>
      <c r="F71" s="404"/>
      <c r="G71" s="404"/>
    </row>
    <row r="72" spans="2:7">
      <c r="B72" s="404"/>
      <c r="C72" s="404"/>
      <c r="D72" s="404"/>
      <c r="E72" s="404"/>
      <c r="F72" s="404"/>
      <c r="G72" s="404"/>
    </row>
    <row r="73" spans="2:7">
      <c r="B73" s="404"/>
      <c r="C73" s="404"/>
      <c r="D73" s="404"/>
      <c r="E73" s="404"/>
      <c r="F73" s="404"/>
      <c r="G73" s="404"/>
    </row>
    <row r="74" spans="2:7">
      <c r="B74" s="404"/>
      <c r="C74" s="404"/>
      <c r="D74" s="404"/>
      <c r="E74" s="404"/>
      <c r="F74" s="404"/>
      <c r="G74" s="404"/>
    </row>
    <row r="75" spans="2:7">
      <c r="B75" s="404"/>
      <c r="C75" s="404"/>
      <c r="D75" s="404"/>
      <c r="E75" s="404"/>
      <c r="F75" s="404"/>
      <c r="G75" s="404"/>
    </row>
    <row r="76" spans="2:7">
      <c r="B76" s="404"/>
      <c r="C76" s="404"/>
      <c r="D76" s="404"/>
      <c r="E76" s="404"/>
      <c r="F76" s="404"/>
      <c r="G76" s="404"/>
    </row>
    <row r="77" spans="2:7">
      <c r="B77" s="404"/>
      <c r="C77" s="404"/>
      <c r="D77" s="404"/>
      <c r="E77" s="404"/>
      <c r="F77" s="404"/>
      <c r="G77" s="404"/>
    </row>
    <row r="78" spans="2:7">
      <c r="B78" s="404"/>
      <c r="C78" s="404"/>
      <c r="D78" s="404"/>
      <c r="E78" s="404"/>
      <c r="F78" s="404"/>
      <c r="G78" s="404"/>
    </row>
    <row r="79" spans="2:7">
      <c r="B79" s="404"/>
      <c r="C79" s="404"/>
      <c r="D79" s="404"/>
      <c r="E79" s="404"/>
      <c r="F79" s="404"/>
      <c r="G79" s="404"/>
    </row>
  </sheetData>
  <mergeCells count="3">
    <mergeCell ref="B2:G2"/>
    <mergeCell ref="B28:G28"/>
    <mergeCell ref="B55:G5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95"/>
  <sheetViews>
    <sheetView topLeftCell="A3" workbookViewId="0">
      <selection activeCell="K62" sqref="K62"/>
    </sheetView>
  </sheetViews>
  <sheetFormatPr defaultColWidth="8.85546875" defaultRowHeight="15"/>
  <cols>
    <col min="1" max="1" width="2.7109375" style="1" customWidth="1"/>
    <col min="2" max="2" width="28.7109375" style="1" customWidth="1"/>
    <col min="3" max="3" width="10.7109375" style="1" hidden="1" customWidth="1"/>
    <col min="4" max="4" width="20.7109375" style="1" customWidth="1"/>
    <col min="5" max="5" width="20.7109375" style="1" hidden="1" customWidth="1"/>
    <col min="6" max="6" width="2.7109375" style="1" customWidth="1"/>
    <col min="7" max="16384" width="8.85546875" style="1"/>
  </cols>
  <sheetData>
    <row r="1" spans="1:6">
      <c r="A1" s="14"/>
      <c r="B1" s="14"/>
      <c r="C1" s="14"/>
      <c r="D1" s="14"/>
      <c r="E1" s="14"/>
      <c r="F1" s="14"/>
    </row>
    <row r="2" spans="1:6">
      <c r="A2" s="14"/>
      <c r="B2" s="595" t="s">
        <v>3762</v>
      </c>
      <c r="C2" s="596"/>
      <c r="D2" s="596"/>
      <c r="F2" s="14"/>
    </row>
    <row r="3" spans="1:6">
      <c r="A3" s="14"/>
      <c r="B3" s="15"/>
      <c r="C3" s="15"/>
      <c r="D3" s="15"/>
      <c r="E3" s="15"/>
      <c r="F3" s="14"/>
    </row>
    <row r="4" spans="1:6">
      <c r="A4" s="16"/>
      <c r="B4" s="17" t="s">
        <v>246</v>
      </c>
      <c r="C4" s="17" t="s">
        <v>3763</v>
      </c>
      <c r="D4" s="17" t="s">
        <v>3764</v>
      </c>
      <c r="E4" s="17" t="s">
        <v>3765</v>
      </c>
      <c r="F4" s="18"/>
    </row>
    <row r="5" spans="1:6">
      <c r="A5" s="19"/>
      <c r="B5" s="20" t="s">
        <v>3766</v>
      </c>
      <c r="C5" s="21"/>
      <c r="D5" s="22">
        <v>108907599.03</v>
      </c>
      <c r="E5" s="22">
        <v>106587642.48999999</v>
      </c>
      <c r="F5" s="18"/>
    </row>
    <row r="6" spans="1:6" ht="30">
      <c r="A6" s="19"/>
      <c r="B6" s="23" t="s">
        <v>3767</v>
      </c>
      <c r="C6" s="21"/>
      <c r="D6" s="22">
        <v>18415.68</v>
      </c>
      <c r="E6" s="22">
        <v>42131.360000000001</v>
      </c>
      <c r="F6" s="18"/>
    </row>
    <row r="7" spans="1:6" ht="30">
      <c r="A7" s="19"/>
      <c r="B7" s="24" t="s">
        <v>3768</v>
      </c>
      <c r="C7" s="21">
        <v>38</v>
      </c>
      <c r="D7" s="25">
        <v>0</v>
      </c>
      <c r="E7" s="25">
        <v>0</v>
      </c>
      <c r="F7" s="18"/>
    </row>
    <row r="8" spans="1:6">
      <c r="A8" s="19"/>
      <c r="B8" s="24" t="s">
        <v>3769</v>
      </c>
      <c r="C8" s="21">
        <v>38</v>
      </c>
      <c r="D8" s="25">
        <v>0</v>
      </c>
      <c r="E8" s="25">
        <v>0</v>
      </c>
      <c r="F8" s="18"/>
    </row>
    <row r="9" spans="1:6" ht="45">
      <c r="A9" s="19"/>
      <c r="B9" s="24" t="s">
        <v>3770</v>
      </c>
      <c r="C9" s="21">
        <v>38</v>
      </c>
      <c r="D9" s="25">
        <v>18415.68</v>
      </c>
      <c r="E9" s="25">
        <v>42131.360000000001</v>
      </c>
      <c r="F9" s="18"/>
    </row>
    <row r="10" spans="1:6" ht="45">
      <c r="A10" s="19"/>
      <c r="B10" s="24" t="s">
        <v>3771</v>
      </c>
      <c r="C10" s="21"/>
      <c r="D10" s="25">
        <v>0</v>
      </c>
      <c r="E10" s="25">
        <v>0</v>
      </c>
      <c r="F10" s="18"/>
    </row>
    <row r="11" spans="1:6" ht="30">
      <c r="A11" s="19"/>
      <c r="B11" s="23" t="s">
        <v>3772</v>
      </c>
      <c r="C11" s="17"/>
      <c r="D11" s="22">
        <v>104061170.08</v>
      </c>
      <c r="E11" s="22">
        <v>102815702.86</v>
      </c>
      <c r="F11" s="18"/>
    </row>
    <row r="12" spans="1:6">
      <c r="A12" s="19"/>
      <c r="B12" s="24" t="s">
        <v>3773</v>
      </c>
      <c r="C12" s="21"/>
      <c r="D12" s="25">
        <v>103144136.02</v>
      </c>
      <c r="E12" s="25">
        <v>100818672.73</v>
      </c>
      <c r="F12" s="18"/>
    </row>
    <row r="13" spans="1:6" ht="45">
      <c r="A13" s="19"/>
      <c r="B13" s="26" t="s">
        <v>3774</v>
      </c>
      <c r="C13" s="17">
        <v>39</v>
      </c>
      <c r="D13" s="25">
        <v>4326753.51</v>
      </c>
      <c r="E13" s="25">
        <v>4326753.51</v>
      </c>
      <c r="F13" s="18"/>
    </row>
    <row r="14" spans="1:6" ht="45">
      <c r="A14" s="19"/>
      <c r="B14" s="26" t="s">
        <v>3775</v>
      </c>
      <c r="C14" s="21">
        <v>39</v>
      </c>
      <c r="D14" s="25">
        <v>51689866.579999998</v>
      </c>
      <c r="E14" s="25">
        <v>49506489</v>
      </c>
      <c r="F14" s="18"/>
    </row>
    <row r="15" spans="1:6" ht="30">
      <c r="A15" s="19"/>
      <c r="B15" s="26" t="s">
        <v>3776</v>
      </c>
      <c r="C15" s="21">
        <v>39</v>
      </c>
      <c r="D15" s="25">
        <v>38528279.979999997</v>
      </c>
      <c r="E15" s="25">
        <v>37722855.090000004</v>
      </c>
      <c r="F15" s="18"/>
    </row>
    <row r="16" spans="1:6">
      <c r="A16" s="19"/>
      <c r="B16" s="26" t="s">
        <v>3777</v>
      </c>
      <c r="C16" s="21">
        <v>39</v>
      </c>
      <c r="D16" s="25">
        <v>2027397.8</v>
      </c>
      <c r="E16" s="25">
        <v>2460863.4900000002</v>
      </c>
      <c r="F16" s="18"/>
    </row>
    <row r="17" spans="1:6">
      <c r="A17" s="19"/>
      <c r="B17" s="26" t="s">
        <v>3778</v>
      </c>
      <c r="C17" s="21">
        <v>39</v>
      </c>
      <c r="D17" s="25">
        <v>6571838.1500000004</v>
      </c>
      <c r="E17" s="25">
        <v>6801711.6399999997</v>
      </c>
      <c r="F17" s="18"/>
    </row>
    <row r="18" spans="1:6" ht="30">
      <c r="A18" s="19"/>
      <c r="B18" s="24" t="s">
        <v>3779</v>
      </c>
      <c r="C18" s="21">
        <v>42</v>
      </c>
      <c r="D18" s="25">
        <v>901180.8</v>
      </c>
      <c r="E18" s="25">
        <v>1997030.13</v>
      </c>
      <c r="F18" s="18"/>
    </row>
    <row r="19" spans="1:6" ht="30">
      <c r="A19" s="19"/>
      <c r="B19" s="24" t="s">
        <v>3780</v>
      </c>
      <c r="C19" s="17"/>
      <c r="D19" s="25">
        <v>15853.26</v>
      </c>
      <c r="E19" s="25">
        <v>0</v>
      </c>
      <c r="F19" s="18"/>
    </row>
    <row r="20" spans="1:6" ht="30">
      <c r="A20" s="19"/>
      <c r="B20" s="23" t="s">
        <v>3781</v>
      </c>
      <c r="C20" s="21"/>
      <c r="D20" s="22">
        <v>0</v>
      </c>
      <c r="E20" s="22">
        <v>0</v>
      </c>
      <c r="F20" s="18"/>
    </row>
    <row r="21" spans="1:6" ht="30">
      <c r="A21" s="19"/>
      <c r="B21" s="24" t="s">
        <v>3782</v>
      </c>
      <c r="C21" s="21">
        <v>13</v>
      </c>
      <c r="D21" s="25">
        <v>0</v>
      </c>
      <c r="E21" s="25">
        <v>0</v>
      </c>
      <c r="F21" s="18"/>
    </row>
    <row r="22" spans="1:6" ht="75">
      <c r="A22" s="19"/>
      <c r="B22" s="24" t="s">
        <v>3783</v>
      </c>
      <c r="C22" s="21">
        <v>13</v>
      </c>
      <c r="D22" s="25">
        <v>0</v>
      </c>
      <c r="E22" s="25">
        <v>0</v>
      </c>
      <c r="F22" s="18"/>
    </row>
    <row r="23" spans="1:6" ht="30">
      <c r="A23" s="19"/>
      <c r="B23" s="24" t="s">
        <v>3784</v>
      </c>
      <c r="C23" s="21">
        <v>13</v>
      </c>
      <c r="D23" s="25">
        <v>0</v>
      </c>
      <c r="E23" s="25">
        <v>0</v>
      </c>
      <c r="F23" s="18"/>
    </row>
    <row r="24" spans="1:6" ht="30">
      <c r="A24" s="19"/>
      <c r="B24" s="23" t="s">
        <v>3785</v>
      </c>
      <c r="C24" s="21"/>
      <c r="D24" s="22">
        <v>29480.7</v>
      </c>
      <c r="E24" s="22">
        <v>43631.44</v>
      </c>
      <c r="F24" s="18"/>
    </row>
    <row r="25" spans="1:6">
      <c r="A25" s="19"/>
      <c r="B25" s="24" t="s">
        <v>3786</v>
      </c>
      <c r="C25" s="21">
        <v>1</v>
      </c>
      <c r="D25" s="25">
        <v>0</v>
      </c>
      <c r="E25" s="25">
        <v>0</v>
      </c>
      <c r="F25" s="18"/>
    </row>
    <row r="26" spans="1:6" ht="45">
      <c r="A26" s="19"/>
      <c r="B26" s="24" t="s">
        <v>3787</v>
      </c>
      <c r="C26" s="21">
        <v>1</v>
      </c>
      <c r="D26" s="25">
        <v>0</v>
      </c>
      <c r="E26" s="25">
        <v>0</v>
      </c>
      <c r="F26" s="18"/>
    </row>
    <row r="27" spans="1:6" ht="30">
      <c r="A27" s="19"/>
      <c r="B27" s="24" t="s">
        <v>3788</v>
      </c>
      <c r="C27" s="21"/>
      <c r="D27" s="25">
        <v>0</v>
      </c>
      <c r="E27" s="25">
        <v>0</v>
      </c>
      <c r="F27" s="18"/>
    </row>
    <row r="28" spans="1:6" ht="30">
      <c r="A28" s="19"/>
      <c r="B28" s="26" t="s">
        <v>3789</v>
      </c>
      <c r="C28" s="21"/>
      <c r="D28" s="25">
        <v>0</v>
      </c>
      <c r="E28" s="25">
        <v>0</v>
      </c>
      <c r="F28" s="18"/>
    </row>
    <row r="29" spans="1:6">
      <c r="A29" s="19"/>
      <c r="B29" s="27" t="s">
        <v>3790</v>
      </c>
      <c r="C29" s="21"/>
      <c r="D29" s="25">
        <v>0</v>
      </c>
      <c r="E29" s="25">
        <v>0</v>
      </c>
      <c r="F29" s="18"/>
    </row>
    <row r="30" spans="1:6" ht="30">
      <c r="A30" s="19"/>
      <c r="B30" s="27" t="s">
        <v>3791</v>
      </c>
      <c r="C30" s="21"/>
      <c r="D30" s="25">
        <v>0</v>
      </c>
      <c r="E30" s="25">
        <v>0</v>
      </c>
      <c r="F30" s="18"/>
    </row>
    <row r="31" spans="1:6" ht="30">
      <c r="A31" s="19"/>
      <c r="B31" s="27" t="s">
        <v>3792</v>
      </c>
      <c r="C31" s="21"/>
      <c r="D31" s="25">
        <v>0</v>
      </c>
      <c r="E31" s="25">
        <v>0</v>
      </c>
      <c r="F31" s="18"/>
    </row>
    <row r="32" spans="1:6" ht="45">
      <c r="A32" s="19"/>
      <c r="B32" s="27" t="s">
        <v>3793</v>
      </c>
      <c r="C32" s="21"/>
      <c r="D32" s="25">
        <v>0</v>
      </c>
      <c r="E32" s="25">
        <v>0</v>
      </c>
      <c r="F32" s="18"/>
    </row>
    <row r="33" spans="1:6" ht="90">
      <c r="A33" s="19"/>
      <c r="B33" s="26" t="s">
        <v>3794</v>
      </c>
      <c r="C33" s="21"/>
      <c r="D33" s="25">
        <v>0</v>
      </c>
      <c r="E33" s="25">
        <v>0</v>
      </c>
      <c r="F33" s="18"/>
    </row>
    <row r="34" spans="1:6">
      <c r="A34" s="19"/>
      <c r="B34" s="27" t="s">
        <v>3790</v>
      </c>
      <c r="C34" s="21"/>
      <c r="D34" s="25">
        <v>0</v>
      </c>
      <c r="E34" s="25">
        <v>0</v>
      </c>
      <c r="F34" s="18"/>
    </row>
    <row r="35" spans="1:6" ht="30">
      <c r="A35" s="19"/>
      <c r="B35" s="27" t="s">
        <v>3791</v>
      </c>
      <c r="C35" s="21"/>
      <c r="D35" s="25">
        <v>0</v>
      </c>
      <c r="E35" s="25">
        <v>0</v>
      </c>
      <c r="F35" s="18"/>
    </row>
    <row r="36" spans="1:6" ht="30">
      <c r="A36" s="19"/>
      <c r="B36" s="27" t="s">
        <v>3792</v>
      </c>
      <c r="C36" s="21"/>
      <c r="D36" s="25">
        <v>0</v>
      </c>
      <c r="E36" s="25">
        <v>0</v>
      </c>
      <c r="F36" s="18"/>
    </row>
    <row r="37" spans="1:6" ht="45">
      <c r="A37" s="19"/>
      <c r="B37" s="27" t="s">
        <v>3793</v>
      </c>
      <c r="C37" s="21"/>
      <c r="D37" s="25">
        <v>0</v>
      </c>
      <c r="E37" s="25">
        <v>0</v>
      </c>
      <c r="F37" s="18"/>
    </row>
    <row r="38" spans="1:6" ht="30">
      <c r="A38" s="19"/>
      <c r="B38" s="26" t="s">
        <v>3795</v>
      </c>
      <c r="C38" s="21"/>
      <c r="D38" s="25">
        <v>0</v>
      </c>
      <c r="E38" s="25">
        <v>0</v>
      </c>
      <c r="F38" s="18"/>
    </row>
    <row r="39" spans="1:6">
      <c r="A39" s="19"/>
      <c r="B39" s="27" t="s">
        <v>3790</v>
      </c>
      <c r="C39" s="21"/>
      <c r="D39" s="25">
        <v>0</v>
      </c>
      <c r="E39" s="25">
        <v>0</v>
      </c>
      <c r="F39" s="18"/>
    </row>
    <row r="40" spans="1:6" ht="30">
      <c r="A40" s="19"/>
      <c r="B40" s="27" t="s">
        <v>3791</v>
      </c>
      <c r="C40" s="21"/>
      <c r="D40" s="25">
        <v>0</v>
      </c>
      <c r="E40" s="25">
        <v>0</v>
      </c>
      <c r="F40" s="18"/>
    </row>
    <row r="41" spans="1:6" ht="30">
      <c r="A41" s="19"/>
      <c r="B41" s="27" t="s">
        <v>3792</v>
      </c>
      <c r="C41" s="21"/>
      <c r="D41" s="25">
        <v>0</v>
      </c>
      <c r="E41" s="25">
        <v>0</v>
      </c>
      <c r="F41" s="18"/>
    </row>
    <row r="42" spans="1:6" ht="45">
      <c r="A42" s="19"/>
      <c r="B42" s="27" t="s">
        <v>3793</v>
      </c>
      <c r="C42" s="21"/>
      <c r="D42" s="25">
        <v>0</v>
      </c>
      <c r="E42" s="25">
        <v>0</v>
      </c>
      <c r="F42" s="18"/>
    </row>
    <row r="43" spans="1:6" ht="30">
      <c r="A43" s="19"/>
      <c r="B43" s="24" t="s">
        <v>3796</v>
      </c>
      <c r="C43" s="21">
        <v>1</v>
      </c>
      <c r="D43" s="25">
        <v>29480.7</v>
      </c>
      <c r="E43" s="25">
        <v>43631.44</v>
      </c>
      <c r="F43" s="18"/>
    </row>
    <row r="44" spans="1:6" ht="45">
      <c r="A44" s="19"/>
      <c r="B44" s="23" t="s">
        <v>3797</v>
      </c>
      <c r="C44" s="21"/>
      <c r="D44" s="22">
        <v>4798532.57</v>
      </c>
      <c r="E44" s="22">
        <v>3686176.83</v>
      </c>
      <c r="F44" s="18"/>
    </row>
    <row r="45" spans="1:6" ht="45">
      <c r="A45" s="19"/>
      <c r="B45" s="24" t="s">
        <v>3798</v>
      </c>
      <c r="C45" s="21">
        <v>37</v>
      </c>
      <c r="D45" s="25">
        <v>3653901</v>
      </c>
      <c r="E45" s="25">
        <v>3291902</v>
      </c>
      <c r="F45" s="18"/>
    </row>
    <row r="46" spans="1:6" ht="30">
      <c r="A46" s="19"/>
      <c r="B46" s="24" t="s">
        <v>3799</v>
      </c>
      <c r="C46" s="21">
        <v>37</v>
      </c>
      <c r="D46" s="25">
        <v>1144631.57</v>
      </c>
      <c r="E46" s="25">
        <v>394274.83</v>
      </c>
      <c r="F46" s="18"/>
    </row>
    <row r="47" spans="1:6">
      <c r="A47" s="19"/>
      <c r="B47" s="20" t="s">
        <v>3800</v>
      </c>
      <c r="C47" s="21"/>
      <c r="D47" s="22">
        <v>24588409.739999998</v>
      </c>
      <c r="E47" s="22">
        <v>22822178.25</v>
      </c>
      <c r="F47" s="18"/>
    </row>
    <row r="48" spans="1:6">
      <c r="A48" s="19"/>
      <c r="B48" s="23" t="s">
        <v>3801</v>
      </c>
      <c r="C48" s="21"/>
      <c r="D48" s="22">
        <v>1658259.24</v>
      </c>
      <c r="E48" s="22">
        <v>1654923.05</v>
      </c>
      <c r="F48" s="18"/>
    </row>
    <row r="49" spans="1:6">
      <c r="A49" s="19"/>
      <c r="B49" s="24" t="s">
        <v>3802</v>
      </c>
      <c r="C49" s="21">
        <v>44</v>
      </c>
      <c r="D49" s="25">
        <v>1616170.46</v>
      </c>
      <c r="E49" s="25">
        <v>1634207.46</v>
      </c>
      <c r="F49" s="18"/>
    </row>
    <row r="50" spans="1:6" ht="30">
      <c r="A50" s="19"/>
      <c r="B50" s="24" t="s">
        <v>3803</v>
      </c>
      <c r="C50" s="21">
        <v>44</v>
      </c>
      <c r="D50" s="25">
        <v>0</v>
      </c>
      <c r="E50" s="25">
        <v>0</v>
      </c>
      <c r="F50" s="18"/>
    </row>
    <row r="51" spans="1:6" ht="30">
      <c r="A51" s="19"/>
      <c r="B51" s="26" t="s">
        <v>3804</v>
      </c>
      <c r="C51" s="21"/>
      <c r="D51" s="25">
        <v>0</v>
      </c>
      <c r="E51" s="25">
        <v>0</v>
      </c>
      <c r="F51" s="18"/>
    </row>
    <row r="52" spans="1:6">
      <c r="A52" s="19"/>
      <c r="B52" s="24" t="s">
        <v>3805</v>
      </c>
      <c r="C52" s="21">
        <v>44</v>
      </c>
      <c r="D52" s="25">
        <v>0</v>
      </c>
      <c r="E52" s="25">
        <v>0</v>
      </c>
      <c r="F52" s="18"/>
    </row>
    <row r="53" spans="1:6">
      <c r="A53" s="19"/>
      <c r="B53" s="24" t="s">
        <v>3806</v>
      </c>
      <c r="C53" s="21">
        <v>44</v>
      </c>
      <c r="D53" s="25">
        <v>36146.1</v>
      </c>
      <c r="E53" s="25">
        <v>20715.59</v>
      </c>
      <c r="F53" s="18"/>
    </row>
    <row r="54" spans="1:6" ht="30">
      <c r="A54" s="19"/>
      <c r="B54" s="24" t="s">
        <v>3807</v>
      </c>
      <c r="C54" s="21">
        <v>44</v>
      </c>
      <c r="D54" s="25">
        <v>5942.68</v>
      </c>
      <c r="E54" s="25">
        <v>0</v>
      </c>
      <c r="F54" s="18"/>
    </row>
    <row r="55" spans="1:6" ht="30">
      <c r="A55" s="19"/>
      <c r="B55" s="23" t="s">
        <v>3808</v>
      </c>
      <c r="C55" s="21"/>
      <c r="D55" s="22">
        <v>9628914.4800000004</v>
      </c>
      <c r="E55" s="22">
        <v>7635843.4800000004</v>
      </c>
      <c r="F55" s="18"/>
    </row>
    <row r="56" spans="1:6" ht="45">
      <c r="A56" s="19"/>
      <c r="B56" s="24" t="s">
        <v>3809</v>
      </c>
      <c r="C56" s="21"/>
      <c r="D56" s="25">
        <v>0</v>
      </c>
      <c r="E56" s="25">
        <v>0</v>
      </c>
      <c r="F56" s="18"/>
    </row>
    <row r="57" spans="1:6" ht="45">
      <c r="A57" s="19"/>
      <c r="B57" s="26" t="s">
        <v>3810</v>
      </c>
      <c r="C57" s="21"/>
      <c r="D57" s="25">
        <v>0</v>
      </c>
      <c r="E57" s="25">
        <v>0</v>
      </c>
      <c r="F57" s="18"/>
    </row>
    <row r="58" spans="1:6">
      <c r="A58" s="19"/>
      <c r="B58" s="27" t="s">
        <v>3811</v>
      </c>
      <c r="C58" s="21">
        <v>13</v>
      </c>
      <c r="D58" s="25">
        <v>0</v>
      </c>
      <c r="E58" s="25">
        <v>0</v>
      </c>
      <c r="F58" s="18"/>
    </row>
    <row r="59" spans="1:6" ht="30">
      <c r="A59" s="19"/>
      <c r="B59" s="27" t="s">
        <v>3812</v>
      </c>
      <c r="C59" s="21">
        <v>13</v>
      </c>
      <c r="D59" s="25">
        <v>0</v>
      </c>
      <c r="E59" s="25">
        <v>0</v>
      </c>
      <c r="F59" s="18"/>
    </row>
    <row r="60" spans="1:6">
      <c r="A60" s="19"/>
      <c r="B60" s="26" t="s">
        <v>3813</v>
      </c>
      <c r="C60" s="21">
        <v>13</v>
      </c>
      <c r="D60" s="25">
        <v>0</v>
      </c>
      <c r="E60" s="25">
        <v>0</v>
      </c>
      <c r="F60" s="18"/>
    </row>
    <row r="61" spans="1:6" ht="90">
      <c r="A61" s="19"/>
      <c r="B61" s="24" t="s">
        <v>3814</v>
      </c>
      <c r="C61" s="21"/>
      <c r="D61" s="25">
        <v>0</v>
      </c>
      <c r="E61" s="25">
        <v>0</v>
      </c>
      <c r="F61" s="18"/>
    </row>
    <row r="62" spans="1:6" ht="45">
      <c r="A62" s="19"/>
      <c r="B62" s="26" t="s">
        <v>3815</v>
      </c>
      <c r="C62" s="21"/>
      <c r="D62" s="25">
        <v>0</v>
      </c>
      <c r="E62" s="25">
        <v>0</v>
      </c>
      <c r="F62" s="18"/>
    </row>
    <row r="63" spans="1:6">
      <c r="A63" s="19"/>
      <c r="B63" s="27" t="s">
        <v>3811</v>
      </c>
      <c r="C63" s="21">
        <v>13</v>
      </c>
      <c r="D63" s="25">
        <v>0</v>
      </c>
      <c r="E63" s="25">
        <v>0</v>
      </c>
      <c r="F63" s="18"/>
    </row>
    <row r="64" spans="1:6" ht="30">
      <c r="A64" s="19"/>
      <c r="B64" s="27" t="s">
        <v>3812</v>
      </c>
      <c r="C64" s="21">
        <v>13</v>
      </c>
      <c r="D64" s="25">
        <v>0</v>
      </c>
      <c r="E64" s="25">
        <v>0</v>
      </c>
      <c r="F64" s="18"/>
    </row>
    <row r="65" spans="1:6">
      <c r="A65" s="19"/>
      <c r="B65" s="26" t="s">
        <v>3813</v>
      </c>
      <c r="C65" s="21">
        <v>13</v>
      </c>
      <c r="D65" s="25">
        <v>0</v>
      </c>
      <c r="E65" s="25">
        <v>0</v>
      </c>
      <c r="F65" s="18"/>
    </row>
    <row r="66" spans="1:6" ht="30">
      <c r="A66" s="19"/>
      <c r="B66" s="24" t="s">
        <v>3816</v>
      </c>
      <c r="C66" s="21"/>
      <c r="D66" s="25">
        <v>9628914.4800000004</v>
      </c>
      <c r="E66" s="25">
        <v>7635843.4800000004</v>
      </c>
      <c r="F66" s="18"/>
    </row>
    <row r="67" spans="1:6" ht="45">
      <c r="A67" s="19"/>
      <c r="B67" s="26" t="s">
        <v>3815</v>
      </c>
      <c r="C67" s="21"/>
      <c r="D67" s="25">
        <v>9281591.5800000001</v>
      </c>
      <c r="E67" s="25">
        <v>7094047.9900000002</v>
      </c>
      <c r="F67" s="18"/>
    </row>
    <row r="68" spans="1:6">
      <c r="A68" s="19"/>
      <c r="B68" s="27" t="s">
        <v>3811</v>
      </c>
      <c r="C68" s="21">
        <v>13</v>
      </c>
      <c r="D68" s="25">
        <v>9281591.5800000001</v>
      </c>
      <c r="E68" s="25">
        <v>7094047.9900000002</v>
      </c>
      <c r="F68" s="18"/>
    </row>
    <row r="69" spans="1:6" ht="30">
      <c r="A69" s="19"/>
      <c r="B69" s="27" t="s">
        <v>3812</v>
      </c>
      <c r="C69" s="21">
        <v>13</v>
      </c>
      <c r="D69" s="25">
        <v>0</v>
      </c>
      <c r="E69" s="25">
        <v>0</v>
      </c>
      <c r="F69" s="18"/>
    </row>
    <row r="70" spans="1:6" ht="105">
      <c r="A70" s="19"/>
      <c r="B70" s="26" t="s">
        <v>3817</v>
      </c>
      <c r="C70" s="21">
        <v>13</v>
      </c>
      <c r="D70" s="25">
        <v>344173.14</v>
      </c>
      <c r="E70" s="25">
        <v>523219.81</v>
      </c>
      <c r="F70" s="18"/>
    </row>
    <row r="71" spans="1:6">
      <c r="A71" s="19"/>
      <c r="B71" s="26" t="s">
        <v>3818</v>
      </c>
      <c r="C71" s="21">
        <v>13</v>
      </c>
      <c r="D71" s="25">
        <v>3149.76</v>
      </c>
      <c r="E71" s="25">
        <v>18575.68</v>
      </c>
      <c r="F71" s="18"/>
    </row>
    <row r="72" spans="1:6" ht="30">
      <c r="A72" s="19"/>
      <c r="B72" s="26" t="s">
        <v>3819</v>
      </c>
      <c r="C72" s="21">
        <v>13</v>
      </c>
      <c r="D72" s="25">
        <v>0</v>
      </c>
      <c r="E72" s="25">
        <v>0</v>
      </c>
      <c r="F72" s="18"/>
    </row>
    <row r="73" spans="1:6" ht="30">
      <c r="A73" s="19"/>
      <c r="B73" s="23" t="s">
        <v>3820</v>
      </c>
      <c r="C73" s="21"/>
      <c r="D73" s="22">
        <v>12788192.52</v>
      </c>
      <c r="E73" s="22">
        <v>12585817.380000001</v>
      </c>
      <c r="F73" s="18"/>
    </row>
    <row r="74" spans="1:6" ht="30">
      <c r="A74" s="19"/>
      <c r="B74" s="24" t="s">
        <v>3821</v>
      </c>
      <c r="C74" s="21"/>
      <c r="D74" s="25">
        <v>12473192.52</v>
      </c>
      <c r="E74" s="25">
        <v>12585817.380000001</v>
      </c>
      <c r="F74" s="18"/>
    </row>
    <row r="75" spans="1:6" ht="30">
      <c r="A75" s="19"/>
      <c r="B75" s="26" t="s">
        <v>3789</v>
      </c>
      <c r="C75" s="21"/>
      <c r="D75" s="25">
        <v>0</v>
      </c>
      <c r="E75" s="25">
        <v>0</v>
      </c>
      <c r="F75" s="18"/>
    </row>
    <row r="76" spans="1:6">
      <c r="A76" s="19"/>
      <c r="B76" s="27" t="s">
        <v>3790</v>
      </c>
      <c r="C76" s="21"/>
      <c r="D76" s="25">
        <v>0</v>
      </c>
      <c r="E76" s="25">
        <v>0</v>
      </c>
      <c r="F76" s="18"/>
    </row>
    <row r="77" spans="1:6" ht="30">
      <c r="A77" s="19"/>
      <c r="B77" s="27" t="s">
        <v>3791</v>
      </c>
      <c r="C77" s="21"/>
      <c r="D77" s="25">
        <v>0</v>
      </c>
      <c r="E77" s="25">
        <v>0</v>
      </c>
      <c r="F77" s="18"/>
    </row>
    <row r="78" spans="1:6" ht="30">
      <c r="A78" s="19"/>
      <c r="B78" s="27" t="s">
        <v>3792</v>
      </c>
      <c r="C78" s="21"/>
      <c r="D78" s="25">
        <v>0</v>
      </c>
      <c r="E78" s="25">
        <v>0</v>
      </c>
      <c r="F78" s="18"/>
    </row>
    <row r="79" spans="1:6" ht="45">
      <c r="A79" s="19"/>
      <c r="B79" s="27" t="s">
        <v>3822</v>
      </c>
      <c r="C79" s="21"/>
      <c r="D79" s="25">
        <v>0</v>
      </c>
      <c r="E79" s="25">
        <v>0</v>
      </c>
      <c r="F79" s="18"/>
    </row>
    <row r="80" spans="1:6" ht="30">
      <c r="A80" s="19"/>
      <c r="B80" s="26" t="s">
        <v>3823</v>
      </c>
      <c r="C80" s="21"/>
      <c r="D80" s="25">
        <v>674418.9</v>
      </c>
      <c r="E80" s="25">
        <v>983440.16</v>
      </c>
      <c r="F80" s="18"/>
    </row>
    <row r="81" spans="1:6">
      <c r="A81" s="19"/>
      <c r="B81" s="27" t="s">
        <v>3790</v>
      </c>
      <c r="C81" s="21">
        <v>2</v>
      </c>
      <c r="D81" s="25">
        <v>0</v>
      </c>
      <c r="E81" s="25">
        <v>0</v>
      </c>
      <c r="F81" s="18"/>
    </row>
    <row r="82" spans="1:6" ht="30">
      <c r="A82" s="19"/>
      <c r="B82" s="27" t="s">
        <v>3791</v>
      </c>
      <c r="C82" s="21">
        <v>2</v>
      </c>
      <c r="D82" s="25">
        <v>0</v>
      </c>
      <c r="E82" s="25">
        <v>0</v>
      </c>
      <c r="F82" s="18"/>
    </row>
    <row r="83" spans="1:6" ht="30">
      <c r="A83" s="19"/>
      <c r="B83" s="27" t="s">
        <v>3792</v>
      </c>
      <c r="C83" s="21">
        <v>2</v>
      </c>
      <c r="D83" s="25">
        <v>301518.90000000002</v>
      </c>
      <c r="E83" s="25">
        <v>610540.16</v>
      </c>
      <c r="F83" s="18"/>
    </row>
    <row r="84" spans="1:6" ht="45">
      <c r="A84" s="19"/>
      <c r="B84" s="27" t="s">
        <v>3822</v>
      </c>
      <c r="C84" s="21">
        <v>2</v>
      </c>
      <c r="D84" s="25">
        <v>372900</v>
      </c>
      <c r="E84" s="25">
        <v>372900</v>
      </c>
      <c r="F84" s="18"/>
    </row>
    <row r="85" spans="1:6" ht="45">
      <c r="A85" s="19"/>
      <c r="B85" s="26" t="s">
        <v>3824</v>
      </c>
      <c r="C85" s="21"/>
      <c r="D85" s="25">
        <v>11798773.619999999</v>
      </c>
      <c r="E85" s="25">
        <v>11602377.220000001</v>
      </c>
      <c r="F85" s="18"/>
    </row>
    <row r="86" spans="1:6" ht="45">
      <c r="A86" s="19"/>
      <c r="B86" s="27" t="s">
        <v>3825</v>
      </c>
      <c r="C86" s="21">
        <v>4</v>
      </c>
      <c r="D86" s="25">
        <v>7398991.9800000004</v>
      </c>
      <c r="E86" s="25">
        <v>756506.9</v>
      </c>
      <c r="F86" s="18"/>
    </row>
    <row r="87" spans="1:6" ht="30">
      <c r="A87" s="19"/>
      <c r="B87" s="27" t="s">
        <v>3826</v>
      </c>
      <c r="C87" s="21">
        <v>4</v>
      </c>
      <c r="D87" s="25">
        <v>4399781.6399999997</v>
      </c>
      <c r="E87" s="25">
        <v>10845870.32</v>
      </c>
      <c r="F87" s="18"/>
    </row>
    <row r="88" spans="1:6" ht="30">
      <c r="A88" s="19"/>
      <c r="B88" s="27" t="s">
        <v>3827</v>
      </c>
      <c r="C88" s="21">
        <v>4</v>
      </c>
      <c r="D88" s="25">
        <v>0</v>
      </c>
      <c r="E88" s="25">
        <v>0</v>
      </c>
      <c r="F88" s="18"/>
    </row>
    <row r="89" spans="1:6" ht="30">
      <c r="A89" s="19"/>
      <c r="B89" s="24" t="s">
        <v>3828</v>
      </c>
      <c r="C89" s="21">
        <v>3</v>
      </c>
      <c r="D89" s="25">
        <v>315000</v>
      </c>
      <c r="E89" s="25">
        <v>0</v>
      </c>
      <c r="F89" s="18"/>
    </row>
    <row r="90" spans="1:6" ht="45">
      <c r="A90" s="19"/>
      <c r="B90" s="23" t="s">
        <v>3829</v>
      </c>
      <c r="C90" s="21">
        <v>37</v>
      </c>
      <c r="D90" s="22">
        <v>513043.5</v>
      </c>
      <c r="E90" s="22">
        <v>945594.34</v>
      </c>
      <c r="F90" s="18"/>
    </row>
    <row r="91" spans="1:6" ht="60">
      <c r="A91" s="19"/>
      <c r="B91" s="24" t="s">
        <v>3830</v>
      </c>
      <c r="C91" s="21"/>
      <c r="D91" s="25">
        <v>0</v>
      </c>
      <c r="E91" s="25">
        <v>0</v>
      </c>
      <c r="F91" s="18"/>
    </row>
    <row r="92" spans="1:6" ht="45">
      <c r="A92" s="19"/>
      <c r="B92" s="20" t="s">
        <v>3831</v>
      </c>
      <c r="C92" s="21"/>
      <c r="D92" s="22">
        <v>0</v>
      </c>
      <c r="E92" s="22">
        <v>0</v>
      </c>
      <c r="F92" s="18"/>
    </row>
    <row r="93" spans="1:6">
      <c r="A93" s="19"/>
      <c r="B93" s="20" t="s">
        <v>3832</v>
      </c>
      <c r="C93" s="21"/>
      <c r="D93" s="22">
        <v>0</v>
      </c>
      <c r="E93" s="22">
        <v>0</v>
      </c>
      <c r="F93" s="18"/>
    </row>
    <row r="94" spans="1:6">
      <c r="A94" s="19"/>
      <c r="B94" s="28" t="s">
        <v>3833</v>
      </c>
      <c r="C94" s="21"/>
      <c r="D94" s="22">
        <v>133496008.77</v>
      </c>
      <c r="E94" s="22">
        <v>129409820.73999999</v>
      </c>
      <c r="F94" s="18"/>
    </row>
    <row r="95" spans="1:6">
      <c r="A95" s="14"/>
      <c r="B95" s="29"/>
      <c r="C95" s="29"/>
      <c r="D95" s="29"/>
      <c r="E95" s="29"/>
      <c r="F95" s="14"/>
    </row>
  </sheetData>
  <mergeCells count="1">
    <mergeCell ref="B2:D2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73"/>
  <sheetViews>
    <sheetView workbookViewId="0">
      <selection activeCell="D30" sqref="D30"/>
    </sheetView>
  </sheetViews>
  <sheetFormatPr defaultColWidth="8.85546875" defaultRowHeight="15"/>
  <cols>
    <col min="1" max="1" width="2.7109375" style="1" customWidth="1"/>
    <col min="2" max="2" width="105.85546875" style="1" bestFit="1" customWidth="1"/>
    <col min="3" max="3" width="10.7109375" style="1" hidden="1" customWidth="1"/>
    <col min="4" max="4" width="20.7109375" style="1" customWidth="1"/>
    <col min="5" max="5" width="13.42578125" style="1" hidden="1" customWidth="1"/>
    <col min="6" max="6" width="2.7109375" style="1" customWidth="1"/>
    <col min="7" max="7" width="11.42578125" style="1" bestFit="1" customWidth="1"/>
    <col min="8" max="8" width="12.42578125" style="1" bestFit="1" customWidth="1"/>
    <col min="9" max="9" width="11.42578125" style="1" bestFit="1" customWidth="1"/>
    <col min="10" max="16384" width="8.85546875" style="1"/>
  </cols>
  <sheetData>
    <row r="1" spans="1:6">
      <c r="A1" s="14"/>
      <c r="B1" s="14"/>
      <c r="C1" s="14"/>
      <c r="D1" s="14"/>
      <c r="E1" s="14"/>
      <c r="F1" s="14"/>
    </row>
    <row r="2" spans="1:6">
      <c r="A2" s="14"/>
      <c r="B2" s="595" t="s">
        <v>3762</v>
      </c>
      <c r="C2" s="596"/>
      <c r="D2" s="596"/>
      <c r="F2" s="14"/>
    </row>
    <row r="3" spans="1:6">
      <c r="A3" s="14"/>
      <c r="B3" s="15"/>
      <c r="C3" s="15"/>
      <c r="D3" s="15"/>
      <c r="E3" s="15"/>
      <c r="F3" s="14"/>
    </row>
    <row r="4" spans="1:6">
      <c r="A4" s="16"/>
      <c r="B4" s="17" t="s">
        <v>261</v>
      </c>
      <c r="C4" s="17" t="s">
        <v>3763</v>
      </c>
      <c r="D4" s="17" t="s">
        <v>3764</v>
      </c>
      <c r="E4" s="17" t="s">
        <v>3765</v>
      </c>
      <c r="F4" s="18"/>
    </row>
    <row r="5" spans="1:6">
      <c r="A5" s="19"/>
      <c r="B5" s="20" t="s">
        <v>3834</v>
      </c>
      <c r="C5" s="21"/>
      <c r="D5" s="22">
        <v>36292354.68</v>
      </c>
      <c r="E5" s="22">
        <v>35706006.539999999</v>
      </c>
      <c r="F5" s="18"/>
    </row>
    <row r="6" spans="1:6">
      <c r="A6" s="19"/>
      <c r="B6" s="23" t="s">
        <v>3835</v>
      </c>
      <c r="C6" s="17">
        <v>6</v>
      </c>
      <c r="D6" s="22">
        <v>8840000</v>
      </c>
      <c r="E6" s="22">
        <v>8840000</v>
      </c>
      <c r="F6" s="18"/>
    </row>
    <row r="7" spans="1:6">
      <c r="A7" s="19"/>
      <c r="B7" s="23" t="s">
        <v>3836</v>
      </c>
      <c r="C7" s="17">
        <v>7</v>
      </c>
      <c r="D7" s="22">
        <v>26866006.539999999</v>
      </c>
      <c r="E7" s="22">
        <v>26227515.149999999</v>
      </c>
      <c r="F7" s="18"/>
    </row>
    <row r="8" spans="1:6">
      <c r="A8" s="19"/>
      <c r="B8" s="24" t="s">
        <v>3837</v>
      </c>
      <c r="C8" s="21">
        <v>7</v>
      </c>
      <c r="D8" s="25">
        <v>0</v>
      </c>
      <c r="E8" s="25">
        <v>0</v>
      </c>
      <c r="F8" s="18"/>
    </row>
    <row r="9" spans="1:6">
      <c r="A9" s="19"/>
      <c r="B9" s="23" t="s">
        <v>3838</v>
      </c>
      <c r="C9" s="17"/>
      <c r="D9" s="22">
        <v>0</v>
      </c>
      <c r="E9" s="22">
        <v>0</v>
      </c>
      <c r="F9" s="18"/>
    </row>
    <row r="10" spans="1:6">
      <c r="A10" s="19"/>
      <c r="B10" s="24" t="s">
        <v>3839</v>
      </c>
      <c r="C10" s="21"/>
      <c r="D10" s="25">
        <v>0</v>
      </c>
      <c r="E10" s="25">
        <v>0</v>
      </c>
      <c r="F10" s="18"/>
    </row>
    <row r="11" spans="1:6">
      <c r="A11" s="19"/>
      <c r="B11" s="23" t="s">
        <v>3840</v>
      </c>
      <c r="C11" s="17">
        <v>8</v>
      </c>
      <c r="D11" s="22">
        <v>0</v>
      </c>
      <c r="E11" s="22">
        <v>0</v>
      </c>
      <c r="F11" s="18"/>
    </row>
    <row r="12" spans="1:6">
      <c r="A12" s="19"/>
      <c r="B12" s="24" t="s">
        <v>3841</v>
      </c>
      <c r="C12" s="21">
        <v>8</v>
      </c>
      <c r="D12" s="25">
        <v>0</v>
      </c>
      <c r="E12" s="25">
        <v>0</v>
      </c>
      <c r="F12" s="18"/>
    </row>
    <row r="13" spans="1:6">
      <c r="A13" s="19"/>
      <c r="B13" s="24" t="s">
        <v>3842</v>
      </c>
      <c r="C13" s="21">
        <v>8</v>
      </c>
      <c r="D13" s="25">
        <v>0</v>
      </c>
      <c r="E13" s="25">
        <v>0</v>
      </c>
      <c r="F13" s="18"/>
    </row>
    <row r="14" spans="1:6">
      <c r="A14" s="19"/>
      <c r="B14" s="23" t="s">
        <v>3843</v>
      </c>
      <c r="C14" s="17">
        <v>9</v>
      </c>
      <c r="D14" s="25">
        <v>0</v>
      </c>
      <c r="E14" s="25">
        <v>0</v>
      </c>
      <c r="F14" s="18"/>
    </row>
    <row r="15" spans="1:6">
      <c r="A15" s="19"/>
      <c r="B15" s="23" t="s">
        <v>3844</v>
      </c>
      <c r="C15" s="17">
        <v>10</v>
      </c>
      <c r="D15" s="25">
        <v>586348.14</v>
      </c>
      <c r="E15" s="25">
        <v>638491.39</v>
      </c>
      <c r="F15" s="18"/>
    </row>
    <row r="16" spans="1:6">
      <c r="A16" s="19"/>
      <c r="B16" s="23" t="s">
        <v>3845</v>
      </c>
      <c r="C16" s="17"/>
      <c r="D16" s="22">
        <v>0</v>
      </c>
      <c r="E16" s="22">
        <v>0</v>
      </c>
      <c r="F16" s="18"/>
    </row>
    <row r="17" spans="1:8">
      <c r="A17" s="19"/>
      <c r="B17" s="20" t="s">
        <v>3846</v>
      </c>
      <c r="C17" s="17"/>
      <c r="D17" s="22">
        <v>97203654.090000004</v>
      </c>
      <c r="E17" s="22">
        <v>93703814.200000003</v>
      </c>
      <c r="F17" s="18"/>
    </row>
    <row r="18" spans="1:8">
      <c r="A18" s="19"/>
      <c r="B18" s="23" t="s">
        <v>3847</v>
      </c>
      <c r="C18" s="17"/>
      <c r="D18" s="22">
        <v>12926891.859999999</v>
      </c>
      <c r="E18" s="22">
        <v>12522975.75</v>
      </c>
      <c r="F18" s="18"/>
    </row>
    <row r="19" spans="1:8">
      <c r="A19" s="19"/>
      <c r="B19" s="24" t="s">
        <v>3848</v>
      </c>
      <c r="C19" s="21">
        <v>36</v>
      </c>
      <c r="D19" s="25">
        <v>58649</v>
      </c>
      <c r="E19" s="25">
        <v>62455</v>
      </c>
      <c r="F19" s="18"/>
    </row>
    <row r="20" spans="1:8">
      <c r="A20" s="19"/>
      <c r="B20" s="24" t="s">
        <v>3849</v>
      </c>
      <c r="C20" s="21"/>
      <c r="D20" s="25">
        <v>567040.15</v>
      </c>
      <c r="E20" s="25">
        <v>431318.04</v>
      </c>
      <c r="F20" s="18"/>
    </row>
    <row r="21" spans="1:8">
      <c r="A21" s="19"/>
      <c r="B21" s="26" t="s">
        <v>3850</v>
      </c>
      <c r="C21" s="21">
        <v>36</v>
      </c>
      <c r="D21" s="25">
        <v>169158.41</v>
      </c>
      <c r="E21" s="25">
        <v>282874.40999999997</v>
      </c>
      <c r="F21" s="18"/>
    </row>
    <row r="22" spans="1:8">
      <c r="A22" s="19"/>
      <c r="B22" s="26" t="s">
        <v>3851</v>
      </c>
      <c r="C22" s="21">
        <v>36</v>
      </c>
      <c r="D22" s="25">
        <v>397881.74</v>
      </c>
      <c r="E22" s="25">
        <v>148443.63</v>
      </c>
      <c r="F22" s="18"/>
    </row>
    <row r="23" spans="1:8">
      <c r="A23" s="19"/>
      <c r="B23" s="24" t="s">
        <v>3852</v>
      </c>
      <c r="C23" s="21"/>
      <c r="D23" s="25">
        <v>12301202.710000001</v>
      </c>
      <c r="E23" s="25">
        <v>12029202.710000001</v>
      </c>
      <c r="F23" s="18"/>
    </row>
    <row r="24" spans="1:8">
      <c r="A24" s="19"/>
      <c r="B24" s="26" t="s">
        <v>3853</v>
      </c>
      <c r="C24" s="21">
        <v>36</v>
      </c>
      <c r="D24" s="25">
        <v>10961202.710000001</v>
      </c>
      <c r="E24" s="25">
        <v>10689202.710000001</v>
      </c>
      <c r="F24" s="18"/>
    </row>
    <row r="25" spans="1:8">
      <c r="A25" s="19"/>
      <c r="B25" s="26" t="s">
        <v>3854</v>
      </c>
      <c r="C25" s="21">
        <v>36</v>
      </c>
      <c r="D25" s="25">
        <v>1340000</v>
      </c>
      <c r="E25" s="25">
        <v>1340000</v>
      </c>
      <c r="F25" s="18"/>
    </row>
    <row r="26" spans="1:8">
      <c r="A26" s="19"/>
      <c r="B26" s="23" t="s">
        <v>3855</v>
      </c>
      <c r="C26" s="17"/>
      <c r="D26" s="22">
        <v>16836456.32</v>
      </c>
      <c r="E26" s="22">
        <v>16545255.189999999</v>
      </c>
      <c r="F26" s="18"/>
    </row>
    <row r="27" spans="1:8">
      <c r="A27" s="19"/>
      <c r="B27" s="24" t="s">
        <v>3856</v>
      </c>
      <c r="C27" s="21">
        <v>14</v>
      </c>
      <c r="D27" s="25">
        <v>0</v>
      </c>
      <c r="E27" s="25">
        <v>0</v>
      </c>
      <c r="F27" s="18"/>
    </row>
    <row r="28" spans="1:8">
      <c r="A28" s="19"/>
      <c r="B28" s="24" t="s">
        <v>3857</v>
      </c>
      <c r="C28" s="21">
        <v>14</v>
      </c>
      <c r="D28" s="25">
        <v>0</v>
      </c>
      <c r="E28" s="25">
        <v>0</v>
      </c>
      <c r="F28" s="18"/>
    </row>
    <row r="29" spans="1:8">
      <c r="A29" s="19"/>
      <c r="B29" s="24" t="s">
        <v>3858</v>
      </c>
      <c r="C29" s="21"/>
      <c r="D29" s="25">
        <v>16836456.32</v>
      </c>
      <c r="E29" s="25">
        <v>16545255.189999999</v>
      </c>
      <c r="F29" s="18"/>
    </row>
    <row r="30" spans="1:8">
      <c r="A30" s="19"/>
      <c r="B30" s="26" t="s">
        <v>3859</v>
      </c>
      <c r="C30" s="21">
        <v>14</v>
      </c>
      <c r="D30" s="25">
        <v>14521071.43</v>
      </c>
      <c r="E30" s="25">
        <v>14224300.65</v>
      </c>
      <c r="F30" s="18"/>
      <c r="H30" s="2"/>
    </row>
    <row r="31" spans="1:8">
      <c r="A31" s="19"/>
      <c r="B31" s="26" t="s">
        <v>3860</v>
      </c>
      <c r="C31" s="21">
        <v>14</v>
      </c>
      <c r="D31" s="25">
        <v>0</v>
      </c>
      <c r="E31" s="25">
        <v>0</v>
      </c>
      <c r="F31" s="18"/>
    </row>
    <row r="32" spans="1:8">
      <c r="A32" s="19"/>
      <c r="B32" s="26" t="s">
        <v>3861</v>
      </c>
      <c r="C32" s="21">
        <v>14</v>
      </c>
      <c r="D32" s="25">
        <v>2315384.89</v>
      </c>
      <c r="E32" s="25">
        <v>2320954.54</v>
      </c>
      <c r="F32" s="18"/>
      <c r="H32" s="2"/>
    </row>
    <row r="33" spans="1:8">
      <c r="A33" s="19"/>
      <c r="B33" s="26" t="s">
        <v>3862</v>
      </c>
      <c r="C33" s="21">
        <v>14</v>
      </c>
      <c r="D33" s="25">
        <v>0</v>
      </c>
      <c r="E33" s="25">
        <v>0</v>
      </c>
      <c r="F33" s="18"/>
    </row>
    <row r="34" spans="1:8">
      <c r="A34" s="19"/>
      <c r="B34" s="26" t="s">
        <v>3863</v>
      </c>
      <c r="C34" s="21">
        <v>14</v>
      </c>
      <c r="D34" s="25">
        <v>0</v>
      </c>
      <c r="E34" s="25">
        <v>0</v>
      </c>
      <c r="F34" s="18"/>
    </row>
    <row r="35" spans="1:8">
      <c r="A35" s="19"/>
      <c r="B35" s="23" t="s">
        <v>3864</v>
      </c>
      <c r="C35" s="17"/>
      <c r="D35" s="22">
        <v>19238141.75</v>
      </c>
      <c r="E35" s="22">
        <v>16236596.02</v>
      </c>
      <c r="F35" s="18"/>
    </row>
    <row r="36" spans="1:8">
      <c r="A36" s="19"/>
      <c r="B36" s="24" t="s">
        <v>3865</v>
      </c>
      <c r="C36" s="21"/>
      <c r="D36" s="25">
        <v>0</v>
      </c>
      <c r="E36" s="25">
        <v>0</v>
      </c>
      <c r="F36" s="18"/>
    </row>
    <row r="37" spans="1:8">
      <c r="A37" s="19"/>
      <c r="B37" s="26" t="s">
        <v>3866</v>
      </c>
      <c r="C37" s="21"/>
      <c r="D37" s="25">
        <v>0</v>
      </c>
      <c r="E37" s="25">
        <v>0</v>
      </c>
      <c r="F37" s="18"/>
    </row>
    <row r="38" spans="1:8">
      <c r="A38" s="19"/>
      <c r="B38" s="27" t="s">
        <v>3811</v>
      </c>
      <c r="C38" s="21">
        <v>14</v>
      </c>
      <c r="D38" s="25">
        <v>0</v>
      </c>
      <c r="E38" s="25">
        <v>0</v>
      </c>
      <c r="F38" s="18"/>
    </row>
    <row r="39" spans="1:8">
      <c r="A39" s="19"/>
      <c r="B39" s="27" t="s">
        <v>3812</v>
      </c>
      <c r="C39" s="21">
        <v>14</v>
      </c>
      <c r="D39" s="25">
        <v>0</v>
      </c>
      <c r="E39" s="25">
        <v>0</v>
      </c>
      <c r="F39" s="18"/>
    </row>
    <row r="40" spans="1:8">
      <c r="A40" s="19"/>
      <c r="B40" s="26" t="s">
        <v>3813</v>
      </c>
      <c r="C40" s="21">
        <v>14</v>
      </c>
      <c r="D40" s="25">
        <v>0</v>
      </c>
      <c r="E40" s="25">
        <v>0</v>
      </c>
      <c r="F40" s="18"/>
    </row>
    <row r="41" spans="1:8">
      <c r="A41" s="19"/>
      <c r="B41" s="24" t="s">
        <v>3867</v>
      </c>
      <c r="C41" s="21"/>
      <c r="D41" s="25">
        <v>0</v>
      </c>
      <c r="E41" s="25">
        <v>0</v>
      </c>
      <c r="F41" s="18"/>
    </row>
    <row r="42" spans="1:8">
      <c r="A42" s="19"/>
      <c r="B42" s="26" t="s">
        <v>3866</v>
      </c>
      <c r="C42" s="21"/>
      <c r="D42" s="25">
        <v>0</v>
      </c>
      <c r="E42" s="25">
        <v>0</v>
      </c>
      <c r="F42" s="18"/>
    </row>
    <row r="43" spans="1:8">
      <c r="A43" s="19"/>
      <c r="B43" s="27" t="s">
        <v>3811</v>
      </c>
      <c r="C43" s="21">
        <v>14</v>
      </c>
      <c r="D43" s="25">
        <v>0</v>
      </c>
      <c r="E43" s="25">
        <v>0</v>
      </c>
      <c r="F43" s="18"/>
    </row>
    <row r="44" spans="1:8">
      <c r="A44" s="19"/>
      <c r="B44" s="27" t="s">
        <v>3812</v>
      </c>
      <c r="C44" s="21">
        <v>14</v>
      </c>
      <c r="D44" s="25">
        <v>0</v>
      </c>
      <c r="E44" s="25">
        <v>0</v>
      </c>
      <c r="F44" s="18"/>
    </row>
    <row r="45" spans="1:8">
      <c r="A45" s="19"/>
      <c r="B45" s="26" t="s">
        <v>3813</v>
      </c>
      <c r="C45" s="21">
        <v>14</v>
      </c>
      <c r="D45" s="25">
        <v>0</v>
      </c>
      <c r="E45" s="25">
        <v>0</v>
      </c>
      <c r="F45" s="18"/>
    </row>
    <row r="46" spans="1:8">
      <c r="A46" s="19"/>
      <c r="B46" s="24" t="s">
        <v>3868</v>
      </c>
      <c r="C46" s="21"/>
      <c r="D46" s="25">
        <v>19216177.32</v>
      </c>
      <c r="E46" s="25">
        <v>16175762.140000001</v>
      </c>
      <c r="F46" s="18"/>
      <c r="H46" s="2"/>
    </row>
    <row r="47" spans="1:8">
      <c r="A47" s="19"/>
      <c r="B47" s="26" t="s">
        <v>3859</v>
      </c>
      <c r="C47" s="21">
        <v>14</v>
      </c>
      <c r="D47" s="25">
        <v>3213184.6</v>
      </c>
      <c r="E47" s="25">
        <v>2886790.18</v>
      </c>
      <c r="F47" s="18"/>
    </row>
    <row r="48" spans="1:8">
      <c r="A48" s="19"/>
      <c r="B48" s="26" t="s">
        <v>3860</v>
      </c>
      <c r="C48" s="21">
        <v>14</v>
      </c>
      <c r="D48" s="25">
        <v>0</v>
      </c>
      <c r="E48" s="25">
        <v>0</v>
      </c>
      <c r="F48" s="18"/>
    </row>
    <row r="49" spans="1:9">
      <c r="A49" s="19"/>
      <c r="B49" s="26" t="s">
        <v>3861</v>
      </c>
      <c r="C49" s="21">
        <v>14</v>
      </c>
      <c r="D49" s="25">
        <v>903991.16</v>
      </c>
      <c r="E49" s="25">
        <v>624815.31999999995</v>
      </c>
      <c r="F49" s="18"/>
      <c r="G49" s="2"/>
      <c r="H49" s="2"/>
      <c r="I49" s="13"/>
    </row>
    <row r="50" spans="1:9">
      <c r="A50" s="19"/>
      <c r="B50" s="26" t="s">
        <v>3869</v>
      </c>
      <c r="C50" s="21"/>
      <c r="D50" s="25">
        <v>4905760.51</v>
      </c>
      <c r="E50" s="25">
        <v>4323442.88</v>
      </c>
      <c r="F50" s="18"/>
      <c r="G50" s="2"/>
    </row>
    <row r="51" spans="1:9">
      <c r="A51" s="19"/>
      <c r="B51" s="27" t="s">
        <v>3811</v>
      </c>
      <c r="C51" s="21">
        <v>14</v>
      </c>
      <c r="D51" s="25">
        <v>4905760.51</v>
      </c>
      <c r="E51" s="25">
        <v>4323442.88</v>
      </c>
      <c r="F51" s="18"/>
    </row>
    <row r="52" spans="1:9">
      <c r="A52" s="19"/>
      <c r="B52" s="27" t="s">
        <v>3812</v>
      </c>
      <c r="C52" s="21">
        <v>14</v>
      </c>
      <c r="D52" s="25">
        <v>0</v>
      </c>
      <c r="E52" s="25">
        <v>0</v>
      </c>
      <c r="F52" s="18"/>
    </row>
    <row r="53" spans="1:9">
      <c r="A53" s="19"/>
      <c r="B53" s="26" t="s">
        <v>3870</v>
      </c>
      <c r="C53" s="21">
        <v>14</v>
      </c>
      <c r="D53" s="25">
        <v>0</v>
      </c>
      <c r="E53" s="25">
        <v>0</v>
      </c>
      <c r="F53" s="18"/>
    </row>
    <row r="54" spans="1:9">
      <c r="A54" s="19"/>
      <c r="B54" s="26" t="s">
        <v>3871</v>
      </c>
      <c r="C54" s="21">
        <v>14</v>
      </c>
      <c r="D54" s="25">
        <v>0</v>
      </c>
      <c r="E54" s="25">
        <v>0</v>
      </c>
      <c r="F54" s="18"/>
    </row>
    <row r="55" spans="1:9" ht="30">
      <c r="A55" s="19"/>
      <c r="B55" s="26" t="s">
        <v>3872</v>
      </c>
      <c r="C55" s="21">
        <v>14</v>
      </c>
      <c r="D55" s="25">
        <v>8801947.5299999993</v>
      </c>
      <c r="E55" s="25">
        <v>6549328.1299999999</v>
      </c>
      <c r="F55" s="18"/>
    </row>
    <row r="56" spans="1:9">
      <c r="A56" s="19"/>
      <c r="B56" s="26" t="s">
        <v>3873</v>
      </c>
      <c r="C56" s="21">
        <v>14</v>
      </c>
      <c r="D56" s="25">
        <v>1063510.05</v>
      </c>
      <c r="E56" s="25">
        <v>943026.35</v>
      </c>
      <c r="F56" s="18"/>
    </row>
    <row r="57" spans="1:9">
      <c r="A57" s="19"/>
      <c r="B57" s="26" t="s">
        <v>3874</v>
      </c>
      <c r="C57" s="21">
        <v>14</v>
      </c>
      <c r="D57" s="25">
        <v>327783.46999999997</v>
      </c>
      <c r="E57" s="25">
        <v>848359.28</v>
      </c>
      <c r="F57" s="18"/>
    </row>
    <row r="58" spans="1:9">
      <c r="A58" s="19"/>
      <c r="B58" s="24" t="s">
        <v>3875</v>
      </c>
      <c r="C58" s="21">
        <v>28</v>
      </c>
      <c r="D58" s="25">
        <v>21964.43</v>
      </c>
      <c r="E58" s="25">
        <v>60833.88</v>
      </c>
      <c r="F58" s="18"/>
    </row>
    <row r="59" spans="1:9">
      <c r="A59" s="19"/>
      <c r="B59" s="23" t="s">
        <v>3876</v>
      </c>
      <c r="C59" s="17"/>
      <c r="D59" s="22">
        <v>48202164.159999996</v>
      </c>
      <c r="E59" s="22">
        <v>48398987.240000002</v>
      </c>
      <c r="F59" s="18"/>
    </row>
    <row r="60" spans="1:9">
      <c r="A60" s="19"/>
      <c r="B60" s="24" t="s">
        <v>3877</v>
      </c>
      <c r="C60" s="21">
        <v>37</v>
      </c>
      <c r="D60" s="25">
        <v>0</v>
      </c>
      <c r="E60" s="25">
        <v>0</v>
      </c>
      <c r="F60" s="18"/>
    </row>
    <row r="61" spans="1:9">
      <c r="A61" s="19"/>
      <c r="B61" s="24" t="s">
        <v>3878</v>
      </c>
      <c r="C61" s="21">
        <v>37</v>
      </c>
      <c r="D61" s="25">
        <v>0</v>
      </c>
      <c r="E61" s="25">
        <v>0</v>
      </c>
      <c r="F61" s="18"/>
    </row>
    <row r="62" spans="1:9">
      <c r="A62" s="19"/>
      <c r="B62" s="24" t="s">
        <v>3879</v>
      </c>
      <c r="C62" s="21"/>
      <c r="D62" s="25">
        <v>48202164.159999996</v>
      </c>
      <c r="E62" s="25">
        <v>48398987.240000002</v>
      </c>
      <c r="F62" s="18"/>
    </row>
    <row r="63" spans="1:9">
      <c r="A63" s="19"/>
      <c r="B63" s="26" t="s">
        <v>3853</v>
      </c>
      <c r="C63" s="21">
        <v>37</v>
      </c>
      <c r="D63" s="25">
        <v>44590855.340000004</v>
      </c>
      <c r="E63" s="25">
        <v>45140791.840000004</v>
      </c>
      <c r="F63" s="18"/>
    </row>
    <row r="64" spans="1:9">
      <c r="A64" s="19"/>
      <c r="B64" s="26" t="s">
        <v>3854</v>
      </c>
      <c r="C64" s="21">
        <v>37</v>
      </c>
      <c r="D64" s="25">
        <v>3611308.82</v>
      </c>
      <c r="E64" s="25">
        <v>3258195.4</v>
      </c>
      <c r="F64" s="18"/>
    </row>
    <row r="65" spans="1:6">
      <c r="A65" s="19"/>
      <c r="B65" s="28" t="s">
        <v>3880</v>
      </c>
      <c r="C65" s="17"/>
      <c r="D65" s="22">
        <v>133496008.77</v>
      </c>
      <c r="E65" s="22">
        <v>129409820.73999999</v>
      </c>
      <c r="F65" s="18"/>
    </row>
    <row r="66" spans="1:6">
      <c r="A66" s="30"/>
      <c r="B66" s="14"/>
      <c r="C66" s="14"/>
      <c r="D66" s="14"/>
      <c r="E66" s="14"/>
      <c r="F66" s="14"/>
    </row>
    <row r="67" spans="1:6">
      <c r="A67" s="19"/>
      <c r="B67" s="31" t="s">
        <v>3881</v>
      </c>
      <c r="C67" s="31"/>
      <c r="D67" s="25">
        <v>36292354.68</v>
      </c>
      <c r="E67" s="25">
        <v>35706006.539999999</v>
      </c>
      <c r="F67" s="18"/>
    </row>
    <row r="68" spans="1:6">
      <c r="A68" s="19"/>
      <c r="B68" s="31" t="s">
        <v>3882</v>
      </c>
      <c r="C68" s="31"/>
      <c r="D68" s="25">
        <v>0</v>
      </c>
      <c r="E68" s="25">
        <v>0</v>
      </c>
      <c r="F68" s="18"/>
    </row>
    <row r="69" spans="1:6">
      <c r="A69" s="19"/>
      <c r="B69" s="31" t="s">
        <v>3883</v>
      </c>
      <c r="C69" s="31"/>
      <c r="D69" s="25">
        <v>0</v>
      </c>
      <c r="E69" s="25">
        <v>0</v>
      </c>
      <c r="F69" s="18"/>
    </row>
    <row r="70" spans="1:6">
      <c r="A70" s="19"/>
      <c r="B70" s="31" t="s">
        <v>3884</v>
      </c>
      <c r="C70" s="31"/>
      <c r="D70" s="25">
        <v>0</v>
      </c>
      <c r="E70" s="25">
        <v>0</v>
      </c>
      <c r="F70" s="18"/>
    </row>
    <row r="71" spans="1:6">
      <c r="A71" s="19"/>
      <c r="B71" s="31" t="s">
        <v>3885</v>
      </c>
      <c r="C71" s="31"/>
      <c r="D71" s="25">
        <v>0</v>
      </c>
      <c r="E71" s="25">
        <v>0</v>
      </c>
      <c r="F71" s="18"/>
    </row>
    <row r="72" spans="1:6">
      <c r="A72" s="30"/>
      <c r="B72" s="596"/>
      <c r="C72" s="596"/>
      <c r="D72" s="596"/>
      <c r="F72" s="14"/>
    </row>
    <row r="73" spans="1:6">
      <c r="A73" s="14"/>
      <c r="B73" s="14"/>
      <c r="C73" s="14"/>
      <c r="D73" s="14"/>
      <c r="E73" s="14"/>
      <c r="F73" s="14"/>
    </row>
  </sheetData>
  <mergeCells count="2">
    <mergeCell ref="B2:D2"/>
    <mergeCell ref="B72:D7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7"/>
  <sheetViews>
    <sheetView topLeftCell="A13" workbookViewId="0">
      <selection activeCell="O49" sqref="O49"/>
    </sheetView>
  </sheetViews>
  <sheetFormatPr defaultColWidth="8.85546875" defaultRowHeight="15"/>
  <cols>
    <col min="1" max="1" width="2.7109375" style="1" customWidth="1"/>
    <col min="2" max="2" width="89.28515625" style="1" bestFit="1" customWidth="1"/>
    <col min="3" max="3" width="10.7109375" style="1" hidden="1" customWidth="1"/>
    <col min="4" max="4" width="20.7109375" style="1" customWidth="1"/>
    <col min="5" max="5" width="20.7109375" style="1" hidden="1" customWidth="1"/>
    <col min="6" max="6" width="2.7109375" style="1" customWidth="1"/>
    <col min="7" max="16384" width="8.85546875" style="1"/>
  </cols>
  <sheetData>
    <row r="1" spans="1:6">
      <c r="A1" s="14"/>
      <c r="B1" s="14"/>
      <c r="C1" s="14"/>
      <c r="D1" s="14"/>
      <c r="E1" s="14"/>
      <c r="F1" s="14"/>
    </row>
    <row r="2" spans="1:6">
      <c r="A2" s="14"/>
      <c r="B2" s="595" t="s">
        <v>3886</v>
      </c>
      <c r="C2" s="596"/>
      <c r="D2" s="596"/>
      <c r="F2" s="14"/>
    </row>
    <row r="3" spans="1:6">
      <c r="A3" s="14"/>
      <c r="B3" s="32"/>
      <c r="C3" s="32"/>
      <c r="D3" s="32"/>
      <c r="E3" s="32"/>
      <c r="F3" s="14"/>
    </row>
    <row r="4" spans="1:6">
      <c r="A4" s="16"/>
      <c r="B4" s="17"/>
      <c r="C4" s="17" t="s">
        <v>3763</v>
      </c>
      <c r="D4" s="17">
        <v>2020</v>
      </c>
      <c r="E4" s="17">
        <v>2019</v>
      </c>
      <c r="F4" s="18"/>
    </row>
    <row r="5" spans="1:6">
      <c r="A5" s="19"/>
      <c r="B5" s="28" t="s">
        <v>3887</v>
      </c>
      <c r="C5" s="17"/>
      <c r="D5" s="22">
        <v>78924217.25</v>
      </c>
      <c r="E5" s="22">
        <v>65383699.93</v>
      </c>
      <c r="F5" s="18"/>
    </row>
    <row r="6" spans="1:6">
      <c r="A6" s="19"/>
      <c r="B6" s="33" t="s">
        <v>3888</v>
      </c>
      <c r="C6" s="21"/>
      <c r="D6" s="25">
        <v>0</v>
      </c>
      <c r="E6" s="25">
        <v>0</v>
      </c>
      <c r="F6" s="18"/>
    </row>
    <row r="7" spans="1:6">
      <c r="A7" s="19"/>
      <c r="B7" s="33" t="s">
        <v>3889</v>
      </c>
      <c r="C7" s="21">
        <v>29</v>
      </c>
      <c r="D7" s="25">
        <v>73644291.459999993</v>
      </c>
      <c r="E7" s="25">
        <v>59589070.299999997</v>
      </c>
      <c r="F7" s="18"/>
    </row>
    <row r="8" spans="1:6">
      <c r="A8" s="19"/>
      <c r="B8" s="33" t="s">
        <v>3890</v>
      </c>
      <c r="C8" s="21"/>
      <c r="D8" s="25">
        <v>0</v>
      </c>
      <c r="E8" s="25">
        <v>0</v>
      </c>
      <c r="F8" s="18"/>
    </row>
    <row r="9" spans="1:6">
      <c r="A9" s="19"/>
      <c r="B9" s="34" t="s">
        <v>3804</v>
      </c>
      <c r="C9" s="21"/>
      <c r="D9" s="25">
        <v>0</v>
      </c>
      <c r="E9" s="25">
        <v>0</v>
      </c>
      <c r="F9" s="18"/>
    </row>
    <row r="10" spans="1:6">
      <c r="A10" s="19"/>
      <c r="B10" s="33" t="s">
        <v>3891</v>
      </c>
      <c r="C10" s="21">
        <v>30</v>
      </c>
      <c r="D10" s="25">
        <v>0</v>
      </c>
      <c r="E10" s="25">
        <v>0</v>
      </c>
      <c r="F10" s="18"/>
    </row>
    <row r="11" spans="1:6">
      <c r="A11" s="19"/>
      <c r="B11" s="33" t="s">
        <v>3892</v>
      </c>
      <c r="C11" s="21">
        <v>29</v>
      </c>
      <c r="D11" s="25">
        <v>5279925.79</v>
      </c>
      <c r="E11" s="25">
        <v>5794629.6299999999</v>
      </c>
      <c r="F11" s="18"/>
    </row>
    <row r="12" spans="1:6">
      <c r="A12" s="19"/>
      <c r="B12" s="28" t="s">
        <v>3893</v>
      </c>
      <c r="C12" s="17"/>
      <c r="D12" s="22">
        <v>82575146.680000007</v>
      </c>
      <c r="E12" s="22">
        <v>70428469.629999995</v>
      </c>
      <c r="F12" s="18"/>
    </row>
    <row r="13" spans="1:6">
      <c r="A13" s="19"/>
      <c r="B13" s="33" t="s">
        <v>3894</v>
      </c>
      <c r="C13" s="21">
        <v>30</v>
      </c>
      <c r="D13" s="25">
        <v>8582855.7899999991</v>
      </c>
      <c r="E13" s="25">
        <v>8807826.9800000004</v>
      </c>
      <c r="F13" s="18"/>
    </row>
    <row r="14" spans="1:6">
      <c r="A14" s="19"/>
      <c r="B14" s="33" t="s">
        <v>3895</v>
      </c>
      <c r="C14" s="21">
        <v>30</v>
      </c>
      <c r="D14" s="25">
        <v>9002359.8699999992</v>
      </c>
      <c r="E14" s="25">
        <v>8738723.8599999994</v>
      </c>
      <c r="F14" s="18"/>
    </row>
    <row r="15" spans="1:6">
      <c r="A15" s="19"/>
      <c r="B15" s="33" t="s">
        <v>3896</v>
      </c>
      <c r="C15" s="21">
        <v>30</v>
      </c>
      <c r="D15" s="25">
        <v>32150711.300000001</v>
      </c>
      <c r="E15" s="25">
        <v>24209260.210000001</v>
      </c>
      <c r="F15" s="18"/>
    </row>
    <row r="16" spans="1:6">
      <c r="A16" s="19"/>
      <c r="B16" s="33" t="s">
        <v>3897</v>
      </c>
      <c r="C16" s="21">
        <v>30</v>
      </c>
      <c r="D16" s="25">
        <v>9745730.6099999994</v>
      </c>
      <c r="E16" s="25">
        <v>7524863.4800000004</v>
      </c>
      <c r="F16" s="18"/>
    </row>
    <row r="17" spans="1:6">
      <c r="A17" s="19"/>
      <c r="B17" s="34" t="s">
        <v>3898</v>
      </c>
      <c r="C17" s="21">
        <v>30</v>
      </c>
      <c r="D17" s="25">
        <v>27449</v>
      </c>
      <c r="E17" s="25">
        <v>27931</v>
      </c>
      <c r="F17" s="18"/>
    </row>
    <row r="18" spans="1:6">
      <c r="A18" s="19"/>
      <c r="B18" s="33" t="s">
        <v>3899</v>
      </c>
      <c r="C18" s="21">
        <v>30</v>
      </c>
      <c r="D18" s="25">
        <v>16788416.510000002</v>
      </c>
      <c r="E18" s="25">
        <v>15318201.99</v>
      </c>
      <c r="F18" s="18"/>
    </row>
    <row r="19" spans="1:6">
      <c r="A19" s="19"/>
      <c r="B19" s="33" t="s">
        <v>3900</v>
      </c>
      <c r="C19" s="21">
        <v>30</v>
      </c>
      <c r="D19" s="25">
        <v>4216656.2699999996</v>
      </c>
      <c r="E19" s="25">
        <v>3870863.19</v>
      </c>
      <c r="F19" s="18"/>
    </row>
    <row r="20" spans="1:6">
      <c r="A20" s="19"/>
      <c r="B20" s="34" t="s">
        <v>3901</v>
      </c>
      <c r="C20" s="21">
        <v>30</v>
      </c>
      <c r="D20" s="25">
        <v>0</v>
      </c>
      <c r="E20" s="25">
        <v>2751097.43</v>
      </c>
      <c r="F20" s="18"/>
    </row>
    <row r="21" spans="1:6">
      <c r="A21" s="19"/>
      <c r="B21" s="33" t="s">
        <v>3902</v>
      </c>
      <c r="C21" s="21">
        <v>30</v>
      </c>
      <c r="D21" s="25">
        <v>1601317</v>
      </c>
      <c r="E21" s="25">
        <v>1573906.31</v>
      </c>
      <c r="F21" s="18"/>
    </row>
    <row r="22" spans="1:6">
      <c r="A22" s="19"/>
      <c r="B22" s="33" t="s">
        <v>3903</v>
      </c>
      <c r="C22" s="21">
        <v>31</v>
      </c>
      <c r="D22" s="25">
        <v>487099.33</v>
      </c>
      <c r="E22" s="25">
        <v>384823.61</v>
      </c>
      <c r="F22" s="18"/>
    </row>
    <row r="23" spans="1:6">
      <c r="A23" s="19"/>
      <c r="B23" s="28" t="s">
        <v>3904</v>
      </c>
      <c r="C23" s="17"/>
      <c r="D23" s="22">
        <v>-3650929.43</v>
      </c>
      <c r="E23" s="22">
        <v>-5044769.7</v>
      </c>
      <c r="F23" s="18"/>
    </row>
    <row r="24" spans="1:6">
      <c r="A24" s="19"/>
      <c r="B24" s="28" t="s">
        <v>3905</v>
      </c>
      <c r="C24" s="17"/>
      <c r="D24" s="22">
        <v>5492804.29</v>
      </c>
      <c r="E24" s="22">
        <v>8128367.4900000002</v>
      </c>
      <c r="F24" s="18"/>
    </row>
    <row r="25" spans="1:6">
      <c r="A25" s="19"/>
      <c r="B25" s="33" t="s">
        <v>3906</v>
      </c>
      <c r="C25" s="21" t="s">
        <v>3907</v>
      </c>
      <c r="D25" s="25">
        <v>3577.24</v>
      </c>
      <c r="E25" s="25">
        <v>104587.49</v>
      </c>
      <c r="F25" s="18"/>
    </row>
    <row r="26" spans="1:6">
      <c r="A26" s="19"/>
      <c r="B26" s="33" t="s">
        <v>3908</v>
      </c>
      <c r="C26" s="21"/>
      <c r="D26" s="25">
        <v>3229635.25</v>
      </c>
      <c r="E26" s="25">
        <v>3244400.75</v>
      </c>
      <c r="F26" s="18"/>
    </row>
    <row r="27" spans="1:6">
      <c r="A27" s="19"/>
      <c r="B27" s="33" t="s">
        <v>3909</v>
      </c>
      <c r="C27" s="21">
        <v>32</v>
      </c>
      <c r="D27" s="25">
        <v>0</v>
      </c>
      <c r="E27" s="25">
        <v>0</v>
      </c>
      <c r="F27" s="18"/>
    </row>
    <row r="28" spans="1:6">
      <c r="A28" s="19"/>
      <c r="B28" s="33" t="s">
        <v>3910</v>
      </c>
      <c r="C28" s="21">
        <v>32</v>
      </c>
      <c r="D28" s="25">
        <v>2259591.7999999998</v>
      </c>
      <c r="E28" s="25">
        <v>4779379.25</v>
      </c>
      <c r="F28" s="18"/>
    </row>
    <row r="29" spans="1:6">
      <c r="A29" s="19"/>
      <c r="B29" s="28" t="s">
        <v>3911</v>
      </c>
      <c r="C29" s="17"/>
      <c r="D29" s="22">
        <v>824523.82</v>
      </c>
      <c r="E29" s="22">
        <v>2124802.64</v>
      </c>
      <c r="F29" s="18"/>
    </row>
    <row r="30" spans="1:6">
      <c r="A30" s="19"/>
      <c r="B30" s="33" t="s">
        <v>3912</v>
      </c>
      <c r="C30" s="21" t="s">
        <v>3913</v>
      </c>
      <c r="D30" s="25">
        <v>0</v>
      </c>
      <c r="E30" s="25">
        <v>0</v>
      </c>
      <c r="F30" s="18"/>
    </row>
    <row r="31" spans="1:6">
      <c r="A31" s="19"/>
      <c r="B31" s="33" t="s">
        <v>3914</v>
      </c>
      <c r="C31" s="21">
        <v>33</v>
      </c>
      <c r="D31" s="25">
        <v>20388.21</v>
      </c>
      <c r="E31" s="25">
        <v>21709.68</v>
      </c>
      <c r="F31" s="18"/>
    </row>
    <row r="32" spans="1:6">
      <c r="A32" s="19"/>
      <c r="B32" s="33" t="s">
        <v>3915</v>
      </c>
      <c r="C32" s="21">
        <v>33</v>
      </c>
      <c r="D32" s="25">
        <v>804135.61</v>
      </c>
      <c r="E32" s="25">
        <v>2103092.96</v>
      </c>
      <c r="F32" s="18"/>
    </row>
    <row r="33" spans="1:6">
      <c r="A33" s="19"/>
      <c r="B33" s="28" t="s">
        <v>3916</v>
      </c>
      <c r="C33" s="17"/>
      <c r="D33" s="22">
        <v>1017351.04</v>
      </c>
      <c r="E33" s="22">
        <v>958795.15</v>
      </c>
      <c r="F33" s="18"/>
    </row>
    <row r="34" spans="1:6">
      <c r="A34" s="19"/>
      <c r="B34" s="28" t="s">
        <v>3917</v>
      </c>
      <c r="C34" s="17"/>
      <c r="D34" s="22">
        <v>51056.09</v>
      </c>
      <c r="E34" s="22">
        <v>147213.65</v>
      </c>
      <c r="F34" s="18"/>
    </row>
    <row r="35" spans="1:6">
      <c r="A35" s="19"/>
      <c r="B35" s="33" t="s">
        <v>3918</v>
      </c>
      <c r="C35" s="21"/>
      <c r="D35" s="25">
        <v>0</v>
      </c>
      <c r="E35" s="25">
        <v>0</v>
      </c>
      <c r="F35" s="18"/>
    </row>
    <row r="36" spans="1:6">
      <c r="A36" s="19"/>
      <c r="B36" s="34" t="s">
        <v>3919</v>
      </c>
      <c r="C36" s="21">
        <v>34</v>
      </c>
      <c r="D36" s="25">
        <v>0</v>
      </c>
      <c r="E36" s="25">
        <v>0</v>
      </c>
      <c r="F36" s="18"/>
    </row>
    <row r="37" spans="1:6">
      <c r="A37" s="19"/>
      <c r="B37" s="24" t="s">
        <v>3920</v>
      </c>
      <c r="C37" s="21">
        <v>34</v>
      </c>
      <c r="D37" s="25">
        <v>0</v>
      </c>
      <c r="E37" s="25">
        <v>0</v>
      </c>
      <c r="F37" s="18"/>
    </row>
    <row r="38" spans="1:6">
      <c r="A38" s="19"/>
      <c r="B38" s="34" t="s">
        <v>3921</v>
      </c>
      <c r="C38" s="21">
        <v>34</v>
      </c>
      <c r="D38" s="25">
        <v>0</v>
      </c>
      <c r="E38" s="25">
        <v>0</v>
      </c>
      <c r="F38" s="18"/>
    </row>
    <row r="39" spans="1:6">
      <c r="A39" s="19"/>
      <c r="B39" s="24" t="s">
        <v>3920</v>
      </c>
      <c r="C39" s="21">
        <v>34</v>
      </c>
      <c r="D39" s="25">
        <v>0</v>
      </c>
      <c r="E39" s="25">
        <v>0</v>
      </c>
      <c r="F39" s="18"/>
    </row>
    <row r="40" spans="1:6">
      <c r="A40" s="19"/>
      <c r="B40" s="33" t="s">
        <v>3922</v>
      </c>
      <c r="C40" s="21">
        <v>34</v>
      </c>
      <c r="D40" s="25">
        <v>51056.09</v>
      </c>
      <c r="E40" s="25">
        <v>147213.65</v>
      </c>
      <c r="F40" s="18"/>
    </row>
    <row r="41" spans="1:6">
      <c r="A41" s="19"/>
      <c r="B41" s="34" t="s">
        <v>3888</v>
      </c>
      <c r="C41" s="21">
        <v>34</v>
      </c>
      <c r="D41" s="25">
        <v>0</v>
      </c>
      <c r="E41" s="25">
        <v>0</v>
      </c>
      <c r="F41" s="18"/>
    </row>
    <row r="42" spans="1:6">
      <c r="A42" s="19"/>
      <c r="B42" s="33" t="s">
        <v>3923</v>
      </c>
      <c r="C42" s="21"/>
      <c r="D42" s="25">
        <v>0</v>
      </c>
      <c r="E42" s="25">
        <v>0</v>
      </c>
      <c r="F42" s="18"/>
    </row>
    <row r="43" spans="1:6">
      <c r="A43" s="19"/>
      <c r="B43" s="34" t="s">
        <v>3924</v>
      </c>
      <c r="C43" s="21"/>
      <c r="D43" s="25">
        <v>0</v>
      </c>
      <c r="E43" s="25">
        <v>0</v>
      </c>
      <c r="F43" s="18"/>
    </row>
    <row r="44" spans="1:6">
      <c r="A44" s="19"/>
      <c r="B44" s="33" t="s">
        <v>3925</v>
      </c>
      <c r="C44" s="21"/>
      <c r="D44" s="25">
        <v>0</v>
      </c>
      <c r="E44" s="25">
        <v>0</v>
      </c>
      <c r="F44" s="18"/>
    </row>
    <row r="45" spans="1:6">
      <c r="A45" s="19"/>
      <c r="B45" s="33" t="s">
        <v>3926</v>
      </c>
      <c r="C45" s="21" t="s">
        <v>3927</v>
      </c>
      <c r="D45" s="25">
        <v>0</v>
      </c>
      <c r="E45" s="25">
        <v>0</v>
      </c>
      <c r="F45" s="18"/>
    </row>
    <row r="46" spans="1:6">
      <c r="A46" s="19"/>
      <c r="B46" s="28" t="s">
        <v>3928</v>
      </c>
      <c r="C46" s="17"/>
      <c r="D46" s="22">
        <v>847863.99</v>
      </c>
      <c r="E46" s="22">
        <v>735775.41</v>
      </c>
      <c r="F46" s="18"/>
    </row>
    <row r="47" spans="1:6">
      <c r="A47" s="19"/>
      <c r="B47" s="33" t="s">
        <v>3929</v>
      </c>
      <c r="C47" s="21">
        <v>35</v>
      </c>
      <c r="D47" s="25">
        <v>604913</v>
      </c>
      <c r="E47" s="25">
        <v>640822.02</v>
      </c>
      <c r="F47" s="18"/>
    </row>
    <row r="48" spans="1:6">
      <c r="A48" s="19"/>
      <c r="B48" s="34" t="s">
        <v>3930</v>
      </c>
      <c r="C48" s="21">
        <v>35</v>
      </c>
      <c r="D48" s="25">
        <v>0</v>
      </c>
      <c r="E48" s="25">
        <v>0</v>
      </c>
      <c r="F48" s="18"/>
    </row>
    <row r="49" spans="1:6">
      <c r="A49" s="19"/>
      <c r="B49" s="33" t="s">
        <v>3931</v>
      </c>
      <c r="C49" s="21"/>
      <c r="D49" s="25">
        <v>0</v>
      </c>
      <c r="E49" s="25">
        <v>0</v>
      </c>
      <c r="F49" s="18"/>
    </row>
    <row r="50" spans="1:6">
      <c r="A50" s="19"/>
      <c r="B50" s="34" t="s">
        <v>3924</v>
      </c>
      <c r="C50" s="21"/>
      <c r="D50" s="25">
        <v>0</v>
      </c>
      <c r="E50" s="25">
        <v>0</v>
      </c>
      <c r="F50" s="18"/>
    </row>
    <row r="51" spans="1:6">
      <c r="A51" s="19"/>
      <c r="B51" s="33" t="s">
        <v>3932</v>
      </c>
      <c r="C51" s="21"/>
      <c r="D51" s="25">
        <v>0</v>
      </c>
      <c r="E51" s="25">
        <v>0</v>
      </c>
      <c r="F51" s="18"/>
    </row>
    <row r="52" spans="1:6">
      <c r="A52" s="19"/>
      <c r="B52" s="33" t="s">
        <v>3933</v>
      </c>
      <c r="C52" s="21" t="s">
        <v>3934</v>
      </c>
      <c r="D52" s="25">
        <v>242950.99</v>
      </c>
      <c r="E52" s="25">
        <v>94953.39</v>
      </c>
      <c r="F52" s="18"/>
    </row>
    <row r="53" spans="1:6">
      <c r="A53" s="19"/>
      <c r="B53" s="28" t="s">
        <v>3935</v>
      </c>
      <c r="C53" s="17"/>
      <c r="D53" s="22">
        <v>220543.14</v>
      </c>
      <c r="E53" s="22">
        <v>370233.39</v>
      </c>
      <c r="F53" s="18"/>
    </row>
    <row r="54" spans="1:6">
      <c r="A54" s="19"/>
      <c r="B54" s="28" t="s">
        <v>3936</v>
      </c>
      <c r="C54" s="17"/>
      <c r="D54" s="22">
        <v>-365805</v>
      </c>
      <c r="E54" s="22">
        <v>-268258</v>
      </c>
      <c r="F54" s="18"/>
    </row>
    <row r="55" spans="1:6">
      <c r="A55" s="19"/>
      <c r="B55" s="28" t="s">
        <v>3937</v>
      </c>
      <c r="C55" s="17"/>
      <c r="D55" s="22">
        <v>0</v>
      </c>
      <c r="E55" s="22">
        <v>0</v>
      </c>
      <c r="F55" s="18"/>
    </row>
    <row r="56" spans="1:6">
      <c r="A56" s="19"/>
      <c r="B56" s="28" t="s">
        <v>3938</v>
      </c>
      <c r="C56" s="17"/>
      <c r="D56" s="22">
        <v>586348.14</v>
      </c>
      <c r="E56" s="22">
        <v>638491.39</v>
      </c>
      <c r="F56" s="18"/>
    </row>
    <row r="57" spans="1:6">
      <c r="A57" s="14"/>
      <c r="B57" s="29"/>
      <c r="C57" s="29"/>
      <c r="D57" s="29"/>
      <c r="E57" s="29"/>
      <c r="F57" s="14"/>
    </row>
  </sheetData>
  <mergeCells count="1">
    <mergeCell ref="B2:D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F98"/>
  <sheetViews>
    <sheetView topLeftCell="A32" zoomScale="90" zoomScaleNormal="90" workbookViewId="0">
      <selection activeCell="AC64" sqref="AC64"/>
    </sheetView>
  </sheetViews>
  <sheetFormatPr defaultColWidth="10.28515625" defaultRowHeight="12.75"/>
  <cols>
    <col min="1" max="1" width="27.28515625" style="43" customWidth="1"/>
    <col min="2" max="2" width="13.28515625" style="43" customWidth="1"/>
    <col min="3" max="3" width="22.42578125" style="43" customWidth="1"/>
    <col min="4" max="5" width="12.7109375" style="43" customWidth="1"/>
    <col min="6" max="6" width="13.42578125" style="43" bestFit="1" customWidth="1"/>
    <col min="7" max="7" width="14.42578125" style="43" customWidth="1"/>
    <col min="8" max="8" width="15.42578125" style="43" customWidth="1"/>
    <col min="9" max="9" width="11.28515625" style="43" customWidth="1"/>
    <col min="10" max="10" width="18.28515625" style="43" customWidth="1"/>
    <col min="11" max="14" width="10.28515625" style="43" customWidth="1"/>
    <col min="15" max="18" width="11.28515625" style="43" customWidth="1"/>
    <col min="19" max="19" width="13.42578125" style="43" customWidth="1"/>
    <col min="20" max="21" width="12.28515625" style="43" customWidth="1"/>
    <col min="22" max="23" width="10.28515625" style="43" customWidth="1"/>
    <col min="24" max="24" width="12.42578125" style="43" customWidth="1"/>
    <col min="25" max="25" width="0.140625" style="43" customWidth="1"/>
    <col min="26" max="26" width="12.42578125" style="43" customWidth="1"/>
    <col min="27" max="27" width="14.7109375" style="43" customWidth="1"/>
    <col min="28" max="28" width="14.42578125" style="43" customWidth="1"/>
    <col min="29" max="32" width="16.42578125" style="43" customWidth="1"/>
    <col min="33" max="16384" width="10.28515625" style="43"/>
  </cols>
  <sheetData>
    <row r="1" spans="1:32" s="35" customFormat="1" ht="54" customHeight="1">
      <c r="C1" s="35" t="s">
        <v>3940</v>
      </c>
      <c r="D1" s="35" t="s">
        <v>3941</v>
      </c>
      <c r="E1" s="35" t="s">
        <v>3942</v>
      </c>
      <c r="F1" s="35" t="s">
        <v>3943</v>
      </c>
      <c r="G1" s="35" t="s">
        <v>3944</v>
      </c>
      <c r="H1" s="35" t="s">
        <v>3945</v>
      </c>
      <c r="J1" s="35" t="s">
        <v>3946</v>
      </c>
      <c r="K1" s="35" t="s">
        <v>3947</v>
      </c>
      <c r="L1" s="35" t="s">
        <v>3948</v>
      </c>
      <c r="M1" s="35" t="s">
        <v>3949</v>
      </c>
      <c r="P1" s="35" t="s">
        <v>3950</v>
      </c>
      <c r="Q1" s="35" t="s">
        <v>3951</v>
      </c>
      <c r="R1" s="35" t="s">
        <v>3952</v>
      </c>
      <c r="S1" s="35" t="s">
        <v>3953</v>
      </c>
      <c r="T1" s="35" t="s">
        <v>3954</v>
      </c>
      <c r="U1" s="35" t="s">
        <v>3955</v>
      </c>
      <c r="V1" s="35" t="s">
        <v>3956</v>
      </c>
      <c r="W1" s="35" t="s">
        <v>3957</v>
      </c>
      <c r="Z1" s="36" t="s">
        <v>3958</v>
      </c>
      <c r="AA1" s="35" t="s">
        <v>3959</v>
      </c>
      <c r="AB1" s="35" t="s">
        <v>3960</v>
      </c>
      <c r="AC1" s="35" t="s">
        <v>3961</v>
      </c>
      <c r="AD1" s="35" t="s">
        <v>3962</v>
      </c>
      <c r="AE1" s="35" t="s">
        <v>3963</v>
      </c>
      <c r="AF1" s="35" t="s">
        <v>3962</v>
      </c>
    </row>
    <row r="2" spans="1:32">
      <c r="A2" s="37" t="s">
        <v>3964</v>
      </c>
      <c r="B2" s="38" t="s">
        <v>3965</v>
      </c>
      <c r="C2" s="39">
        <v>790892.66</v>
      </c>
      <c r="D2" s="39">
        <v>630990.23</v>
      </c>
      <c r="E2" s="39">
        <f>D2*87.728%+0.4</f>
        <v>553555.5089744</v>
      </c>
      <c r="F2" s="39">
        <f>D2-E2</f>
        <v>77434.721025599982</v>
      </c>
      <c r="G2" s="39">
        <f>E2*0.85</f>
        <v>470522.18262823997</v>
      </c>
      <c r="H2" s="40">
        <v>7.6E-3</v>
      </c>
      <c r="I2" s="39">
        <f>$G$58*H2</f>
        <v>57833.220224277335</v>
      </c>
      <c r="J2" s="39">
        <f>G2+I2</f>
        <v>528355.40285251732</v>
      </c>
      <c r="K2" s="41">
        <v>0.1</v>
      </c>
      <c r="L2" s="42">
        <v>42004</v>
      </c>
      <c r="M2" s="43">
        <v>121</v>
      </c>
      <c r="N2" s="39">
        <f>J2/M2</f>
        <v>4366.5735772935313</v>
      </c>
      <c r="P2" s="39">
        <f>N2*12</f>
        <v>52398.882927522376</v>
      </c>
      <c r="Q2" s="39">
        <f>N2*12</f>
        <v>52398.882927522376</v>
      </c>
      <c r="R2" s="39">
        <f>N2*12</f>
        <v>52398.882927522376</v>
      </c>
      <c r="S2" s="39">
        <f>N2*12</f>
        <v>52398.882927522376</v>
      </c>
      <c r="T2" s="39">
        <f>SUM(P2:S2)</f>
        <v>209595.5317100895</v>
      </c>
      <c r="U2" s="39">
        <f>J2-T2</f>
        <v>318759.87114242779</v>
      </c>
      <c r="V2" s="43">
        <f>12*4</f>
        <v>48</v>
      </c>
      <c r="W2" s="43">
        <f>M2-V2</f>
        <v>73</v>
      </c>
      <c r="X2" s="39" t="b">
        <f>(N2*W2)=U2</f>
        <v>1</v>
      </c>
      <c r="Y2" s="39"/>
      <c r="Z2" s="39"/>
      <c r="AA2" s="39">
        <f>N2*12</f>
        <v>52398.882927522376</v>
      </c>
      <c r="AB2" s="39">
        <f>U2-AA2</f>
        <v>266360.98821490543</v>
      </c>
      <c r="AC2" s="39">
        <f>N2*12</f>
        <v>52398.882927522376</v>
      </c>
      <c r="AD2" s="39">
        <f>AB2-AC2</f>
        <v>213962.10528738305</v>
      </c>
      <c r="AE2" s="39">
        <f>N2*12</f>
        <v>52398.882927522376</v>
      </c>
      <c r="AF2" s="39">
        <f>AD2-AE2</f>
        <v>161563.22235986067</v>
      </c>
    </row>
    <row r="3" spans="1:32">
      <c r="A3" s="44" t="s">
        <v>3966</v>
      </c>
      <c r="B3" s="45" t="s">
        <v>3967</v>
      </c>
      <c r="C3" s="39">
        <v>618558.47</v>
      </c>
      <c r="D3" s="39">
        <v>493498.51</v>
      </c>
      <c r="E3" s="39">
        <f>D3*87.728%+0.4</f>
        <v>432936.77285280003</v>
      </c>
      <c r="F3" s="39">
        <f>D3-E3</f>
        <v>60561.73714719998</v>
      </c>
      <c r="G3" s="39">
        <f>E3*0.85</f>
        <v>367996.25692488003</v>
      </c>
      <c r="H3" s="40">
        <v>6.0000000000000001E-3</v>
      </c>
      <c r="I3" s="39">
        <f t="shared" ref="I3:I42" si="0">$G$58*H3</f>
        <v>45657.805440218952</v>
      </c>
      <c r="J3" s="39">
        <f>G3+I3</f>
        <v>413654.06236509897</v>
      </c>
      <c r="K3" s="46">
        <v>4.4999999999999998E-2</v>
      </c>
      <c r="L3" s="42">
        <v>42004</v>
      </c>
      <c r="M3" s="43">
        <v>267</v>
      </c>
      <c r="N3" s="39">
        <f>J3/M3</f>
        <v>1549.2661511801459</v>
      </c>
      <c r="P3" s="39">
        <f t="shared" ref="P3:P11" si="1">N3*12</f>
        <v>18591.19381416175</v>
      </c>
      <c r="Q3" s="39">
        <f t="shared" ref="Q3:Q11" si="2">N3*12</f>
        <v>18591.19381416175</v>
      </c>
      <c r="R3" s="39">
        <f t="shared" ref="R3:R11" si="3">N3*12</f>
        <v>18591.19381416175</v>
      </c>
      <c r="S3" s="39">
        <f t="shared" ref="S3:S11" si="4">N3*12</f>
        <v>18591.19381416175</v>
      </c>
      <c r="T3" s="39">
        <f t="shared" ref="T3:T42" si="5">SUM(P3:S3)</f>
        <v>74364.775256647001</v>
      </c>
      <c r="U3" s="39">
        <f t="shared" ref="U3:U42" si="6">J3-T3</f>
        <v>339289.28710845194</v>
      </c>
      <c r="V3" s="43">
        <f t="shared" ref="V3:V11" si="7">12*4</f>
        <v>48</v>
      </c>
      <c r="W3" s="43">
        <f t="shared" ref="W3:W12" si="8">M3-V3</f>
        <v>219</v>
      </c>
      <c r="X3" s="39" t="b">
        <f t="shared" ref="X3:X11" si="9">(N3*W3)=U3</f>
        <v>1</v>
      </c>
      <c r="Y3" s="39"/>
      <c r="Z3" s="39"/>
      <c r="AA3" s="39">
        <f>N3*12</f>
        <v>18591.19381416175</v>
      </c>
      <c r="AB3" s="39">
        <f>U3-AA3</f>
        <v>320698.09329429019</v>
      </c>
      <c r="AC3" s="39">
        <f>N3*12</f>
        <v>18591.19381416175</v>
      </c>
      <c r="AD3" s="39">
        <f t="shared" ref="AD3:AD42" si="10">AB3-AC3</f>
        <v>302106.89948012843</v>
      </c>
      <c r="AE3" s="39">
        <f t="shared" ref="AE3:AE42" si="11">N3*12</f>
        <v>18591.19381416175</v>
      </c>
      <c r="AF3" s="39">
        <f t="shared" ref="AF3:AF42" si="12">AD3-AE3</f>
        <v>283515.70566596667</v>
      </c>
    </row>
    <row r="4" spans="1:32">
      <c r="A4" s="44" t="s">
        <v>3968</v>
      </c>
      <c r="B4" s="45" t="s">
        <v>3969</v>
      </c>
      <c r="C4" s="39">
        <v>549829.75</v>
      </c>
      <c r="D4" s="39">
        <v>438665.34</v>
      </c>
      <c r="E4" s="39">
        <f>D4*87.728%+0.4</f>
        <v>384832.7294752</v>
      </c>
      <c r="F4" s="39">
        <f>D4-E4</f>
        <v>53832.610524800024</v>
      </c>
      <c r="G4" s="39">
        <f>E4*0.85</f>
        <v>327107.82005391998</v>
      </c>
      <c r="H4" s="40">
        <v>5.3E-3</v>
      </c>
      <c r="I4" s="39">
        <f t="shared" si="0"/>
        <v>40331.061472193403</v>
      </c>
      <c r="J4" s="39">
        <f>G4+I4</f>
        <v>367438.88152611337</v>
      </c>
      <c r="K4" s="47">
        <v>0.1</v>
      </c>
      <c r="L4" s="42">
        <v>42004</v>
      </c>
      <c r="M4" s="43">
        <v>121</v>
      </c>
      <c r="N4" s="39">
        <f>J4/M4</f>
        <v>3036.6849712901931</v>
      </c>
      <c r="P4" s="39">
        <f t="shared" si="1"/>
        <v>36440.219655482317</v>
      </c>
      <c r="Q4" s="39">
        <f t="shared" si="2"/>
        <v>36440.219655482317</v>
      </c>
      <c r="R4" s="39">
        <f t="shared" si="3"/>
        <v>36440.219655482317</v>
      </c>
      <c r="S4" s="39">
        <f t="shared" si="4"/>
        <v>36440.219655482317</v>
      </c>
      <c r="T4" s="39">
        <f t="shared" si="5"/>
        <v>145760.87862192927</v>
      </c>
      <c r="U4" s="39">
        <f t="shared" si="6"/>
        <v>221678.0029041841</v>
      </c>
      <c r="V4" s="43">
        <f t="shared" si="7"/>
        <v>48</v>
      </c>
      <c r="W4" s="43">
        <f t="shared" si="8"/>
        <v>73</v>
      </c>
      <c r="X4" s="39" t="b">
        <f t="shared" si="9"/>
        <v>1</v>
      </c>
      <c r="Y4" s="39"/>
      <c r="Z4" s="39"/>
      <c r="AA4" s="39">
        <f>N4*12</f>
        <v>36440.219655482317</v>
      </c>
      <c r="AB4" s="39">
        <f>U4-AA4</f>
        <v>185237.78324870177</v>
      </c>
      <c r="AC4" s="39">
        <f>N4*12</f>
        <v>36440.219655482317</v>
      </c>
      <c r="AD4" s="39">
        <f t="shared" si="10"/>
        <v>148797.56359321944</v>
      </c>
      <c r="AE4" s="39">
        <f t="shared" si="11"/>
        <v>36440.219655482317</v>
      </c>
      <c r="AF4" s="39">
        <f t="shared" si="12"/>
        <v>112357.34393773713</v>
      </c>
    </row>
    <row r="5" spans="1:32">
      <c r="A5" s="44" t="s">
        <v>3970</v>
      </c>
      <c r="B5" s="45" t="s">
        <v>3971</v>
      </c>
      <c r="C5" s="39">
        <v>203965.1</v>
      </c>
      <c r="D5" s="39">
        <v>164499.5</v>
      </c>
      <c r="E5" s="39">
        <f>D5*87.728%+0.4</f>
        <v>144312.52135999998</v>
      </c>
      <c r="F5" s="39">
        <f>D5-E5</f>
        <v>20186.978640000016</v>
      </c>
      <c r="G5" s="39">
        <f>E5*0.85-0.01</f>
        <v>122665.63315599998</v>
      </c>
      <c r="H5" s="40">
        <v>2E-3</v>
      </c>
      <c r="I5" s="39">
        <f t="shared" si="0"/>
        <v>15219.268480072982</v>
      </c>
      <c r="J5" s="39">
        <f>G5+I5</f>
        <v>137884.90163607296</v>
      </c>
      <c r="K5" s="47">
        <v>0.2</v>
      </c>
      <c r="L5" s="42">
        <v>42035</v>
      </c>
      <c r="M5" s="43">
        <v>60</v>
      </c>
      <c r="N5" s="39">
        <f>J5/M5</f>
        <v>2298.0816939345491</v>
      </c>
      <c r="P5" s="39">
        <f>N5*10</f>
        <v>22980.816939345492</v>
      </c>
      <c r="Q5" s="39">
        <f t="shared" si="2"/>
        <v>27576.980327214587</v>
      </c>
      <c r="R5" s="39">
        <f t="shared" si="3"/>
        <v>27576.980327214587</v>
      </c>
      <c r="S5" s="39">
        <f t="shared" si="4"/>
        <v>27576.980327214587</v>
      </c>
      <c r="T5" s="39">
        <f t="shared" si="5"/>
        <v>105711.75792098924</v>
      </c>
      <c r="U5" s="39">
        <f t="shared" si="6"/>
        <v>32173.143715083716</v>
      </c>
      <c r="V5" s="43">
        <f>12*4-2</f>
        <v>46</v>
      </c>
      <c r="W5" s="43">
        <f t="shared" si="8"/>
        <v>14</v>
      </c>
      <c r="X5" s="39" t="b">
        <f t="shared" si="9"/>
        <v>1</v>
      </c>
      <c r="Y5" s="39"/>
      <c r="Z5" s="39"/>
      <c r="AA5" s="39">
        <f>N5*12</f>
        <v>27576.980327214587</v>
      </c>
      <c r="AB5" s="39">
        <f>U5-AA5</f>
        <v>4596.1633878691282</v>
      </c>
      <c r="AC5" s="39">
        <v>4596.16</v>
      </c>
      <c r="AD5" s="39">
        <f t="shared" si="10"/>
        <v>3.3878691283462103E-3</v>
      </c>
      <c r="AE5" s="39">
        <v>0</v>
      </c>
      <c r="AF5" s="39">
        <f t="shared" si="12"/>
        <v>3.3878691283462103E-3</v>
      </c>
    </row>
    <row r="6" spans="1:32">
      <c r="A6" s="44"/>
      <c r="B6" s="45"/>
      <c r="C6" s="39"/>
      <c r="D6" s="38">
        <f>SUM(D2:D5)</f>
        <v>1727653.58</v>
      </c>
      <c r="E6" s="38">
        <f>SUM(E2:E5)</f>
        <v>1515637.5326623998</v>
      </c>
      <c r="F6" s="38">
        <f>SUM(F2:F5)</f>
        <v>212016.0473376</v>
      </c>
      <c r="G6" s="38">
        <f>SUM(G2:G5)</f>
        <v>1288291.8927630398</v>
      </c>
      <c r="H6" s="40"/>
      <c r="I6" s="39"/>
      <c r="J6" s="39"/>
      <c r="K6" s="47"/>
      <c r="N6" s="39"/>
      <c r="P6" s="39"/>
      <c r="Q6" s="39"/>
      <c r="R6" s="39"/>
      <c r="S6" s="39"/>
      <c r="T6" s="39"/>
      <c r="U6" s="39"/>
      <c r="X6" s="39"/>
      <c r="Y6" s="39"/>
      <c r="Z6" s="39"/>
      <c r="AA6" s="39"/>
      <c r="AB6" s="39"/>
      <c r="AC6" s="39"/>
      <c r="AD6" s="39"/>
      <c r="AE6" s="39">
        <f t="shared" si="11"/>
        <v>0</v>
      </c>
      <c r="AF6" s="39">
        <f t="shared" si="12"/>
        <v>0</v>
      </c>
    </row>
    <row r="7" spans="1:32">
      <c r="A7" s="44" t="s">
        <v>3972</v>
      </c>
      <c r="B7" s="45" t="s">
        <v>3973</v>
      </c>
      <c r="C7" s="39">
        <v>3494802.8</v>
      </c>
      <c r="D7" s="39">
        <v>2788224.64</v>
      </c>
      <c r="E7" s="39">
        <f>D7*33.484%+1.875</f>
        <v>933611.01345760014</v>
      </c>
      <c r="F7" s="39">
        <f>D7-E7</f>
        <v>1854613.6265424001</v>
      </c>
      <c r="G7" s="39">
        <f>E7*0.85</f>
        <v>793569.36143896007</v>
      </c>
      <c r="H7" s="40">
        <v>3.3799999999999997E-2</v>
      </c>
      <c r="I7" s="39">
        <f t="shared" si="0"/>
        <v>257205.63731323337</v>
      </c>
      <c r="J7" s="39">
        <f t="shared" ref="J7:J42" si="13">G7+I7</f>
        <v>1050774.9987521935</v>
      </c>
      <c r="K7" s="47">
        <v>7.0000000000000007E-2</v>
      </c>
      <c r="L7" s="42">
        <v>42004</v>
      </c>
      <c r="M7" s="43">
        <v>172</v>
      </c>
      <c r="N7" s="39">
        <f>J7/M7</f>
        <v>6109.156969489497</v>
      </c>
      <c r="P7" s="39">
        <f t="shared" si="1"/>
        <v>73309.883633873964</v>
      </c>
      <c r="Q7" s="39">
        <f t="shared" si="2"/>
        <v>73309.883633873964</v>
      </c>
      <c r="R7" s="39">
        <f t="shared" si="3"/>
        <v>73309.883633873964</v>
      </c>
      <c r="S7" s="39">
        <f t="shared" si="4"/>
        <v>73309.883633873964</v>
      </c>
      <c r="T7" s="39">
        <f t="shared" si="5"/>
        <v>293239.53453549586</v>
      </c>
      <c r="U7" s="39">
        <f t="shared" si="6"/>
        <v>757535.46421669773</v>
      </c>
      <c r="V7" s="43">
        <f t="shared" si="7"/>
        <v>48</v>
      </c>
      <c r="W7" s="43">
        <f t="shared" si="8"/>
        <v>124</v>
      </c>
      <c r="X7" s="39" t="b">
        <f t="shared" si="9"/>
        <v>1</v>
      </c>
      <c r="Y7" s="39"/>
      <c r="Z7" s="39"/>
      <c r="AA7" s="39">
        <f>N7*12</f>
        <v>73309.883633873964</v>
      </c>
      <c r="AB7" s="39">
        <f>U7-AA7</f>
        <v>684225.58058282372</v>
      </c>
      <c r="AC7" s="39">
        <f>N7*12</f>
        <v>73309.883633873964</v>
      </c>
      <c r="AD7" s="39">
        <f t="shared" si="10"/>
        <v>610915.69694894971</v>
      </c>
      <c r="AE7" s="39">
        <f t="shared" si="11"/>
        <v>73309.883633873964</v>
      </c>
      <c r="AF7" s="39">
        <f t="shared" si="12"/>
        <v>537605.81331507571</v>
      </c>
    </row>
    <row r="8" spans="1:32">
      <c r="A8" s="44" t="s">
        <v>3974</v>
      </c>
      <c r="B8" s="45" t="s">
        <v>3975</v>
      </c>
      <c r="C8" s="39">
        <v>1063288.02</v>
      </c>
      <c r="D8" s="39">
        <v>848633.86</v>
      </c>
      <c r="E8" s="39">
        <f>D8*33.484%+1.875</f>
        <v>284158.4366824</v>
      </c>
      <c r="F8" s="39">
        <f>D8-E8</f>
        <v>564475.42331760004</v>
      </c>
      <c r="G8" s="39">
        <f>E8*0.85</f>
        <v>241534.67118003999</v>
      </c>
      <c r="H8" s="40">
        <v>1.03E-2</v>
      </c>
      <c r="I8" s="39">
        <f t="shared" si="0"/>
        <v>78379.23267237586</v>
      </c>
      <c r="J8" s="39">
        <f t="shared" si="13"/>
        <v>319913.90385241585</v>
      </c>
      <c r="K8" s="47">
        <v>0.1</v>
      </c>
      <c r="L8" s="42">
        <v>42004</v>
      </c>
      <c r="M8" s="43">
        <v>121</v>
      </c>
      <c r="N8" s="39">
        <f>J8/M8</f>
        <v>2643.9165607637674</v>
      </c>
      <c r="P8" s="39">
        <f t="shared" si="1"/>
        <v>31726.998729165207</v>
      </c>
      <c r="Q8" s="39">
        <f t="shared" si="2"/>
        <v>31726.998729165207</v>
      </c>
      <c r="R8" s="39">
        <f t="shared" si="3"/>
        <v>31726.998729165207</v>
      </c>
      <c r="S8" s="39">
        <f t="shared" si="4"/>
        <v>31726.998729165207</v>
      </c>
      <c r="T8" s="39">
        <f t="shared" si="5"/>
        <v>126907.99491666083</v>
      </c>
      <c r="U8" s="39">
        <f t="shared" si="6"/>
        <v>193005.90893575503</v>
      </c>
      <c r="V8" s="43">
        <f t="shared" si="7"/>
        <v>48</v>
      </c>
      <c r="W8" s="43">
        <f t="shared" si="8"/>
        <v>73</v>
      </c>
      <c r="X8" s="39" t="b">
        <f t="shared" si="9"/>
        <v>1</v>
      </c>
      <c r="Y8" s="39"/>
      <c r="Z8" s="39"/>
      <c r="AA8" s="39">
        <f>N8*12</f>
        <v>31726.998729165207</v>
      </c>
      <c r="AB8" s="39">
        <f>U8-AA8</f>
        <v>161278.91020658982</v>
      </c>
      <c r="AC8" s="39">
        <f>N8*12</f>
        <v>31726.998729165207</v>
      </c>
      <c r="AD8" s="39">
        <f t="shared" si="10"/>
        <v>129551.91147742461</v>
      </c>
      <c r="AE8" s="39">
        <f t="shared" si="11"/>
        <v>31726.998729165207</v>
      </c>
      <c r="AF8" s="39">
        <f t="shared" si="12"/>
        <v>97824.912748259405</v>
      </c>
    </row>
    <row r="9" spans="1:32">
      <c r="A9" s="44"/>
      <c r="B9" s="45"/>
      <c r="C9" s="39"/>
      <c r="D9" s="38">
        <f>SUM(D7:D8)</f>
        <v>3636858.5</v>
      </c>
      <c r="E9" s="38">
        <f>SUM(E7:E8)</f>
        <v>1217769.4501400001</v>
      </c>
      <c r="F9" s="38">
        <f>SUM(F7:F8)</f>
        <v>2419089.0498600001</v>
      </c>
      <c r="G9" s="38">
        <f>SUM(G7:G8)</f>
        <v>1035104.0326190001</v>
      </c>
      <c r="H9" s="40"/>
      <c r="I9" s="39"/>
      <c r="J9" s="39"/>
      <c r="K9" s="47"/>
      <c r="N9" s="39"/>
      <c r="P9" s="39"/>
      <c r="Q9" s="39"/>
      <c r="R9" s="39"/>
      <c r="S9" s="39"/>
      <c r="T9" s="39"/>
      <c r="U9" s="39"/>
      <c r="X9" s="39"/>
      <c r="Y9" s="39"/>
      <c r="Z9" s="39"/>
      <c r="AA9" s="39"/>
      <c r="AB9" s="39"/>
      <c r="AC9" s="39"/>
      <c r="AD9" s="39"/>
      <c r="AE9" s="39">
        <f t="shared" si="11"/>
        <v>0</v>
      </c>
      <c r="AF9" s="39">
        <f t="shared" si="12"/>
        <v>0</v>
      </c>
    </row>
    <row r="10" spans="1:32">
      <c r="A10" s="44" t="s">
        <v>740</v>
      </c>
      <c r="B10" s="45" t="s">
        <v>3976</v>
      </c>
      <c r="C10" s="39">
        <v>4297299.45</v>
      </c>
      <c r="D10" s="39">
        <v>3428472.76</v>
      </c>
      <c r="E10" s="39">
        <f>D10*96.15949215%</f>
        <v>3296801.9945170884</v>
      </c>
      <c r="F10" s="39">
        <f>D10-E10</f>
        <v>131670.76548291137</v>
      </c>
      <c r="G10" s="39">
        <f>E10*0.85</f>
        <v>2802281.6953395251</v>
      </c>
      <c r="H10" s="40">
        <v>4.1500000000000002E-2</v>
      </c>
      <c r="I10" s="39">
        <f t="shared" si="0"/>
        <v>315799.82096151443</v>
      </c>
      <c r="J10" s="39">
        <f t="shared" si="13"/>
        <v>3118081.5163010396</v>
      </c>
      <c r="K10" s="47">
        <v>0.1</v>
      </c>
      <c r="L10" s="42">
        <v>42004</v>
      </c>
      <c r="M10" s="43">
        <v>121</v>
      </c>
      <c r="N10" s="39">
        <f>J10/M10</f>
        <v>25769.268729760657</v>
      </c>
      <c r="P10" s="39">
        <f t="shared" si="1"/>
        <v>309231.22475712787</v>
      </c>
      <c r="Q10" s="39">
        <f t="shared" si="2"/>
        <v>309231.22475712787</v>
      </c>
      <c r="R10" s="39">
        <f t="shared" si="3"/>
        <v>309231.22475712787</v>
      </c>
      <c r="S10" s="39">
        <f t="shared" si="4"/>
        <v>309231.22475712787</v>
      </c>
      <c r="T10" s="39">
        <f t="shared" si="5"/>
        <v>1236924.8990285115</v>
      </c>
      <c r="U10" s="39">
        <f t="shared" si="6"/>
        <v>1881156.6172725281</v>
      </c>
      <c r="V10" s="43">
        <f t="shared" si="7"/>
        <v>48</v>
      </c>
      <c r="W10" s="43">
        <f t="shared" si="8"/>
        <v>73</v>
      </c>
      <c r="X10" s="39" t="b">
        <f t="shared" si="9"/>
        <v>1</v>
      </c>
      <c r="Y10" s="39"/>
      <c r="Z10" s="39"/>
      <c r="AA10" s="39">
        <f>N10*12</f>
        <v>309231.22475712787</v>
      </c>
      <c r="AB10" s="39">
        <f>U10-AA10</f>
        <v>1571925.3925154002</v>
      </c>
      <c r="AC10" s="39">
        <f>N10*12</f>
        <v>309231.22475712787</v>
      </c>
      <c r="AD10" s="39">
        <f t="shared" si="10"/>
        <v>1262694.1677582723</v>
      </c>
      <c r="AE10" s="39">
        <f t="shared" si="11"/>
        <v>309231.22475712787</v>
      </c>
      <c r="AF10" s="39">
        <f t="shared" si="12"/>
        <v>953462.94300114433</v>
      </c>
    </row>
    <row r="11" spans="1:32">
      <c r="A11" s="44" t="s">
        <v>3977</v>
      </c>
      <c r="B11" s="45" t="s">
        <v>3978</v>
      </c>
      <c r="C11" s="39">
        <v>9257085.5099999998</v>
      </c>
      <c r="D11" s="39">
        <v>7385490.79</v>
      </c>
      <c r="E11" s="39">
        <f>D11*96.15949215%</f>
        <v>7101850.436449023</v>
      </c>
      <c r="F11" s="39">
        <f>D11-E11</f>
        <v>283640.35355097707</v>
      </c>
      <c r="G11" s="39">
        <f>E11*0.85</f>
        <v>6036572.8709816691</v>
      </c>
      <c r="H11" s="40">
        <v>8.9399999999999993E-2</v>
      </c>
      <c r="I11" s="39">
        <f t="shared" si="0"/>
        <v>680301.30105926224</v>
      </c>
      <c r="J11" s="39">
        <f t="shared" si="13"/>
        <v>6716874.1720409309</v>
      </c>
      <c r="K11" s="46">
        <v>2.5000000000000001E-2</v>
      </c>
      <c r="L11" s="42">
        <v>42004</v>
      </c>
      <c r="M11" s="43">
        <v>481</v>
      </c>
      <c r="N11" s="39">
        <f>J11/M11</f>
        <v>13964.395368068463</v>
      </c>
      <c r="P11" s="39">
        <f t="shared" si="1"/>
        <v>167572.74441682154</v>
      </c>
      <c r="Q11" s="39">
        <f t="shared" si="2"/>
        <v>167572.74441682154</v>
      </c>
      <c r="R11" s="39">
        <f t="shared" si="3"/>
        <v>167572.74441682154</v>
      </c>
      <c r="S11" s="39">
        <f t="shared" si="4"/>
        <v>167572.74441682154</v>
      </c>
      <c r="T11" s="39">
        <f t="shared" si="5"/>
        <v>670290.97766728618</v>
      </c>
      <c r="U11" s="39">
        <f t="shared" si="6"/>
        <v>6046583.1943736449</v>
      </c>
      <c r="V11" s="43">
        <f t="shared" si="7"/>
        <v>48</v>
      </c>
      <c r="W11" s="43">
        <f t="shared" si="8"/>
        <v>433</v>
      </c>
      <c r="X11" s="39" t="b">
        <f t="shared" si="9"/>
        <v>1</v>
      </c>
      <c r="Y11" s="39"/>
      <c r="Z11" s="39"/>
      <c r="AA11" s="39">
        <f>N11*12</f>
        <v>167572.74441682154</v>
      </c>
      <c r="AB11" s="39">
        <f>U11-AA11</f>
        <v>5879010.4499568231</v>
      </c>
      <c r="AC11" s="39">
        <f>N11*12</f>
        <v>167572.74441682154</v>
      </c>
      <c r="AD11" s="39">
        <f t="shared" si="10"/>
        <v>5711437.7055400014</v>
      </c>
      <c r="AE11" s="39">
        <f t="shared" si="11"/>
        <v>167572.74441682154</v>
      </c>
      <c r="AF11" s="39">
        <f t="shared" si="12"/>
        <v>5543864.9611231796</v>
      </c>
    </row>
    <row r="12" spans="1:32">
      <c r="A12" s="44" t="s">
        <v>3979</v>
      </c>
      <c r="B12" s="48" t="s">
        <v>3980</v>
      </c>
      <c r="C12" s="39">
        <v>16669954.4</v>
      </c>
      <c r="D12" s="39">
        <v>13299628.109999999</v>
      </c>
      <c r="E12" s="39">
        <f>D12*96.15949215%</f>
        <v>12788854.848414643</v>
      </c>
      <c r="F12" s="39">
        <f>D12-E12</f>
        <v>510773.26158535667</v>
      </c>
      <c r="G12" s="39">
        <f>E12*0.85+0.01</f>
        <v>10870526.631152445</v>
      </c>
      <c r="H12" s="40">
        <v>0.161</v>
      </c>
      <c r="I12" s="39">
        <f t="shared" si="0"/>
        <v>1225151.1126458752</v>
      </c>
      <c r="J12" s="39">
        <f t="shared" si="13"/>
        <v>12095677.743798321</v>
      </c>
      <c r="K12" s="47">
        <v>0.1</v>
      </c>
      <c r="L12" s="42">
        <v>42004</v>
      </c>
      <c r="M12" s="43">
        <v>121</v>
      </c>
      <c r="N12" s="39">
        <f>J12/M12</f>
        <v>99964.278874366297</v>
      </c>
      <c r="O12" s="43">
        <v>156</v>
      </c>
      <c r="P12" s="39">
        <f>N12*12</f>
        <v>1199571.3464923955</v>
      </c>
      <c r="Q12" s="39">
        <f>N12*12</f>
        <v>1199571.3464923955</v>
      </c>
      <c r="R12" s="39">
        <f>N12*12</f>
        <v>1199571.3464923955</v>
      </c>
      <c r="S12" s="39">
        <f>N12*12</f>
        <v>1199571.3464923955</v>
      </c>
      <c r="T12" s="39">
        <f t="shared" si="5"/>
        <v>4798285.385969582</v>
      </c>
      <c r="U12" s="39">
        <f t="shared" si="6"/>
        <v>7297392.3578287391</v>
      </c>
      <c r="V12" s="43">
        <v>48</v>
      </c>
      <c r="W12" s="43">
        <f t="shared" si="8"/>
        <v>73</v>
      </c>
      <c r="X12" s="39" t="b">
        <f>(N12*W12)=U12</f>
        <v>1</v>
      </c>
      <c r="Y12" s="39"/>
      <c r="Z12" s="49">
        <f>15*12-V12</f>
        <v>132</v>
      </c>
      <c r="AA12" s="49">
        <f>(U12/Z12)*12</f>
        <v>663399.30525715812</v>
      </c>
      <c r="AB12" s="49">
        <f>U12-AA12</f>
        <v>6633993.0525715807</v>
      </c>
      <c r="AC12" s="39">
        <f>(U12/Z12)*12</f>
        <v>663399.30525715812</v>
      </c>
      <c r="AD12" s="39">
        <f t="shared" si="10"/>
        <v>5970593.7473144224</v>
      </c>
      <c r="AE12" s="39">
        <f>(U12/Z12)*12</f>
        <v>663399.30525715812</v>
      </c>
      <c r="AF12" s="39">
        <f t="shared" si="12"/>
        <v>5307194.442057264</v>
      </c>
    </row>
    <row r="13" spans="1:32">
      <c r="A13" s="44"/>
      <c r="B13" s="45"/>
      <c r="C13" s="39"/>
      <c r="D13" s="38">
        <f>SUM(D10:D12)</f>
        <v>24113591.66</v>
      </c>
      <c r="E13" s="38">
        <f>SUM(E10:E12)</f>
        <v>23187507.279380754</v>
      </c>
      <c r="F13" s="38">
        <f>SUM(F10:F12)</f>
        <v>926084.38061924512</v>
      </c>
      <c r="G13" s="38">
        <f>SUM(G10:G12)</f>
        <v>19709381.197473638</v>
      </c>
      <c r="H13" s="40"/>
      <c r="I13" s="39"/>
      <c r="J13" s="39"/>
      <c r="K13" s="47"/>
      <c r="N13" s="39"/>
      <c r="P13" s="39"/>
      <c r="Q13" s="39"/>
      <c r="R13" s="39"/>
      <c r="S13" s="39"/>
      <c r="T13" s="39"/>
      <c r="U13" s="39"/>
      <c r="X13" s="39"/>
      <c r="Y13" s="39"/>
      <c r="Z13" s="39"/>
      <c r="AA13" s="39"/>
      <c r="AB13" s="39"/>
      <c r="AC13" s="39"/>
      <c r="AD13" s="39"/>
      <c r="AE13" s="39"/>
      <c r="AF13" s="39">
        <f t="shared" si="12"/>
        <v>0</v>
      </c>
    </row>
    <row r="14" spans="1:32">
      <c r="A14" s="44" t="s">
        <v>718</v>
      </c>
      <c r="B14" s="48" t="s">
        <v>3981</v>
      </c>
      <c r="C14" s="39">
        <v>33344560.370000001</v>
      </c>
      <c r="D14" s="38">
        <v>22963975.57</v>
      </c>
      <c r="E14" s="39">
        <f>D14*74.426111619%</f>
        <v>17091194.089888092</v>
      </c>
      <c r="F14" s="39">
        <f>D14-E14</f>
        <v>5872781.4801119082</v>
      </c>
      <c r="G14" s="38">
        <f>E14*0.85</f>
        <v>14527514.976404877</v>
      </c>
      <c r="H14" s="40">
        <v>0.31740000000000002</v>
      </c>
      <c r="I14" s="39">
        <f t="shared" si="0"/>
        <v>2415297.9077875824</v>
      </c>
      <c r="J14" s="39">
        <f t="shared" si="13"/>
        <v>16942812.884192459</v>
      </c>
      <c r="K14" s="47">
        <v>0.1</v>
      </c>
      <c r="L14" s="42">
        <v>42004</v>
      </c>
      <c r="M14" s="43">
        <v>121</v>
      </c>
      <c r="N14" s="39">
        <f>J14/M14</f>
        <v>140023.24697679718</v>
      </c>
      <c r="O14" s="43">
        <v>156</v>
      </c>
      <c r="P14" s="39">
        <f>N14*12</f>
        <v>1680278.9637215661</v>
      </c>
      <c r="Q14" s="39">
        <f>N14*12</f>
        <v>1680278.9637215661</v>
      </c>
      <c r="R14" s="39">
        <f>N14*12</f>
        <v>1680278.9637215661</v>
      </c>
      <c r="S14" s="39">
        <f>N14*12</f>
        <v>1680278.9637215661</v>
      </c>
      <c r="T14" s="39">
        <f t="shared" si="5"/>
        <v>6721115.8548862645</v>
      </c>
      <c r="U14" s="39">
        <f t="shared" si="6"/>
        <v>10221697.029306196</v>
      </c>
      <c r="V14" s="43">
        <v>48</v>
      </c>
      <c r="W14" s="43">
        <f>M14-V14</f>
        <v>73</v>
      </c>
      <c r="X14" s="39" t="b">
        <f>(N14*W14)=U14</f>
        <v>1</v>
      </c>
      <c r="Y14" s="39"/>
      <c r="Z14" s="49">
        <f>15*12-V14</f>
        <v>132</v>
      </c>
      <c r="AA14" s="49">
        <f>(U14/Z14)*12</f>
        <v>929245.18448238145</v>
      </c>
      <c r="AB14" s="49">
        <f>U14-AA14</f>
        <v>9292451.8448238149</v>
      </c>
      <c r="AC14" s="39">
        <f>(U14/Z14)*12</f>
        <v>929245.18448238145</v>
      </c>
      <c r="AD14" s="39">
        <f t="shared" si="10"/>
        <v>8363206.6603414332</v>
      </c>
      <c r="AE14" s="39">
        <f>(U14/Z14)*12</f>
        <v>929245.18448238145</v>
      </c>
      <c r="AF14" s="39">
        <f t="shared" si="12"/>
        <v>7433961.4758590516</v>
      </c>
    </row>
    <row r="15" spans="1:32">
      <c r="A15" s="44"/>
      <c r="B15" s="45"/>
      <c r="C15" s="39"/>
      <c r="D15" s="38">
        <v>3250000</v>
      </c>
      <c r="E15" s="39">
        <f>D15*31.645%</f>
        <v>1028462.5</v>
      </c>
      <c r="F15" s="39">
        <f>D15-E15</f>
        <v>2221537.5</v>
      </c>
      <c r="G15" s="38">
        <f>E15*0.85</f>
        <v>874193.125</v>
      </c>
      <c r="H15" s="40"/>
      <c r="I15" s="39"/>
      <c r="J15" s="39">
        <f>G15</f>
        <v>874193.125</v>
      </c>
      <c r="K15" s="47"/>
      <c r="M15" s="43">
        <v>121</v>
      </c>
      <c r="N15" s="39">
        <f>J15/M15</f>
        <v>7224.7365702479337</v>
      </c>
      <c r="P15" s="39">
        <f>N15*12</f>
        <v>86696.838842975209</v>
      </c>
      <c r="Q15" s="39">
        <f>N15*12</f>
        <v>86696.838842975209</v>
      </c>
      <c r="R15" s="39">
        <f>N15*12</f>
        <v>86696.838842975209</v>
      </c>
      <c r="S15" s="39">
        <f>N15*12</f>
        <v>86696.838842975209</v>
      </c>
      <c r="T15" s="39">
        <f t="shared" si="5"/>
        <v>346787.35537190083</v>
      </c>
      <c r="U15" s="39">
        <f t="shared" si="6"/>
        <v>527405.76962809917</v>
      </c>
      <c r="V15" s="43">
        <v>48</v>
      </c>
      <c r="W15" s="43">
        <f>M15-V15</f>
        <v>73</v>
      </c>
      <c r="X15" s="39" t="b">
        <f>(N15*W15)=U15</f>
        <v>1</v>
      </c>
      <c r="Y15" s="39"/>
      <c r="Z15" s="39">
        <v>111</v>
      </c>
      <c r="AA15" s="39">
        <f>(U15/Z15)*12</f>
        <v>57016.839959794503</v>
      </c>
      <c r="AB15" s="39">
        <f>U15-AA15</f>
        <v>470388.92966830469</v>
      </c>
      <c r="AC15" s="39">
        <f>(U15/Z15)*12</f>
        <v>57016.839959794503</v>
      </c>
      <c r="AD15" s="39">
        <f t="shared" si="10"/>
        <v>413372.0897085102</v>
      </c>
      <c r="AE15" s="39">
        <f>(U15/Z15)*12</f>
        <v>57016.839959794503</v>
      </c>
      <c r="AF15" s="39">
        <f t="shared" si="12"/>
        <v>356355.24974871572</v>
      </c>
    </row>
    <row r="16" spans="1:32">
      <c r="A16" s="44" t="s">
        <v>3982</v>
      </c>
      <c r="B16" s="48" t="s">
        <v>3983</v>
      </c>
      <c r="C16" s="39">
        <v>86484.06</v>
      </c>
      <c r="D16" s="39">
        <v>68998.740000000005</v>
      </c>
      <c r="E16" s="39">
        <f>D16*53.469127%</f>
        <v>36893.023918999803</v>
      </c>
      <c r="F16" s="39">
        <f>D16-E16</f>
        <v>32105.716081000202</v>
      </c>
      <c r="G16" s="39">
        <f>E16*0.85</f>
        <v>31359.070331149833</v>
      </c>
      <c r="H16" s="40">
        <v>6.9999999999999999E-4</v>
      </c>
      <c r="I16" s="39">
        <f t="shared" si="0"/>
        <v>5326.7439680255438</v>
      </c>
      <c r="J16" s="39">
        <f t="shared" si="13"/>
        <v>36685.814299175378</v>
      </c>
      <c r="K16" s="46">
        <v>4.4999999999999998E-2</v>
      </c>
      <c r="L16" s="42">
        <v>42004</v>
      </c>
      <c r="M16" s="43">
        <v>267</v>
      </c>
      <c r="N16" s="39">
        <f>J16/M16</f>
        <v>137.40005355496396</v>
      </c>
      <c r="O16" s="43">
        <v>442</v>
      </c>
      <c r="P16" s="39">
        <f>N16*12</f>
        <v>1648.8006426595675</v>
      </c>
      <c r="Q16" s="39">
        <f>N16*12</f>
        <v>1648.8006426595675</v>
      </c>
      <c r="R16" s="39">
        <f>N16*12</f>
        <v>1648.8006426595675</v>
      </c>
      <c r="S16" s="39">
        <f>N16*12</f>
        <v>1648.8006426595675</v>
      </c>
      <c r="T16" s="39">
        <f t="shared" si="5"/>
        <v>6595.2025706382701</v>
      </c>
      <c r="U16" s="39">
        <f t="shared" si="6"/>
        <v>30090.611728537107</v>
      </c>
      <c r="V16" s="43">
        <v>48</v>
      </c>
      <c r="W16" s="43">
        <f>M16-V16</f>
        <v>219</v>
      </c>
      <c r="X16" s="39" t="b">
        <f>(N16*W16)=U16</f>
        <v>1</v>
      </c>
      <c r="Y16" s="39"/>
      <c r="Z16" s="49">
        <f>40*12-V16</f>
        <v>432</v>
      </c>
      <c r="AA16" s="49">
        <f>(U16/Z16)*12</f>
        <v>835.8503257926975</v>
      </c>
      <c r="AB16" s="49">
        <f>U16-AA16</f>
        <v>29254.761402744411</v>
      </c>
      <c r="AC16" s="39">
        <f>(U16/Z16)*12</f>
        <v>835.8503257926975</v>
      </c>
      <c r="AD16" s="39">
        <f t="shared" si="10"/>
        <v>28418.911076951714</v>
      </c>
      <c r="AE16" s="39">
        <f>(U16/Z16)*12</f>
        <v>835.8503257926975</v>
      </c>
      <c r="AF16" s="39">
        <f t="shared" si="12"/>
        <v>27583.060751159017</v>
      </c>
    </row>
    <row r="17" spans="1:32">
      <c r="A17" s="44" t="s">
        <v>3984</v>
      </c>
      <c r="B17" s="45" t="s">
        <v>3985</v>
      </c>
      <c r="C17" s="39">
        <v>50223.68</v>
      </c>
      <c r="D17" s="39">
        <v>40069.47</v>
      </c>
      <c r="E17" s="39">
        <f>D17*53.469127%</f>
        <v>21424.795802526904</v>
      </c>
      <c r="F17" s="39">
        <f>D17-E17</f>
        <v>18644.674197473098</v>
      </c>
      <c r="G17" s="39">
        <f>E17*0.85-0.01</f>
        <v>18211.066432147869</v>
      </c>
      <c r="H17" s="40">
        <v>2.9999999999999997E-4</v>
      </c>
      <c r="I17" s="39">
        <f t="shared" si="0"/>
        <v>2282.8902720109472</v>
      </c>
      <c r="J17" s="39">
        <f t="shared" si="13"/>
        <v>20493.956704158816</v>
      </c>
      <c r="K17" s="46">
        <v>2.5000000000000001E-2</v>
      </c>
      <c r="L17" s="42">
        <v>42004</v>
      </c>
      <c r="M17" s="43">
        <v>481</v>
      </c>
      <c r="N17" s="39">
        <f>J17/M17</f>
        <v>42.606978594924776</v>
      </c>
      <c r="P17" s="39">
        <f>N17*12</f>
        <v>511.28374313909728</v>
      </c>
      <c r="Q17" s="39">
        <f>N17*12</f>
        <v>511.28374313909728</v>
      </c>
      <c r="R17" s="39">
        <f>N17*12</f>
        <v>511.28374313909728</v>
      </c>
      <c r="S17" s="39">
        <f>N17*12</f>
        <v>511.28374313909728</v>
      </c>
      <c r="T17" s="39">
        <f t="shared" si="5"/>
        <v>2045.1349725563891</v>
      </c>
      <c r="U17" s="39">
        <f t="shared" si="6"/>
        <v>18448.821731602427</v>
      </c>
      <c r="V17" s="43">
        <v>48</v>
      </c>
      <c r="W17" s="43">
        <f>M17-V17</f>
        <v>433</v>
      </c>
      <c r="X17" s="39" t="b">
        <f>(N17*W17)=U17</f>
        <v>1</v>
      </c>
      <c r="Y17" s="39"/>
      <c r="Z17" s="39"/>
      <c r="AA17" s="39">
        <f>N17*12</f>
        <v>511.28374313909728</v>
      </c>
      <c r="AB17" s="39">
        <f>U17-AA17</f>
        <v>17937.537988463329</v>
      </c>
      <c r="AC17" s="39">
        <f>N17*12</f>
        <v>511.28374313909728</v>
      </c>
      <c r="AD17" s="39">
        <f t="shared" si="10"/>
        <v>17426.254245324231</v>
      </c>
      <c r="AE17" s="39">
        <f>N17*12</f>
        <v>511.28374313909728</v>
      </c>
      <c r="AF17" s="39">
        <f t="shared" si="12"/>
        <v>16914.970502185133</v>
      </c>
    </row>
    <row r="18" spans="1:32">
      <c r="C18" s="39"/>
      <c r="D18" s="38">
        <f>SUM(D16:D17)</f>
        <v>109068.21</v>
      </c>
      <c r="E18" s="38">
        <f>SUM(E16:E17)</f>
        <v>58317.819721526706</v>
      </c>
      <c r="F18" s="38">
        <f>SUM(F16:F17)</f>
        <v>50750.3902784733</v>
      </c>
      <c r="G18" s="38">
        <f>SUM(G16:G17)</f>
        <v>49570.136763297705</v>
      </c>
      <c r="H18" s="40"/>
      <c r="I18" s="39"/>
      <c r="J18" s="39"/>
      <c r="K18" s="47"/>
      <c r="N18" s="39"/>
      <c r="P18" s="39"/>
      <c r="Q18" s="39"/>
      <c r="R18" s="39"/>
      <c r="S18" s="39"/>
      <c r="T18" s="39">
        <f t="shared" si="5"/>
        <v>0</v>
      </c>
      <c r="U18" s="39">
        <f t="shared" si="6"/>
        <v>0</v>
      </c>
      <c r="X18" s="39"/>
      <c r="Y18" s="39"/>
      <c r="Z18" s="39"/>
      <c r="AA18" s="39"/>
      <c r="AB18" s="39"/>
      <c r="AC18" s="39"/>
      <c r="AD18" s="39"/>
      <c r="AE18" s="39">
        <f t="shared" si="11"/>
        <v>0</v>
      </c>
      <c r="AF18" s="39">
        <f t="shared" si="12"/>
        <v>0</v>
      </c>
    </row>
    <row r="19" spans="1:32">
      <c r="A19" s="44" t="s">
        <v>3986</v>
      </c>
      <c r="B19" s="48" t="s">
        <v>3987</v>
      </c>
      <c r="C19" s="39">
        <v>843916.68</v>
      </c>
      <c r="D19" s="39">
        <v>673293.86</v>
      </c>
      <c r="E19" s="39">
        <f t="shared" ref="E19:E26" si="14">D19*100%</f>
        <v>673293.86</v>
      </c>
      <c r="F19" s="39">
        <f t="shared" ref="F19:F26" si="15">D19-E19</f>
        <v>0</v>
      </c>
      <c r="G19" s="39">
        <f>E19*0.85</f>
        <v>572299.78099999996</v>
      </c>
      <c r="H19" s="40">
        <v>8.2000000000000007E-3</v>
      </c>
      <c r="I19" s="39">
        <f t="shared" si="0"/>
        <v>62399.000768299236</v>
      </c>
      <c r="J19" s="39">
        <f t="shared" si="13"/>
        <v>634698.78176829917</v>
      </c>
      <c r="K19" s="46">
        <v>4.4999999999999998E-2</v>
      </c>
      <c r="L19" s="42">
        <v>42004</v>
      </c>
      <c r="M19" s="43">
        <v>267</v>
      </c>
      <c r="N19" s="39">
        <f t="shared" ref="N19:N27" si="16">J19/M19</f>
        <v>2377.1489953868881</v>
      </c>
      <c r="O19" s="43">
        <v>442</v>
      </c>
      <c r="P19" s="39">
        <f t="shared" ref="P19:P27" si="17">N19*12</f>
        <v>28525.78794464266</v>
      </c>
      <c r="Q19" s="39">
        <f t="shared" ref="Q19:Q27" si="18">N19*12</f>
        <v>28525.78794464266</v>
      </c>
      <c r="R19" s="39">
        <f t="shared" ref="R19:R27" si="19">N19*12</f>
        <v>28525.78794464266</v>
      </c>
      <c r="S19" s="39">
        <f t="shared" ref="S19:S27" si="20">N19*12</f>
        <v>28525.78794464266</v>
      </c>
      <c r="T19" s="39">
        <f t="shared" si="5"/>
        <v>114103.15177857064</v>
      </c>
      <c r="U19" s="39">
        <f t="shared" si="6"/>
        <v>520595.62998972856</v>
      </c>
      <c r="V19" s="43">
        <v>48</v>
      </c>
      <c r="W19" s="43">
        <f t="shared" ref="W19:W27" si="21">M19-V19</f>
        <v>219</v>
      </c>
      <c r="X19" s="39" t="b">
        <f t="shared" ref="X19:X27" si="22">(N19*W19)=U19</f>
        <v>1</v>
      </c>
      <c r="Y19" s="39"/>
      <c r="Z19" s="49">
        <f t="shared" ref="Z19:Z27" si="23">40*12-V19</f>
        <v>432</v>
      </c>
      <c r="AA19" s="49">
        <f>(U19/Z19)*12</f>
        <v>14460.989721936905</v>
      </c>
      <c r="AB19" s="49">
        <f t="shared" ref="AB19:AB27" si="24">U19-AA19</f>
        <v>506134.64026779163</v>
      </c>
      <c r="AC19" s="39">
        <f>(U19/Z19)*12</f>
        <v>14460.989721936905</v>
      </c>
      <c r="AD19" s="39">
        <f t="shared" si="10"/>
        <v>491673.6505458547</v>
      </c>
      <c r="AE19" s="39">
        <f t="shared" ref="AE19:AE27" si="25">(U19/Z19)*12</f>
        <v>14460.989721936905</v>
      </c>
      <c r="AF19" s="39">
        <f t="shared" si="12"/>
        <v>477212.66082391777</v>
      </c>
    </row>
    <row r="20" spans="1:32">
      <c r="A20" s="44" t="s">
        <v>3988</v>
      </c>
      <c r="B20" s="48" t="s">
        <v>3989</v>
      </c>
      <c r="C20" s="39">
        <v>2064091.66</v>
      </c>
      <c r="D20" s="39">
        <v>1646774.24</v>
      </c>
      <c r="E20" s="39">
        <f t="shared" si="14"/>
        <v>1646774.24</v>
      </c>
      <c r="F20" s="39">
        <f t="shared" si="15"/>
        <v>0</v>
      </c>
      <c r="G20" s="39">
        <f>E20*0.85</f>
        <v>1399758.1040000001</v>
      </c>
      <c r="H20" s="40">
        <v>1.9900000000000001E-2</v>
      </c>
      <c r="I20" s="39">
        <f t="shared" si="0"/>
        <v>151431.72137672617</v>
      </c>
      <c r="J20" s="39">
        <f t="shared" si="13"/>
        <v>1551189.8253767262</v>
      </c>
      <c r="K20" s="46">
        <v>4.4999999999999998E-2</v>
      </c>
      <c r="L20" s="42">
        <v>42004</v>
      </c>
      <c r="M20" s="43">
        <v>267</v>
      </c>
      <c r="N20" s="39">
        <f t="shared" si="16"/>
        <v>5809.6997205120833</v>
      </c>
      <c r="O20" s="43">
        <v>442</v>
      </c>
      <c r="P20" s="39">
        <f t="shared" si="17"/>
        <v>69716.396646145004</v>
      </c>
      <c r="Q20" s="39">
        <f t="shared" si="18"/>
        <v>69716.396646145004</v>
      </c>
      <c r="R20" s="39">
        <f t="shared" si="19"/>
        <v>69716.396646145004</v>
      </c>
      <c r="S20" s="39">
        <f t="shared" si="20"/>
        <v>69716.396646145004</v>
      </c>
      <c r="T20" s="39">
        <f t="shared" si="5"/>
        <v>278865.58658458001</v>
      </c>
      <c r="U20" s="39">
        <f t="shared" si="6"/>
        <v>1272324.2387921461</v>
      </c>
      <c r="V20" s="43">
        <v>48</v>
      </c>
      <c r="W20" s="43">
        <f t="shared" si="21"/>
        <v>219</v>
      </c>
      <c r="X20" s="39" t="b">
        <f t="shared" si="22"/>
        <v>1</v>
      </c>
      <c r="Y20" s="39"/>
      <c r="Z20" s="49">
        <f t="shared" si="23"/>
        <v>432</v>
      </c>
      <c r="AA20" s="49">
        <f t="shared" ref="AA20:AA27" si="26">(U20/Z20)*12</f>
        <v>35342.339966448504</v>
      </c>
      <c r="AB20" s="49">
        <f t="shared" si="24"/>
        <v>1236981.8988256976</v>
      </c>
      <c r="AC20" s="39">
        <f t="shared" ref="AC20:AC27" si="27">(U20/Z20)*12</f>
        <v>35342.339966448504</v>
      </c>
      <c r="AD20" s="39">
        <f t="shared" si="10"/>
        <v>1201639.5588592491</v>
      </c>
      <c r="AE20" s="39">
        <f t="shared" si="25"/>
        <v>35342.339966448504</v>
      </c>
      <c r="AF20" s="39">
        <f t="shared" si="12"/>
        <v>1166297.2188928006</v>
      </c>
    </row>
    <row r="21" spans="1:32">
      <c r="A21" s="44" t="s">
        <v>3990</v>
      </c>
      <c r="B21" s="48" t="s">
        <v>3991</v>
      </c>
      <c r="C21" s="39">
        <v>1187079.6799999999</v>
      </c>
      <c r="D21" s="39">
        <v>856502.08</v>
      </c>
      <c r="E21" s="39">
        <f t="shared" si="14"/>
        <v>856502.08</v>
      </c>
      <c r="F21" s="39">
        <f t="shared" si="15"/>
        <v>0</v>
      </c>
      <c r="G21" s="39">
        <f>E21*0.85</f>
        <v>728026.76799999992</v>
      </c>
      <c r="H21" s="40">
        <v>1.17E-2</v>
      </c>
      <c r="I21" s="39">
        <f t="shared" si="0"/>
        <v>89032.720608426956</v>
      </c>
      <c r="J21" s="39">
        <f t="shared" si="13"/>
        <v>817059.48860842688</v>
      </c>
      <c r="K21" s="46">
        <v>4.4999999999999998E-2</v>
      </c>
      <c r="L21" s="42">
        <v>42004</v>
      </c>
      <c r="M21" s="43">
        <v>267</v>
      </c>
      <c r="N21" s="39">
        <f t="shared" si="16"/>
        <v>3060.1478974098386</v>
      </c>
      <c r="O21" s="43">
        <v>442</v>
      </c>
      <c r="P21" s="39">
        <f t="shared" si="17"/>
        <v>36721.774768918061</v>
      </c>
      <c r="Q21" s="39">
        <f t="shared" si="18"/>
        <v>36721.774768918061</v>
      </c>
      <c r="R21" s="39">
        <f t="shared" si="19"/>
        <v>36721.774768918061</v>
      </c>
      <c r="S21" s="39">
        <f t="shared" si="20"/>
        <v>36721.774768918061</v>
      </c>
      <c r="T21" s="39">
        <f t="shared" si="5"/>
        <v>146887.09907567225</v>
      </c>
      <c r="U21" s="39">
        <f t="shared" si="6"/>
        <v>670172.38953275466</v>
      </c>
      <c r="V21" s="43">
        <v>48</v>
      </c>
      <c r="W21" s="43">
        <f t="shared" si="21"/>
        <v>219</v>
      </c>
      <c r="X21" s="39" t="b">
        <f t="shared" si="22"/>
        <v>1</v>
      </c>
      <c r="Y21" s="39"/>
      <c r="Z21" s="49">
        <f t="shared" si="23"/>
        <v>432</v>
      </c>
      <c r="AA21" s="49">
        <f t="shared" si="26"/>
        <v>18615.899709243185</v>
      </c>
      <c r="AB21" s="49">
        <f t="shared" si="24"/>
        <v>651556.48982351145</v>
      </c>
      <c r="AC21" s="39">
        <f t="shared" si="27"/>
        <v>18615.899709243185</v>
      </c>
      <c r="AD21" s="39">
        <f t="shared" si="10"/>
        <v>632940.59011426824</v>
      </c>
      <c r="AE21" s="39">
        <f t="shared" si="25"/>
        <v>18615.899709243185</v>
      </c>
      <c r="AF21" s="39">
        <f t="shared" si="12"/>
        <v>614324.69040502503</v>
      </c>
    </row>
    <row r="22" spans="1:32">
      <c r="A22" s="44"/>
      <c r="B22" s="45"/>
      <c r="C22" s="39"/>
      <c r="D22" s="39">
        <v>90574.19</v>
      </c>
      <c r="E22" s="39">
        <f>D22*99.4737645905%</f>
        <v>90097.55654035219</v>
      </c>
      <c r="F22" s="39">
        <f t="shared" si="15"/>
        <v>476.63345964781183</v>
      </c>
      <c r="G22" s="39">
        <f>E22*0.85-0.01</f>
        <v>76582.913059299361</v>
      </c>
      <c r="H22" s="40"/>
      <c r="I22" s="39"/>
      <c r="J22" s="39">
        <f>G22</f>
        <v>76582.913059299361</v>
      </c>
      <c r="K22" s="47"/>
      <c r="M22" s="43">
        <v>267</v>
      </c>
      <c r="N22" s="39">
        <f t="shared" si="16"/>
        <v>286.82738973520361</v>
      </c>
      <c r="P22" s="39">
        <f t="shared" si="17"/>
        <v>3441.9286768224433</v>
      </c>
      <c r="Q22" s="39">
        <f t="shared" si="18"/>
        <v>3441.9286768224433</v>
      </c>
      <c r="R22" s="39">
        <f t="shared" si="19"/>
        <v>3441.9286768224433</v>
      </c>
      <c r="S22" s="39">
        <f t="shared" si="20"/>
        <v>3441.9286768224433</v>
      </c>
      <c r="T22" s="39">
        <f t="shared" si="5"/>
        <v>13767.714707289773</v>
      </c>
      <c r="U22" s="39">
        <f t="shared" si="6"/>
        <v>62815.198352009589</v>
      </c>
      <c r="V22" s="43">
        <v>48</v>
      </c>
      <c r="W22" s="43">
        <f t="shared" si="21"/>
        <v>219</v>
      </c>
      <c r="X22" s="39" t="b">
        <f t="shared" si="22"/>
        <v>1</v>
      </c>
      <c r="Y22" s="39"/>
      <c r="Z22" s="39">
        <v>361</v>
      </c>
      <c r="AA22" s="39">
        <f t="shared" si="26"/>
        <v>2088.0398344158311</v>
      </c>
      <c r="AB22" s="39">
        <f t="shared" si="24"/>
        <v>60727.158517593758</v>
      </c>
      <c r="AC22" s="39">
        <f t="shared" si="27"/>
        <v>2088.0398344158311</v>
      </c>
      <c r="AD22" s="39">
        <f t="shared" si="10"/>
        <v>58639.118683177927</v>
      </c>
      <c r="AE22" s="39">
        <f t="shared" si="25"/>
        <v>2088.0398344158311</v>
      </c>
      <c r="AF22" s="39">
        <f t="shared" si="12"/>
        <v>56551.078848762096</v>
      </c>
    </row>
    <row r="23" spans="1:32">
      <c r="A23" s="44" t="s">
        <v>537</v>
      </c>
      <c r="B23" s="48" t="s">
        <v>3992</v>
      </c>
      <c r="C23" s="39">
        <v>767386.42</v>
      </c>
      <c r="D23" s="39">
        <v>612236.47</v>
      </c>
      <c r="E23" s="39">
        <f t="shared" si="14"/>
        <v>612236.47</v>
      </c>
      <c r="F23" s="39">
        <f t="shared" si="15"/>
        <v>0</v>
      </c>
      <c r="G23" s="39">
        <f>E23*0.85</f>
        <v>520400.99949999998</v>
      </c>
      <c r="H23" s="40">
        <v>7.4000000000000003E-3</v>
      </c>
      <c r="I23" s="39">
        <f t="shared" si="0"/>
        <v>56311.293376270041</v>
      </c>
      <c r="J23" s="39">
        <f t="shared" si="13"/>
        <v>576712.29287627002</v>
      </c>
      <c r="K23" s="46">
        <v>4.4999999999999998E-2</v>
      </c>
      <c r="L23" s="42">
        <v>42004</v>
      </c>
      <c r="M23" s="43">
        <v>267</v>
      </c>
      <c r="N23" s="39">
        <f t="shared" si="16"/>
        <v>2159.9711343680524</v>
      </c>
      <c r="O23" s="43">
        <v>442</v>
      </c>
      <c r="P23" s="39">
        <f t="shared" si="17"/>
        <v>25919.65361241663</v>
      </c>
      <c r="Q23" s="39">
        <f t="shared" si="18"/>
        <v>25919.65361241663</v>
      </c>
      <c r="R23" s="39">
        <f t="shared" si="19"/>
        <v>25919.65361241663</v>
      </c>
      <c r="S23" s="39">
        <f t="shared" si="20"/>
        <v>25919.65361241663</v>
      </c>
      <c r="T23" s="39">
        <f t="shared" si="5"/>
        <v>103678.61444966652</v>
      </c>
      <c r="U23" s="39">
        <f t="shared" si="6"/>
        <v>473033.6784266035</v>
      </c>
      <c r="V23" s="43">
        <v>48</v>
      </c>
      <c r="W23" s="43">
        <f t="shared" si="21"/>
        <v>219</v>
      </c>
      <c r="X23" s="39" t="b">
        <f t="shared" si="22"/>
        <v>1</v>
      </c>
      <c r="Y23" s="39"/>
      <c r="Z23" s="49">
        <f t="shared" si="23"/>
        <v>432</v>
      </c>
      <c r="AA23" s="49">
        <f t="shared" si="26"/>
        <v>13139.824400738988</v>
      </c>
      <c r="AB23" s="49">
        <f t="shared" si="24"/>
        <v>459893.85402586451</v>
      </c>
      <c r="AC23" s="39">
        <f t="shared" si="27"/>
        <v>13139.824400738988</v>
      </c>
      <c r="AD23" s="39">
        <f t="shared" si="10"/>
        <v>446754.02962512552</v>
      </c>
      <c r="AE23" s="39">
        <f t="shared" si="25"/>
        <v>13139.824400738988</v>
      </c>
      <c r="AF23" s="39">
        <f t="shared" si="12"/>
        <v>433614.20522438653</v>
      </c>
    </row>
    <row r="24" spans="1:32">
      <c r="A24" s="44" t="s">
        <v>537</v>
      </c>
      <c r="B24" s="48" t="s">
        <v>3993</v>
      </c>
      <c r="C24" s="39">
        <v>365013.59</v>
      </c>
      <c r="D24" s="39">
        <v>291215.25</v>
      </c>
      <c r="E24" s="39">
        <f t="shared" si="14"/>
        <v>291215.25</v>
      </c>
      <c r="F24" s="39">
        <f t="shared" si="15"/>
        <v>0</v>
      </c>
      <c r="G24" s="39">
        <f>E24*0.85</f>
        <v>247532.96249999999</v>
      </c>
      <c r="H24" s="40">
        <v>3.5000000000000001E-3</v>
      </c>
      <c r="I24" s="39">
        <f t="shared" si="0"/>
        <v>26633.71984012772</v>
      </c>
      <c r="J24" s="39">
        <f t="shared" si="13"/>
        <v>274166.68234012771</v>
      </c>
      <c r="K24" s="46">
        <v>4.4999999999999998E-2</v>
      </c>
      <c r="L24" s="42">
        <v>42004</v>
      </c>
      <c r="M24" s="43">
        <v>267</v>
      </c>
      <c r="N24" s="39">
        <f t="shared" si="16"/>
        <v>1026.8415068918641</v>
      </c>
      <c r="O24" s="43">
        <v>442</v>
      </c>
      <c r="P24" s="39">
        <f t="shared" si="17"/>
        <v>12322.09808270237</v>
      </c>
      <c r="Q24" s="39">
        <f t="shared" si="18"/>
        <v>12322.09808270237</v>
      </c>
      <c r="R24" s="39">
        <f t="shared" si="19"/>
        <v>12322.09808270237</v>
      </c>
      <c r="S24" s="39">
        <f t="shared" si="20"/>
        <v>12322.09808270237</v>
      </c>
      <c r="T24" s="39">
        <f t="shared" si="5"/>
        <v>49288.392330809482</v>
      </c>
      <c r="U24" s="39">
        <f t="shared" si="6"/>
        <v>224878.29000931821</v>
      </c>
      <c r="V24" s="43">
        <v>48</v>
      </c>
      <c r="W24" s="43">
        <f t="shared" si="21"/>
        <v>219</v>
      </c>
      <c r="X24" s="39" t="b">
        <f t="shared" si="22"/>
        <v>1</v>
      </c>
      <c r="Y24" s="39"/>
      <c r="Z24" s="49">
        <f t="shared" si="23"/>
        <v>432</v>
      </c>
      <c r="AA24" s="49">
        <f t="shared" si="26"/>
        <v>6246.6191669255059</v>
      </c>
      <c r="AB24" s="49">
        <f t="shared" si="24"/>
        <v>218631.67084239272</v>
      </c>
      <c r="AC24" s="39">
        <f t="shared" si="27"/>
        <v>6246.6191669255059</v>
      </c>
      <c r="AD24" s="39">
        <f t="shared" si="10"/>
        <v>212385.05167546723</v>
      </c>
      <c r="AE24" s="39">
        <f t="shared" si="25"/>
        <v>6246.6191669255059</v>
      </c>
      <c r="AF24" s="39">
        <f t="shared" si="12"/>
        <v>206138.43250854174</v>
      </c>
    </row>
    <row r="25" spans="1:32">
      <c r="A25" s="44" t="s">
        <v>691</v>
      </c>
      <c r="B25" s="48" t="s">
        <v>3994</v>
      </c>
      <c r="C25" s="39">
        <v>79254.740000000005</v>
      </c>
      <c r="D25" s="39">
        <v>63231.040000000001</v>
      </c>
      <c r="E25" s="39">
        <f t="shared" si="14"/>
        <v>63231.040000000001</v>
      </c>
      <c r="F25" s="39">
        <f t="shared" si="15"/>
        <v>0</v>
      </c>
      <c r="G25" s="39">
        <f>E25*0.85</f>
        <v>53746.383999999998</v>
      </c>
      <c r="H25" s="40">
        <v>8.0000000000000004E-4</v>
      </c>
      <c r="I25" s="39">
        <f t="shared" si="0"/>
        <v>6087.7073920291932</v>
      </c>
      <c r="J25" s="39">
        <f t="shared" si="13"/>
        <v>59834.091392029193</v>
      </c>
      <c r="K25" s="46">
        <v>4.4999999999999998E-2</v>
      </c>
      <c r="L25" s="42">
        <v>42004</v>
      </c>
      <c r="M25" s="43">
        <v>267</v>
      </c>
      <c r="N25" s="39">
        <f t="shared" si="16"/>
        <v>224.09772056939772</v>
      </c>
      <c r="O25" s="43">
        <v>442</v>
      </c>
      <c r="P25" s="39">
        <f t="shared" si="17"/>
        <v>2689.1726468327724</v>
      </c>
      <c r="Q25" s="39">
        <f t="shared" si="18"/>
        <v>2689.1726468327724</v>
      </c>
      <c r="R25" s="39">
        <f t="shared" si="19"/>
        <v>2689.1726468327724</v>
      </c>
      <c r="S25" s="39">
        <f t="shared" si="20"/>
        <v>2689.1726468327724</v>
      </c>
      <c r="T25" s="39">
        <f t="shared" si="5"/>
        <v>10756.69058733109</v>
      </c>
      <c r="U25" s="39">
        <f t="shared" si="6"/>
        <v>49077.400804698103</v>
      </c>
      <c r="V25" s="43">
        <v>48</v>
      </c>
      <c r="W25" s="43">
        <f t="shared" si="21"/>
        <v>219</v>
      </c>
      <c r="X25" s="39" t="b">
        <f t="shared" si="22"/>
        <v>1</v>
      </c>
      <c r="Y25" s="39"/>
      <c r="Z25" s="49">
        <f t="shared" si="23"/>
        <v>432</v>
      </c>
      <c r="AA25" s="49">
        <f t="shared" si="26"/>
        <v>1363.2611334638364</v>
      </c>
      <c r="AB25" s="49">
        <f t="shared" si="24"/>
        <v>47714.139671234268</v>
      </c>
      <c r="AC25" s="39">
        <f t="shared" si="27"/>
        <v>1363.2611334638364</v>
      </c>
      <c r="AD25" s="39">
        <f t="shared" si="10"/>
        <v>46350.878537770433</v>
      </c>
      <c r="AE25" s="39">
        <f t="shared" si="25"/>
        <v>1363.2611334638364</v>
      </c>
      <c r="AF25" s="39">
        <f t="shared" si="12"/>
        <v>44987.617404306598</v>
      </c>
    </row>
    <row r="26" spans="1:32">
      <c r="A26" s="44" t="s">
        <v>3995</v>
      </c>
      <c r="B26" s="48" t="s">
        <v>3996</v>
      </c>
      <c r="C26" s="39">
        <v>152752.79999999999</v>
      </c>
      <c r="D26" s="39">
        <v>121869.28</v>
      </c>
      <c r="E26" s="39">
        <f t="shared" si="14"/>
        <v>121869.28</v>
      </c>
      <c r="F26" s="39">
        <f t="shared" si="15"/>
        <v>0</v>
      </c>
      <c r="G26" s="39">
        <f>E26*0.85</f>
        <v>103588.88799999999</v>
      </c>
      <c r="H26" s="40">
        <v>1.5E-3</v>
      </c>
      <c r="I26" s="39">
        <f t="shared" si="0"/>
        <v>11414.451360054738</v>
      </c>
      <c r="J26" s="39">
        <f t="shared" si="13"/>
        <v>115003.33936005473</v>
      </c>
      <c r="K26" s="46">
        <v>4.4999999999999998E-2</v>
      </c>
      <c r="L26" s="42">
        <v>42004</v>
      </c>
      <c r="M26" s="43">
        <v>267</v>
      </c>
      <c r="N26" s="39">
        <f t="shared" si="16"/>
        <v>430.72411745338849</v>
      </c>
      <c r="O26" s="43">
        <v>442</v>
      </c>
      <c r="P26" s="39">
        <f t="shared" si="17"/>
        <v>5168.6894094406616</v>
      </c>
      <c r="Q26" s="39">
        <f t="shared" si="18"/>
        <v>5168.6894094406616</v>
      </c>
      <c r="R26" s="39">
        <f t="shared" si="19"/>
        <v>5168.6894094406616</v>
      </c>
      <c r="S26" s="39">
        <f t="shared" si="20"/>
        <v>5168.6894094406616</v>
      </c>
      <c r="T26" s="39">
        <f t="shared" si="5"/>
        <v>20674.757637762646</v>
      </c>
      <c r="U26" s="39">
        <f t="shared" si="6"/>
        <v>94328.581722292089</v>
      </c>
      <c r="V26" s="43">
        <v>48</v>
      </c>
      <c r="W26" s="43">
        <f t="shared" si="21"/>
        <v>219</v>
      </c>
      <c r="X26" s="39" t="b">
        <f t="shared" si="22"/>
        <v>1</v>
      </c>
      <c r="Y26" s="39"/>
      <c r="Z26" s="49">
        <f t="shared" si="23"/>
        <v>432</v>
      </c>
      <c r="AA26" s="49">
        <f t="shared" si="26"/>
        <v>2620.23838117478</v>
      </c>
      <c r="AB26" s="49">
        <f t="shared" si="24"/>
        <v>91708.343341117303</v>
      </c>
      <c r="AC26" s="39">
        <f t="shared" si="27"/>
        <v>2620.23838117478</v>
      </c>
      <c r="AD26" s="39">
        <f t="shared" si="10"/>
        <v>89088.104959942517</v>
      </c>
      <c r="AE26" s="39">
        <f t="shared" si="25"/>
        <v>2620.23838117478</v>
      </c>
      <c r="AF26" s="39">
        <f t="shared" si="12"/>
        <v>86467.866578767731</v>
      </c>
    </row>
    <row r="27" spans="1:32">
      <c r="A27" s="44" t="s">
        <v>3997</v>
      </c>
      <c r="B27" s="48" t="s">
        <v>3998</v>
      </c>
      <c r="C27" s="39">
        <v>360461.8</v>
      </c>
      <c r="D27" s="39">
        <v>287583.74</v>
      </c>
      <c r="E27" s="39">
        <f>D27*100%</f>
        <v>287583.74</v>
      </c>
      <c r="F27" s="39">
        <f>D27-E27</f>
        <v>0</v>
      </c>
      <c r="G27" s="39">
        <f>E27*0.85+0.02</f>
        <v>244446.19899999996</v>
      </c>
      <c r="H27" s="40">
        <v>3.5000000000000001E-3</v>
      </c>
      <c r="I27" s="39">
        <f t="shared" si="0"/>
        <v>26633.71984012772</v>
      </c>
      <c r="J27" s="39">
        <f t="shared" si="13"/>
        <v>271079.91884012771</v>
      </c>
      <c r="K27" s="46">
        <v>4.4999999999999998E-2</v>
      </c>
      <c r="L27" s="42">
        <v>42004</v>
      </c>
      <c r="M27" s="43">
        <v>267</v>
      </c>
      <c r="N27" s="39">
        <f t="shared" si="16"/>
        <v>1015.2805949068453</v>
      </c>
      <c r="O27" s="43">
        <v>442</v>
      </c>
      <c r="P27" s="39">
        <f t="shared" si="17"/>
        <v>12183.367138882144</v>
      </c>
      <c r="Q27" s="39">
        <f t="shared" si="18"/>
        <v>12183.367138882144</v>
      </c>
      <c r="R27" s="39">
        <f t="shared" si="19"/>
        <v>12183.367138882144</v>
      </c>
      <c r="S27" s="39">
        <f t="shared" si="20"/>
        <v>12183.367138882144</v>
      </c>
      <c r="T27" s="39">
        <f t="shared" si="5"/>
        <v>48733.468555528576</v>
      </c>
      <c r="U27" s="39">
        <f t="shared" si="6"/>
        <v>222346.45028459912</v>
      </c>
      <c r="V27" s="43">
        <v>48</v>
      </c>
      <c r="W27" s="43">
        <f t="shared" si="21"/>
        <v>219</v>
      </c>
      <c r="X27" s="39" t="b">
        <f t="shared" si="22"/>
        <v>1</v>
      </c>
      <c r="Y27" s="39"/>
      <c r="Z27" s="49">
        <f t="shared" si="23"/>
        <v>432</v>
      </c>
      <c r="AA27" s="49">
        <f t="shared" si="26"/>
        <v>6176.2902856833089</v>
      </c>
      <c r="AB27" s="49">
        <f t="shared" si="24"/>
        <v>216170.15999891583</v>
      </c>
      <c r="AC27" s="39">
        <f t="shared" si="27"/>
        <v>6176.2902856833089</v>
      </c>
      <c r="AD27" s="39">
        <f t="shared" si="10"/>
        <v>209993.86971323253</v>
      </c>
      <c r="AE27" s="39">
        <f t="shared" si="25"/>
        <v>6176.2902856833089</v>
      </c>
      <c r="AF27" s="39">
        <f t="shared" si="12"/>
        <v>203817.57942754924</v>
      </c>
    </row>
    <row r="28" spans="1:32">
      <c r="D28" s="38">
        <f>SUM(D19:D27)</f>
        <v>4643280.1500000004</v>
      </c>
      <c r="E28" s="38">
        <f>SUM(E19:E27)</f>
        <v>4642803.5165403532</v>
      </c>
      <c r="F28" s="38">
        <f>SUM(F19:F27)</f>
        <v>476.63345964781183</v>
      </c>
      <c r="G28" s="38">
        <f>SUM(G19:G27)</f>
        <v>3946382.999059299</v>
      </c>
      <c r="H28" s="40"/>
      <c r="I28" s="39"/>
      <c r="J28" s="39"/>
      <c r="K28" s="47"/>
      <c r="N28" s="39"/>
      <c r="P28" s="39"/>
      <c r="Q28" s="39"/>
      <c r="R28" s="39"/>
      <c r="S28" s="39"/>
      <c r="T28" s="39">
        <f t="shared" si="5"/>
        <v>0</v>
      </c>
      <c r="U28" s="39">
        <f t="shared" si="6"/>
        <v>0</v>
      </c>
      <c r="X28" s="39"/>
      <c r="Y28" s="39"/>
      <c r="Z28" s="39"/>
      <c r="AA28" s="39"/>
      <c r="AB28" s="39"/>
      <c r="AC28" s="39"/>
      <c r="AD28" s="39">
        <f t="shared" si="10"/>
        <v>0</v>
      </c>
      <c r="AE28" s="39">
        <f t="shared" si="11"/>
        <v>0</v>
      </c>
      <c r="AF28" s="39">
        <f t="shared" si="12"/>
        <v>0</v>
      </c>
    </row>
    <row r="29" spans="1:32">
      <c r="D29" s="50">
        <f>D28-D22+D34</f>
        <v>4803707.55</v>
      </c>
      <c r="E29" s="50">
        <f>E28-E22+E34</f>
        <v>4803707.5500000007</v>
      </c>
      <c r="F29" s="50">
        <f>F28-F22+F34</f>
        <v>0</v>
      </c>
      <c r="G29" s="50">
        <f>G28-G22+G34</f>
        <v>4083151.4374999995</v>
      </c>
      <c r="H29" s="40"/>
      <c r="I29" s="39"/>
      <c r="J29" s="39"/>
      <c r="K29" s="47"/>
      <c r="N29" s="39"/>
      <c r="P29" s="39"/>
      <c r="Q29" s="39"/>
      <c r="R29" s="39"/>
      <c r="S29" s="39"/>
      <c r="T29" s="39">
        <f t="shared" si="5"/>
        <v>0</v>
      </c>
      <c r="U29" s="39">
        <f t="shared" si="6"/>
        <v>0</v>
      </c>
      <c r="X29" s="39"/>
      <c r="Y29" s="39"/>
      <c r="Z29" s="39"/>
      <c r="AA29" s="39"/>
      <c r="AB29" s="39"/>
      <c r="AC29" s="39"/>
      <c r="AD29" s="39">
        <f t="shared" si="10"/>
        <v>0</v>
      </c>
      <c r="AE29" s="39">
        <f t="shared" si="11"/>
        <v>0</v>
      </c>
      <c r="AF29" s="39">
        <f t="shared" si="12"/>
        <v>0</v>
      </c>
    </row>
    <row r="30" spans="1:32">
      <c r="A30" s="44" t="s">
        <v>3999</v>
      </c>
      <c r="B30" s="45" t="s">
        <v>4000</v>
      </c>
      <c r="C30" s="39">
        <v>328358.5</v>
      </c>
      <c r="D30" s="39">
        <v>261971.08</v>
      </c>
      <c r="E30" s="39">
        <f>D30*95.806123%</f>
        <v>250984.33512922839</v>
      </c>
      <c r="F30" s="39">
        <f t="shared" ref="F30:F37" si="28">D30-E30</f>
        <v>10986.744870771596</v>
      </c>
      <c r="G30" s="39">
        <f t="shared" ref="G30:G36" si="29">E30*0.85</f>
        <v>213336.68485984413</v>
      </c>
      <c r="H30" s="40">
        <v>3.2000000000000002E-3</v>
      </c>
      <c r="I30" s="39">
        <f t="shared" si="0"/>
        <v>24350.829568116773</v>
      </c>
      <c r="J30" s="39">
        <f t="shared" si="13"/>
        <v>237687.51442796091</v>
      </c>
      <c r="K30" s="46">
        <v>2.5000000000000001E-2</v>
      </c>
      <c r="L30" s="42">
        <v>42004</v>
      </c>
      <c r="M30" s="43">
        <v>481</v>
      </c>
      <c r="N30" s="39">
        <f t="shared" ref="N30:N37" si="30">J30/M30</f>
        <v>494.15283664856736</v>
      </c>
      <c r="P30" s="39">
        <f t="shared" ref="P30:P37" si="31">N30*12</f>
        <v>5929.8340397828088</v>
      </c>
      <c r="Q30" s="39">
        <f t="shared" ref="Q30:Q37" si="32">N30*12</f>
        <v>5929.8340397828088</v>
      </c>
      <c r="R30" s="39">
        <f t="shared" ref="R30:R37" si="33">N30*12</f>
        <v>5929.8340397828088</v>
      </c>
      <c r="S30" s="39">
        <f t="shared" ref="S30:S37" si="34">N30*12</f>
        <v>5929.8340397828088</v>
      </c>
      <c r="T30" s="39">
        <f t="shared" si="5"/>
        <v>23719.336159131235</v>
      </c>
      <c r="U30" s="39">
        <f t="shared" si="6"/>
        <v>213968.17826882968</v>
      </c>
      <c r="V30" s="43">
        <v>48</v>
      </c>
      <c r="W30" s="43">
        <f t="shared" ref="W30:W37" si="35">M30-V30</f>
        <v>433</v>
      </c>
      <c r="X30" s="39" t="b">
        <f t="shared" ref="X30:X37" si="36">(N30*W30)=U30</f>
        <v>1</v>
      </c>
      <c r="Y30" s="39"/>
      <c r="Z30" s="39"/>
      <c r="AA30" s="39">
        <f>N30*12</f>
        <v>5929.8340397828088</v>
      </c>
      <c r="AB30" s="39">
        <f t="shared" ref="AB30:AB37" si="37">U30-AA30</f>
        <v>208038.34422904687</v>
      </c>
      <c r="AC30" s="39">
        <f>N30*12</f>
        <v>5929.8340397828088</v>
      </c>
      <c r="AD30" s="39">
        <f t="shared" si="10"/>
        <v>202108.51018926405</v>
      </c>
      <c r="AE30" s="39">
        <f t="shared" si="11"/>
        <v>5929.8340397828088</v>
      </c>
      <c r="AF30" s="39">
        <f t="shared" si="12"/>
        <v>196178.67614948124</v>
      </c>
    </row>
    <row r="31" spans="1:32">
      <c r="A31" s="44" t="s">
        <v>4001</v>
      </c>
      <c r="B31" s="48" t="s">
        <v>4002</v>
      </c>
      <c r="C31" s="39">
        <v>128521.2</v>
      </c>
      <c r="D31" s="39">
        <v>102536.82</v>
      </c>
      <c r="E31" s="39">
        <f t="shared" ref="E31:E36" si="38">D31*95.806123%</f>
        <v>98236.551889488605</v>
      </c>
      <c r="F31" s="39">
        <f t="shared" si="28"/>
        <v>4300.2681105114025</v>
      </c>
      <c r="G31" s="39">
        <f t="shared" si="29"/>
        <v>83501.069106065319</v>
      </c>
      <c r="H31" s="40">
        <v>1.1999999999999999E-3</v>
      </c>
      <c r="I31" s="39">
        <f t="shared" si="0"/>
        <v>9131.5610880437889</v>
      </c>
      <c r="J31" s="39">
        <f t="shared" si="13"/>
        <v>92632.630194109108</v>
      </c>
      <c r="K31" s="46">
        <v>4.4999999999999998E-2</v>
      </c>
      <c r="L31" s="42">
        <v>42004</v>
      </c>
      <c r="M31" s="43">
        <v>267</v>
      </c>
      <c r="N31" s="39">
        <f t="shared" si="30"/>
        <v>346.9386898655772</v>
      </c>
      <c r="O31" s="43">
        <v>442</v>
      </c>
      <c r="P31" s="39">
        <f t="shared" si="31"/>
        <v>4163.2642783869269</v>
      </c>
      <c r="Q31" s="39">
        <f t="shared" si="32"/>
        <v>4163.2642783869269</v>
      </c>
      <c r="R31" s="39">
        <f t="shared" si="33"/>
        <v>4163.2642783869269</v>
      </c>
      <c r="S31" s="39">
        <f t="shared" si="34"/>
        <v>4163.2642783869269</v>
      </c>
      <c r="T31" s="39">
        <f t="shared" si="5"/>
        <v>16653.057113547708</v>
      </c>
      <c r="U31" s="39">
        <f t="shared" si="6"/>
        <v>75979.5730805614</v>
      </c>
      <c r="V31" s="43">
        <v>48</v>
      </c>
      <c r="W31" s="43">
        <f t="shared" si="35"/>
        <v>219</v>
      </c>
      <c r="X31" s="39" t="b">
        <f t="shared" si="36"/>
        <v>1</v>
      </c>
      <c r="Y31" s="39"/>
      <c r="Z31" s="49">
        <f>40*12-V31</f>
        <v>432</v>
      </c>
      <c r="AA31" s="49">
        <f>(U31/Z31)*12</f>
        <v>2110.5436966822608</v>
      </c>
      <c r="AB31" s="49">
        <f t="shared" si="37"/>
        <v>73869.02938387914</v>
      </c>
      <c r="AC31" s="39">
        <f>(U31/Z31)*12</f>
        <v>2110.5436966822608</v>
      </c>
      <c r="AD31" s="39">
        <f t="shared" si="10"/>
        <v>71758.48568719688</v>
      </c>
      <c r="AE31" s="39">
        <f>(U31/Z31)*12</f>
        <v>2110.5436966822608</v>
      </c>
      <c r="AF31" s="39">
        <f t="shared" si="12"/>
        <v>69647.941990514621</v>
      </c>
    </row>
    <row r="32" spans="1:32">
      <c r="A32" s="44" t="s">
        <v>524</v>
      </c>
      <c r="B32" s="48" t="s">
        <v>4003</v>
      </c>
      <c r="C32" s="39">
        <v>111786.67</v>
      </c>
      <c r="D32" s="39">
        <v>89185.67</v>
      </c>
      <c r="E32" s="39">
        <f t="shared" si="38"/>
        <v>85445.332698574101</v>
      </c>
      <c r="F32" s="39">
        <f t="shared" si="28"/>
        <v>3740.3373014258977</v>
      </c>
      <c r="G32" s="39">
        <f t="shared" si="29"/>
        <v>72628.532793787977</v>
      </c>
      <c r="H32" s="40">
        <v>1.1000000000000001E-3</v>
      </c>
      <c r="I32" s="39">
        <f t="shared" si="0"/>
        <v>8370.5976640401404</v>
      </c>
      <c r="J32" s="39">
        <f t="shared" si="13"/>
        <v>80999.130457828112</v>
      </c>
      <c r="K32" s="46">
        <v>4.4999999999999998E-2</v>
      </c>
      <c r="L32" s="42">
        <v>42004</v>
      </c>
      <c r="M32" s="43">
        <v>267</v>
      </c>
      <c r="N32" s="39">
        <f t="shared" si="30"/>
        <v>303.36752980459966</v>
      </c>
      <c r="O32" s="43">
        <v>442</v>
      </c>
      <c r="P32" s="39">
        <f t="shared" si="31"/>
        <v>3640.4103576551961</v>
      </c>
      <c r="Q32" s="39">
        <f t="shared" si="32"/>
        <v>3640.4103576551961</v>
      </c>
      <c r="R32" s="39">
        <f t="shared" si="33"/>
        <v>3640.4103576551961</v>
      </c>
      <c r="S32" s="39">
        <f t="shared" si="34"/>
        <v>3640.4103576551961</v>
      </c>
      <c r="T32" s="39">
        <f t="shared" si="5"/>
        <v>14561.641430620784</v>
      </c>
      <c r="U32" s="39">
        <f t="shared" si="6"/>
        <v>66437.489027207324</v>
      </c>
      <c r="V32" s="43">
        <v>48</v>
      </c>
      <c r="W32" s="43">
        <f t="shared" si="35"/>
        <v>219</v>
      </c>
      <c r="X32" s="39" t="b">
        <f t="shared" si="36"/>
        <v>1</v>
      </c>
      <c r="Y32" s="39"/>
      <c r="Z32" s="49">
        <f>40*12-V32</f>
        <v>432</v>
      </c>
      <c r="AA32" s="49">
        <f>(U32/Z32)*12</f>
        <v>1845.4858063113145</v>
      </c>
      <c r="AB32" s="49">
        <f t="shared" si="37"/>
        <v>64592.003220896011</v>
      </c>
      <c r="AC32" s="39">
        <f>(U32/Z32)*12</f>
        <v>1845.4858063113145</v>
      </c>
      <c r="AD32" s="39">
        <f t="shared" si="10"/>
        <v>62746.517414584698</v>
      </c>
      <c r="AE32" s="39">
        <f>(U32/Z32)*12</f>
        <v>1845.4858063113145</v>
      </c>
      <c r="AF32" s="39">
        <f t="shared" si="12"/>
        <v>60901.031608273384</v>
      </c>
    </row>
    <row r="33" spans="1:32">
      <c r="A33" s="44" t="s">
        <v>677</v>
      </c>
      <c r="B33" s="48" t="s">
        <v>4004</v>
      </c>
      <c r="C33" s="39">
        <v>4344426.3899999997</v>
      </c>
      <c r="D33" s="39">
        <f>3012329.07+202740.93</f>
        <v>3215070</v>
      </c>
      <c r="E33" s="39">
        <f t="shared" si="38"/>
        <v>3080233.9187360997</v>
      </c>
      <c r="F33" s="39">
        <f t="shared" si="28"/>
        <v>134836.08126390027</v>
      </c>
      <c r="G33" s="39">
        <f t="shared" si="29"/>
        <v>2618198.8309256849</v>
      </c>
      <c r="H33" s="40">
        <v>4.2000000000000003E-2</v>
      </c>
      <c r="I33" s="39">
        <f t="shared" si="0"/>
        <v>319604.63808153267</v>
      </c>
      <c r="J33" s="39">
        <f t="shared" si="13"/>
        <v>2937803.4690072173</v>
      </c>
      <c r="K33" s="46">
        <v>4.4999999999999998E-2</v>
      </c>
      <c r="L33" s="42">
        <v>42004</v>
      </c>
      <c r="M33" s="43">
        <v>267</v>
      </c>
      <c r="N33" s="39">
        <f t="shared" si="30"/>
        <v>11003.009247218042</v>
      </c>
      <c r="O33" s="43">
        <v>442</v>
      </c>
      <c r="P33" s="39">
        <f t="shared" si="31"/>
        <v>132036.11096661651</v>
      </c>
      <c r="Q33" s="39">
        <f t="shared" si="32"/>
        <v>132036.11096661651</v>
      </c>
      <c r="R33" s="39">
        <f t="shared" si="33"/>
        <v>132036.11096661651</v>
      </c>
      <c r="S33" s="39">
        <f t="shared" si="34"/>
        <v>132036.11096661651</v>
      </c>
      <c r="T33" s="39">
        <f t="shared" si="5"/>
        <v>528144.44386646606</v>
      </c>
      <c r="U33" s="39">
        <f t="shared" si="6"/>
        <v>2409659.0251407512</v>
      </c>
      <c r="V33" s="43">
        <v>48</v>
      </c>
      <c r="W33" s="43">
        <f t="shared" si="35"/>
        <v>219</v>
      </c>
      <c r="X33" s="39" t="b">
        <f t="shared" si="36"/>
        <v>1</v>
      </c>
      <c r="Y33" s="39"/>
      <c r="Z33" s="49">
        <f>40*12-V33</f>
        <v>432</v>
      </c>
      <c r="AA33" s="49">
        <f>(U33/Z33)*12</f>
        <v>66934.972920576431</v>
      </c>
      <c r="AB33" s="49">
        <f t="shared" si="37"/>
        <v>2342724.0522201746</v>
      </c>
      <c r="AC33" s="39">
        <f>(U33/Z33)*12</f>
        <v>66934.972920576431</v>
      </c>
      <c r="AD33" s="39">
        <f t="shared" si="10"/>
        <v>2275789.079299598</v>
      </c>
      <c r="AE33" s="39">
        <f>(U33/Z33)*12</f>
        <v>66934.972920576431</v>
      </c>
      <c r="AF33" s="39">
        <f t="shared" si="12"/>
        <v>2208854.1063790214</v>
      </c>
    </row>
    <row r="34" spans="1:32">
      <c r="A34" s="44"/>
      <c r="B34" s="45"/>
      <c r="C34" s="39"/>
      <c r="D34" s="39">
        <v>251001.59</v>
      </c>
      <c r="E34" s="39">
        <f>D34*100%</f>
        <v>251001.59</v>
      </c>
      <c r="F34" s="39">
        <f t="shared" si="28"/>
        <v>0</v>
      </c>
      <c r="G34" s="39">
        <f t="shared" si="29"/>
        <v>213351.35149999999</v>
      </c>
      <c r="H34" s="40"/>
      <c r="I34" s="39"/>
      <c r="J34" s="39">
        <f>G34</f>
        <v>213351.35149999999</v>
      </c>
      <c r="K34" s="47"/>
      <c r="M34" s="43">
        <v>267</v>
      </c>
      <c r="N34" s="39">
        <f t="shared" si="30"/>
        <v>799.06873220973785</v>
      </c>
      <c r="O34" s="43">
        <v>442</v>
      </c>
      <c r="P34" s="39">
        <f t="shared" si="31"/>
        <v>9588.8247865168541</v>
      </c>
      <c r="Q34" s="39">
        <f t="shared" si="32"/>
        <v>9588.8247865168541</v>
      </c>
      <c r="R34" s="39">
        <f t="shared" si="33"/>
        <v>9588.8247865168541</v>
      </c>
      <c r="S34" s="39">
        <f t="shared" si="34"/>
        <v>9588.8247865168541</v>
      </c>
      <c r="T34" s="39">
        <f t="shared" si="5"/>
        <v>38355.299146067417</v>
      </c>
      <c r="U34" s="39">
        <f t="shared" si="6"/>
        <v>174996.05235393258</v>
      </c>
      <c r="V34" s="43">
        <v>48</v>
      </c>
      <c r="W34" s="43">
        <f t="shared" si="35"/>
        <v>219</v>
      </c>
      <c r="X34" s="39" t="b">
        <f t="shared" si="36"/>
        <v>1</v>
      </c>
      <c r="Y34" s="39"/>
      <c r="Z34" s="39">
        <v>361</v>
      </c>
      <c r="AA34" s="39">
        <f>(U34/Z34)*12</f>
        <v>5817.0432915434649</v>
      </c>
      <c r="AB34" s="39">
        <f t="shared" si="37"/>
        <v>169179.00906238912</v>
      </c>
      <c r="AC34" s="39">
        <f>(U34/Z34)*12</f>
        <v>5817.0432915434649</v>
      </c>
      <c r="AD34" s="39">
        <f t="shared" si="10"/>
        <v>163361.96577084565</v>
      </c>
      <c r="AE34" s="39">
        <f>(U34/Z34)*12</f>
        <v>5817.0432915434649</v>
      </c>
      <c r="AF34" s="39">
        <f t="shared" si="12"/>
        <v>157544.92247930219</v>
      </c>
    </row>
    <row r="35" spans="1:32">
      <c r="A35" s="44" t="s">
        <v>4005</v>
      </c>
      <c r="B35" s="45" t="s">
        <v>4006</v>
      </c>
      <c r="C35" s="39">
        <v>714514.33</v>
      </c>
      <c r="D35" s="39">
        <v>570054.04</v>
      </c>
      <c r="E35" s="39">
        <f t="shared" si="38"/>
        <v>546146.67472886923</v>
      </c>
      <c r="F35" s="39">
        <f t="shared" si="28"/>
        <v>23907.36527113081</v>
      </c>
      <c r="G35" s="39">
        <f t="shared" si="29"/>
        <v>464224.67351953883</v>
      </c>
      <c r="H35" s="40">
        <v>6.8999999999999999E-3</v>
      </c>
      <c r="I35" s="39">
        <f t="shared" si="0"/>
        <v>52506.476256251786</v>
      </c>
      <c r="J35" s="39">
        <f t="shared" si="13"/>
        <v>516731.14977579063</v>
      </c>
      <c r="K35" s="46">
        <v>2.5000000000000001E-2</v>
      </c>
      <c r="L35" s="42">
        <v>42004</v>
      </c>
      <c r="M35" s="43">
        <v>481</v>
      </c>
      <c r="N35" s="39">
        <f t="shared" si="30"/>
        <v>1074.2851346690034</v>
      </c>
      <c r="P35" s="39">
        <f t="shared" si="31"/>
        <v>12891.421616028041</v>
      </c>
      <c r="Q35" s="39">
        <f t="shared" si="32"/>
        <v>12891.421616028041</v>
      </c>
      <c r="R35" s="39">
        <f t="shared" si="33"/>
        <v>12891.421616028041</v>
      </c>
      <c r="S35" s="39">
        <f t="shared" si="34"/>
        <v>12891.421616028041</v>
      </c>
      <c r="T35" s="39">
        <f t="shared" si="5"/>
        <v>51565.686464112165</v>
      </c>
      <c r="U35" s="39">
        <f t="shared" si="6"/>
        <v>465165.4633116785</v>
      </c>
      <c r="V35" s="43">
        <v>48</v>
      </c>
      <c r="W35" s="43">
        <f t="shared" si="35"/>
        <v>433</v>
      </c>
      <c r="X35" s="39" t="b">
        <f t="shared" si="36"/>
        <v>1</v>
      </c>
      <c r="Y35" s="39"/>
      <c r="Z35" s="39"/>
      <c r="AA35" s="39">
        <f>N35*12</f>
        <v>12891.421616028041</v>
      </c>
      <c r="AB35" s="39">
        <f t="shared" si="37"/>
        <v>452274.04169565043</v>
      </c>
      <c r="AC35" s="39">
        <f>N35*12</f>
        <v>12891.421616028041</v>
      </c>
      <c r="AD35" s="39">
        <f t="shared" si="10"/>
        <v>439382.62007962237</v>
      </c>
      <c r="AE35" s="39">
        <f t="shared" si="11"/>
        <v>12891.421616028041</v>
      </c>
      <c r="AF35" s="39">
        <f t="shared" si="12"/>
        <v>426491.19846359431</v>
      </c>
    </row>
    <row r="36" spans="1:32">
      <c r="A36" s="44" t="s">
        <v>4007</v>
      </c>
      <c r="B36" s="45" t="s">
        <v>4008</v>
      </c>
      <c r="C36" s="39">
        <v>127182.44</v>
      </c>
      <c r="D36" s="39">
        <v>101468.73</v>
      </c>
      <c r="E36" s="39">
        <f t="shared" si="38"/>
        <v>97213.256270337894</v>
      </c>
      <c r="F36" s="39">
        <f t="shared" si="28"/>
        <v>4255.4737296621024</v>
      </c>
      <c r="G36" s="39">
        <f t="shared" si="29"/>
        <v>82631.267829787204</v>
      </c>
      <c r="H36" s="40">
        <v>1.1999999999999999E-3</v>
      </c>
      <c r="I36" s="39">
        <f t="shared" si="0"/>
        <v>9131.5610880437889</v>
      </c>
      <c r="J36" s="39">
        <f t="shared" si="13"/>
        <v>91762.828917830993</v>
      </c>
      <c r="K36" s="46">
        <v>2.5000000000000001E-2</v>
      </c>
      <c r="L36" s="42">
        <v>42004</v>
      </c>
      <c r="M36" s="43">
        <v>481</v>
      </c>
      <c r="N36" s="39">
        <f t="shared" si="30"/>
        <v>190.77511209528274</v>
      </c>
      <c r="P36" s="39">
        <f t="shared" si="31"/>
        <v>2289.3013451433926</v>
      </c>
      <c r="Q36" s="39">
        <f t="shared" si="32"/>
        <v>2289.3013451433926</v>
      </c>
      <c r="R36" s="39">
        <f t="shared" si="33"/>
        <v>2289.3013451433926</v>
      </c>
      <c r="S36" s="39">
        <f t="shared" si="34"/>
        <v>2289.3013451433926</v>
      </c>
      <c r="T36" s="39">
        <f t="shared" si="5"/>
        <v>9157.2053805735704</v>
      </c>
      <c r="U36" s="39">
        <f t="shared" si="6"/>
        <v>82605.62353725743</v>
      </c>
      <c r="V36" s="43">
        <v>48</v>
      </c>
      <c r="W36" s="43">
        <f t="shared" si="35"/>
        <v>433</v>
      </c>
      <c r="X36" s="39" t="b">
        <f t="shared" si="36"/>
        <v>1</v>
      </c>
      <c r="Y36" s="39"/>
      <c r="Z36" s="39"/>
      <c r="AA36" s="39">
        <f>N36*12</f>
        <v>2289.3013451433926</v>
      </c>
      <c r="AB36" s="39">
        <f t="shared" si="37"/>
        <v>80316.322192114036</v>
      </c>
      <c r="AC36" s="39">
        <f>N36*12</f>
        <v>2289.3013451433926</v>
      </c>
      <c r="AD36" s="39">
        <f t="shared" si="10"/>
        <v>78027.020846970641</v>
      </c>
      <c r="AE36" s="39">
        <f t="shared" si="11"/>
        <v>2289.3013451433926</v>
      </c>
      <c r="AF36" s="39">
        <f t="shared" si="12"/>
        <v>75737.719501827247</v>
      </c>
    </row>
    <row r="37" spans="1:32">
      <c r="A37" s="44" t="s">
        <v>879</v>
      </c>
      <c r="B37" s="45" t="s">
        <v>4009</v>
      </c>
      <c r="C37" s="39">
        <v>3485622.1</v>
      </c>
      <c r="D37" s="39">
        <v>2943627.59</v>
      </c>
      <c r="E37" s="39">
        <f>D37*95.806123%+0.01</f>
        <v>2820175.4795373352</v>
      </c>
      <c r="F37" s="39">
        <f t="shared" si="28"/>
        <v>123452.11046266463</v>
      </c>
      <c r="G37" s="39">
        <f>E37*0.85-0.01</f>
        <v>2397149.1476067351</v>
      </c>
      <c r="H37" s="40">
        <v>3.56E-2</v>
      </c>
      <c r="I37" s="39">
        <f t="shared" si="0"/>
        <v>270902.97894529911</v>
      </c>
      <c r="J37" s="39">
        <f t="shared" si="13"/>
        <v>2668052.1265520342</v>
      </c>
      <c r="K37" s="46">
        <v>2.5000000000000001E-2</v>
      </c>
      <c r="L37" s="42">
        <v>42004</v>
      </c>
      <c r="M37" s="43">
        <v>481</v>
      </c>
      <c r="N37" s="39">
        <f t="shared" si="30"/>
        <v>5546.8859179875972</v>
      </c>
      <c r="P37" s="39">
        <f t="shared" si="31"/>
        <v>66562.631015851162</v>
      </c>
      <c r="Q37" s="39">
        <f t="shared" si="32"/>
        <v>66562.631015851162</v>
      </c>
      <c r="R37" s="39">
        <f t="shared" si="33"/>
        <v>66562.631015851162</v>
      </c>
      <c r="S37" s="39">
        <f t="shared" si="34"/>
        <v>66562.631015851162</v>
      </c>
      <c r="T37" s="39">
        <f t="shared" si="5"/>
        <v>266250.52406340465</v>
      </c>
      <c r="U37" s="39">
        <f t="shared" si="6"/>
        <v>2401801.6024886295</v>
      </c>
      <c r="V37" s="43">
        <v>48</v>
      </c>
      <c r="W37" s="43">
        <f t="shared" si="35"/>
        <v>433</v>
      </c>
      <c r="X37" s="39" t="b">
        <f t="shared" si="36"/>
        <v>1</v>
      </c>
      <c r="Y37" s="39"/>
      <c r="Z37" s="39"/>
      <c r="AA37" s="39">
        <f>N37*12</f>
        <v>66562.631015851162</v>
      </c>
      <c r="AB37" s="39">
        <f t="shared" si="37"/>
        <v>2335238.9714727784</v>
      </c>
      <c r="AC37" s="39">
        <f>N37*12</f>
        <v>66562.631015851162</v>
      </c>
      <c r="AD37" s="39">
        <f t="shared" si="10"/>
        <v>2268676.3404569272</v>
      </c>
      <c r="AE37" s="39">
        <f t="shared" si="11"/>
        <v>66562.631015851162</v>
      </c>
      <c r="AF37" s="39">
        <f t="shared" si="12"/>
        <v>2202113.709441076</v>
      </c>
    </row>
    <row r="38" spans="1:32">
      <c r="C38" s="39"/>
      <c r="D38" s="38">
        <f>SUM(D30:D37)</f>
        <v>7534915.5199999996</v>
      </c>
      <c r="E38" s="38">
        <f>SUM(E30:E37)</f>
        <v>7229437.1389899328</v>
      </c>
      <c r="F38" s="38">
        <f>SUM(F30:F37)</f>
        <v>305478.38101006672</v>
      </c>
      <c r="G38" s="38">
        <f>SUM(G30:G37)</f>
        <v>6145021.5581414429</v>
      </c>
      <c r="H38" s="40"/>
      <c r="I38" s="39"/>
      <c r="J38" s="39"/>
      <c r="K38" s="47"/>
      <c r="N38" s="39"/>
      <c r="P38" s="39"/>
      <c r="Q38" s="39"/>
      <c r="R38" s="39"/>
      <c r="S38" s="39"/>
      <c r="T38" s="39">
        <f t="shared" si="5"/>
        <v>0</v>
      </c>
      <c r="U38" s="39">
        <f t="shared" si="6"/>
        <v>0</v>
      </c>
      <c r="X38" s="39"/>
      <c r="Y38" s="39"/>
      <c r="Z38" s="39"/>
      <c r="AA38" s="39"/>
      <c r="AB38" s="39"/>
      <c r="AC38" s="39"/>
      <c r="AD38" s="39">
        <f t="shared" si="10"/>
        <v>0</v>
      </c>
      <c r="AE38" s="39">
        <f t="shared" si="11"/>
        <v>0</v>
      </c>
      <c r="AF38" s="39">
        <f t="shared" si="12"/>
        <v>0</v>
      </c>
    </row>
    <row r="39" spans="1:32">
      <c r="D39" s="50">
        <f>D38-D34</f>
        <v>7283913.9299999997</v>
      </c>
      <c r="E39" s="50">
        <f>E38-E34</f>
        <v>6978435.548989933</v>
      </c>
      <c r="F39" s="50">
        <f>F38-F34</f>
        <v>305478.38101006672</v>
      </c>
      <c r="G39" s="50">
        <f>G38-G34</f>
        <v>5931670.2066414431</v>
      </c>
      <c r="H39" s="40"/>
      <c r="I39" s="39"/>
      <c r="J39" s="39"/>
      <c r="K39" s="47"/>
      <c r="N39" s="39"/>
      <c r="P39" s="39"/>
      <c r="Q39" s="39"/>
      <c r="R39" s="39"/>
      <c r="S39" s="39"/>
      <c r="T39" s="39">
        <f t="shared" si="5"/>
        <v>0</v>
      </c>
      <c r="U39" s="39">
        <f t="shared" si="6"/>
        <v>0</v>
      </c>
      <c r="X39" s="39"/>
      <c r="Y39" s="39"/>
      <c r="Z39" s="39"/>
      <c r="AA39" s="39"/>
      <c r="AB39" s="39"/>
      <c r="AC39" s="39"/>
      <c r="AD39" s="39">
        <f t="shared" si="10"/>
        <v>0</v>
      </c>
      <c r="AE39" s="39">
        <f t="shared" si="11"/>
        <v>0</v>
      </c>
      <c r="AF39" s="39">
        <f t="shared" si="12"/>
        <v>0</v>
      </c>
    </row>
    <row r="40" spans="1:32">
      <c r="A40" s="44" t="s">
        <v>4010</v>
      </c>
      <c r="B40" s="45" t="s">
        <v>4011</v>
      </c>
      <c r="C40" s="39">
        <v>6336701.6100000003</v>
      </c>
      <c r="D40" s="39">
        <v>5055549.21</v>
      </c>
      <c r="E40" s="39">
        <f>D40*99.4737645905%</f>
        <v>5028945.1199122816</v>
      </c>
      <c r="F40" s="39">
        <f>D40-E40</f>
        <v>26604.09008771833</v>
      </c>
      <c r="G40" s="39">
        <f>E40*0.85</f>
        <v>4274603.3519254392</v>
      </c>
      <c r="H40" s="40">
        <v>6.1199999999999997E-2</v>
      </c>
      <c r="I40" s="39">
        <f t="shared" si="0"/>
        <v>465709.61549023323</v>
      </c>
      <c r="J40" s="39">
        <f t="shared" si="13"/>
        <v>4740312.9674156727</v>
      </c>
      <c r="K40" s="46">
        <v>2.5000000000000001E-2</v>
      </c>
      <c r="L40" s="42">
        <v>42004</v>
      </c>
      <c r="M40" s="43">
        <v>481</v>
      </c>
      <c r="N40" s="39">
        <f>J40/M40</f>
        <v>9855.1205143776988</v>
      </c>
      <c r="P40" s="39">
        <f>N40*12</f>
        <v>118261.44617253239</v>
      </c>
      <c r="Q40" s="39">
        <f>N40*12</f>
        <v>118261.44617253239</v>
      </c>
      <c r="R40" s="39">
        <f>N40*12</f>
        <v>118261.44617253239</v>
      </c>
      <c r="S40" s="39">
        <f>N40*12</f>
        <v>118261.44617253239</v>
      </c>
      <c r="T40" s="39">
        <f t="shared" si="5"/>
        <v>473045.78469012957</v>
      </c>
      <c r="U40" s="39">
        <f t="shared" si="6"/>
        <v>4267267.1827255432</v>
      </c>
      <c r="V40" s="43">
        <v>48</v>
      </c>
      <c r="W40" s="43">
        <f>M40-V40</f>
        <v>433</v>
      </c>
      <c r="X40" s="39" t="b">
        <f>(N40*W40)=U40</f>
        <v>1</v>
      </c>
      <c r="Y40" s="39"/>
      <c r="Z40" s="39"/>
      <c r="AA40" s="39">
        <f>N40*12</f>
        <v>118261.44617253239</v>
      </c>
      <c r="AB40" s="39">
        <f>U40-AA40</f>
        <v>4149005.7365530105</v>
      </c>
      <c r="AC40" s="39">
        <f>N40*12</f>
        <v>118261.44617253239</v>
      </c>
      <c r="AD40" s="39">
        <f t="shared" si="10"/>
        <v>4030744.2903804779</v>
      </c>
      <c r="AE40" s="39">
        <f t="shared" si="11"/>
        <v>118261.44617253239</v>
      </c>
      <c r="AF40" s="39">
        <f t="shared" si="12"/>
        <v>3912482.8442079453</v>
      </c>
    </row>
    <row r="41" spans="1:32">
      <c r="A41" s="44" t="s">
        <v>4012</v>
      </c>
      <c r="B41" s="45" t="s">
        <v>4013</v>
      </c>
      <c r="C41" s="39">
        <v>2567991.41</v>
      </c>
      <c r="D41" s="39">
        <v>2048795.69</v>
      </c>
      <c r="E41" s="39">
        <f>D41*99.4737645905%</f>
        <v>2038014.20161091</v>
      </c>
      <c r="F41" s="39">
        <f>D41-E41</f>
        <v>10781.488389089936</v>
      </c>
      <c r="G41" s="39">
        <f>E41*0.85</f>
        <v>1732312.0713692734</v>
      </c>
      <c r="H41" s="40">
        <v>2.4799999999999999E-2</v>
      </c>
      <c r="I41" s="39">
        <f t="shared" si="0"/>
        <v>188718.92915290498</v>
      </c>
      <c r="J41" s="39">
        <f t="shared" si="13"/>
        <v>1921031.0005221784</v>
      </c>
      <c r="K41" s="46">
        <v>2.5000000000000001E-2</v>
      </c>
      <c r="L41" s="42">
        <v>42004</v>
      </c>
      <c r="M41" s="43">
        <v>481</v>
      </c>
      <c r="N41" s="39">
        <f>J41/M41</f>
        <v>3993.8274439130528</v>
      </c>
      <c r="P41" s="39">
        <f>N41*12</f>
        <v>47925.929326956633</v>
      </c>
      <c r="Q41" s="39">
        <f>N41*12</f>
        <v>47925.929326956633</v>
      </c>
      <c r="R41" s="39">
        <f>N41*12</f>
        <v>47925.929326956633</v>
      </c>
      <c r="S41" s="39">
        <f>N41*12</f>
        <v>47925.929326956633</v>
      </c>
      <c r="T41" s="39">
        <f t="shared" si="5"/>
        <v>191703.71730782653</v>
      </c>
      <c r="U41" s="39">
        <f t="shared" si="6"/>
        <v>1729327.2832143519</v>
      </c>
      <c r="V41" s="43">
        <v>48</v>
      </c>
      <c r="W41" s="43">
        <f>M41-V41</f>
        <v>433</v>
      </c>
      <c r="X41" s="39" t="b">
        <f>(N41*W41)=U41</f>
        <v>1</v>
      </c>
      <c r="Y41" s="39"/>
      <c r="Z41" s="39"/>
      <c r="AA41" s="39">
        <f>N41*12</f>
        <v>47925.929326956633</v>
      </c>
      <c r="AB41" s="39">
        <f>U41-AA41</f>
        <v>1681401.3538873952</v>
      </c>
      <c r="AC41" s="39">
        <f>N41*12</f>
        <v>47925.929326956633</v>
      </c>
      <c r="AD41" s="39">
        <f t="shared" si="10"/>
        <v>1633475.4245604386</v>
      </c>
      <c r="AE41" s="39">
        <f t="shared" si="11"/>
        <v>47925.929326956633</v>
      </c>
      <c r="AF41" s="39">
        <f t="shared" si="12"/>
        <v>1585549.495233482</v>
      </c>
    </row>
    <row r="42" spans="1:32">
      <c r="A42" s="44" t="s">
        <v>4014</v>
      </c>
      <c r="B42" s="45" t="s">
        <v>4015</v>
      </c>
      <c r="C42" s="39">
        <v>9419361.0700000003</v>
      </c>
      <c r="D42" s="39">
        <v>7514957.5300000003</v>
      </c>
      <c r="E42" s="39">
        <f>D42*99.4737645905%</f>
        <v>7475411.1624682527</v>
      </c>
      <c r="F42" s="39">
        <f>D42-E42</f>
        <v>39546.367531747557</v>
      </c>
      <c r="G42" s="39">
        <f>E42*0.85</f>
        <v>6354099.4880980151</v>
      </c>
      <c r="H42" s="40">
        <v>9.0999999999999998E-2</v>
      </c>
      <c r="I42" s="39">
        <f t="shared" si="0"/>
        <v>692476.71584332071</v>
      </c>
      <c r="J42" s="39">
        <f t="shared" si="13"/>
        <v>7046576.2039413359</v>
      </c>
      <c r="K42" s="46">
        <v>2.5000000000000001E-2</v>
      </c>
      <c r="L42" s="42">
        <v>42004</v>
      </c>
      <c r="M42" s="43">
        <v>481</v>
      </c>
      <c r="N42" s="39">
        <f>J42/M42</f>
        <v>14649.846577840615</v>
      </c>
      <c r="P42" s="39">
        <f>N42*12</f>
        <v>175798.15893408738</v>
      </c>
      <c r="Q42" s="39">
        <f>N42*12</f>
        <v>175798.15893408738</v>
      </c>
      <c r="R42" s="39">
        <f>N42*12</f>
        <v>175798.15893408738</v>
      </c>
      <c r="S42" s="39">
        <f>N42*12</f>
        <v>175798.15893408738</v>
      </c>
      <c r="T42" s="39">
        <f t="shared" si="5"/>
        <v>703192.6357363495</v>
      </c>
      <c r="U42" s="39">
        <f t="shared" si="6"/>
        <v>6343383.5682049859</v>
      </c>
      <c r="V42" s="43">
        <v>48</v>
      </c>
      <c r="W42" s="43">
        <f>M42-V42</f>
        <v>433</v>
      </c>
      <c r="X42" s="39" t="b">
        <f>(N42*W42)=U42</f>
        <v>1</v>
      </c>
      <c r="Y42" s="39"/>
      <c r="Z42" s="39"/>
      <c r="AA42" s="39">
        <f>N42*12</f>
        <v>175798.15893408738</v>
      </c>
      <c r="AB42" s="39">
        <f>U42-AA42</f>
        <v>6167585.4092708984</v>
      </c>
      <c r="AC42" s="39">
        <f>N42*12</f>
        <v>175798.15893408738</v>
      </c>
      <c r="AD42" s="39">
        <f t="shared" si="10"/>
        <v>5991787.2503368109</v>
      </c>
      <c r="AE42" s="39">
        <f t="shared" si="11"/>
        <v>175798.15893408738</v>
      </c>
      <c r="AF42" s="39">
        <f t="shared" si="12"/>
        <v>5815989.0914027235</v>
      </c>
    </row>
    <row r="43" spans="1:32">
      <c r="C43" s="38">
        <f>SUM(C2:C42)</f>
        <v>103811367.36000001</v>
      </c>
      <c r="D43" s="38">
        <f>SUM(D40:D42)</f>
        <v>14619302.43</v>
      </c>
      <c r="E43" s="38">
        <f>SUM(E40:E42)</f>
        <v>14542370.483991444</v>
      </c>
      <c r="F43" s="38">
        <f>SUM(F40:F42)</f>
        <v>76931.946008555824</v>
      </c>
      <c r="G43" s="38">
        <f>SUM(G40:G42)</f>
        <v>12361014.911392728</v>
      </c>
      <c r="H43" s="40">
        <f>SUM(H2:H42)</f>
        <v>0.99999999999999989</v>
      </c>
      <c r="I43" s="38">
        <f>SUM(I2:I42)</f>
        <v>7609634.2400364941</v>
      </c>
      <c r="J43" s="38">
        <f>SUM(J2:J42)</f>
        <v>67546109.069653824</v>
      </c>
      <c r="N43" s="38">
        <f>SUM(N2:N42)</f>
        <v>371777.63028920547</v>
      </c>
      <c r="P43" s="38">
        <f t="shared" ref="P43:U43" si="39">SUM(P2:P42)</f>
        <v>4456735.4000825947</v>
      </c>
      <c r="Q43" s="38">
        <f t="shared" si="39"/>
        <v>4461331.5634704642</v>
      </c>
      <c r="R43" s="38">
        <f t="shared" si="39"/>
        <v>4461331.5634704642</v>
      </c>
      <c r="S43" s="38">
        <f t="shared" si="39"/>
        <v>4461331.5634704642</v>
      </c>
      <c r="T43" s="38">
        <f t="shared" si="39"/>
        <v>17840730.090493988</v>
      </c>
      <c r="U43" s="38">
        <f t="shared" si="39"/>
        <v>49705378.979159832</v>
      </c>
      <c r="AA43" s="51">
        <f t="shared" ref="AA43:AF43" si="40">SUM(AA2:AA42)</f>
        <v>2974276.8627951625</v>
      </c>
      <c r="AB43" s="38">
        <f t="shared" si="40"/>
        <v>46731102.116364665</v>
      </c>
      <c r="AC43" s="38">
        <f t="shared" si="40"/>
        <v>2951296.0424679485</v>
      </c>
      <c r="AD43" s="38">
        <f t="shared" si="40"/>
        <v>43779806.073896714</v>
      </c>
      <c r="AE43" s="38">
        <f t="shared" si="40"/>
        <v>2946699.8824679484</v>
      </c>
      <c r="AF43" s="38">
        <f t="shared" si="40"/>
        <v>40833106.191428766</v>
      </c>
    </row>
    <row r="44" spans="1:32">
      <c r="D44" s="39"/>
      <c r="G44" s="39"/>
      <c r="I44" s="39">
        <f>I43-G58</f>
        <v>0</v>
      </c>
      <c r="J44" s="39">
        <f>G46+G58</f>
        <v>67546109.069653809</v>
      </c>
    </row>
    <row r="45" spans="1:32">
      <c r="G45" s="39"/>
      <c r="J45" s="39">
        <f>J44-J43</f>
        <v>0</v>
      </c>
      <c r="AE45" s="39"/>
    </row>
    <row r="46" spans="1:32">
      <c r="G46" s="39">
        <f>G43+G38+G28+G18+G14+G13+G9+G6+G15</f>
        <v>59936474.829617321</v>
      </c>
    </row>
    <row r="48" spans="1:32" ht="14.25" customHeight="1">
      <c r="B48" s="597" t="s">
        <v>4016</v>
      </c>
      <c r="C48" s="597"/>
      <c r="D48" s="39">
        <v>5683416.5499999998</v>
      </c>
      <c r="E48" s="39">
        <v>2244859.9900000002</v>
      </c>
      <c r="F48" s="39">
        <f t="shared" ref="F48:F57" si="41">D48-E48</f>
        <v>3438556.5599999996</v>
      </c>
      <c r="G48" s="39">
        <f>E48*0.85</f>
        <v>1908130.9915000002</v>
      </c>
    </row>
    <row r="49" spans="1:24" ht="14.25" customHeight="1">
      <c r="B49" s="597" t="s">
        <v>4017</v>
      </c>
      <c r="C49" s="597"/>
      <c r="D49" s="39">
        <v>221171.08</v>
      </c>
      <c r="E49" s="39">
        <f>D49*99.4737645905%</f>
        <v>220007.1994614664</v>
      </c>
      <c r="F49" s="39">
        <f t="shared" si="41"/>
        <v>1163.8805385335872</v>
      </c>
      <c r="G49" s="39">
        <f>E49*0.85</f>
        <v>187006.11954224642</v>
      </c>
    </row>
    <row r="50" spans="1:24">
      <c r="B50" s="597" t="s">
        <v>4018</v>
      </c>
      <c r="C50" s="597"/>
      <c r="D50" s="39">
        <v>2841782.27</v>
      </c>
      <c r="E50" s="39">
        <f>D50*0%</f>
        <v>0</v>
      </c>
      <c r="F50" s="39">
        <f t="shared" si="41"/>
        <v>2841782.27</v>
      </c>
      <c r="G50" s="39">
        <f>E50*0.85</f>
        <v>0</v>
      </c>
    </row>
    <row r="51" spans="1:24">
      <c r="B51" s="597" t="s">
        <v>4019</v>
      </c>
      <c r="C51" s="597"/>
      <c r="D51" s="39">
        <v>6630825.3099999996</v>
      </c>
      <c r="E51" s="39">
        <f>D51*58.810774944%</f>
        <v>3899639.7499938901</v>
      </c>
      <c r="F51" s="39">
        <f t="shared" si="41"/>
        <v>2731185.5600061095</v>
      </c>
      <c r="G51" s="39">
        <f>E51*0.85</f>
        <v>3314693.7874948066</v>
      </c>
    </row>
    <row r="52" spans="1:24">
      <c r="B52" s="597" t="s">
        <v>4020</v>
      </c>
      <c r="C52" s="597"/>
      <c r="D52" s="39">
        <v>305900</v>
      </c>
      <c r="E52" s="39">
        <f>D52*100%</f>
        <v>305900</v>
      </c>
      <c r="F52" s="39">
        <f t="shared" si="41"/>
        <v>0</v>
      </c>
      <c r="G52" s="39">
        <f>E52*0.85</f>
        <v>260015</v>
      </c>
    </row>
    <row r="53" spans="1:24">
      <c r="B53" s="597" t="s">
        <v>4021</v>
      </c>
      <c r="C53" s="597"/>
      <c r="D53" s="39">
        <v>440534.49</v>
      </c>
      <c r="E53" s="39">
        <f>D53*96.1054422776%</f>
        <v>423377.61999986955</v>
      </c>
      <c r="F53" s="39">
        <f t="shared" si="41"/>
        <v>17156.870000130439</v>
      </c>
      <c r="G53" s="39">
        <f>E53*0.85-0.21</f>
        <v>359870.76699988911</v>
      </c>
    </row>
    <row r="54" spans="1:24">
      <c r="B54" s="597" t="s">
        <v>1248</v>
      </c>
      <c r="C54" s="597"/>
      <c r="D54" s="39">
        <v>1152872.67</v>
      </c>
      <c r="E54" s="39">
        <f>D54*99.5824239636%</f>
        <v>1148058.549999875</v>
      </c>
      <c r="F54" s="39">
        <f t="shared" si="41"/>
        <v>4814.120000124909</v>
      </c>
      <c r="G54" s="39">
        <f>E54*0.85-0.01</f>
        <v>975849.75749989378</v>
      </c>
    </row>
    <row r="55" spans="1:24">
      <c r="B55" s="597" t="s">
        <v>4022</v>
      </c>
      <c r="C55" s="597"/>
      <c r="D55" s="39">
        <f>85438+249362</f>
        <v>334800</v>
      </c>
      <c r="E55" s="39">
        <f>D55*25.51911589%</f>
        <v>85437.999999719992</v>
      </c>
      <c r="F55" s="39">
        <f t="shared" si="41"/>
        <v>249362.00000028001</v>
      </c>
      <c r="G55" s="39">
        <f>E55*0.85</f>
        <v>72622.299999761992</v>
      </c>
    </row>
    <row r="56" spans="1:24">
      <c r="B56" s="597" t="s">
        <v>4023</v>
      </c>
      <c r="C56" s="597"/>
      <c r="D56" s="39">
        <v>147000</v>
      </c>
      <c r="E56" s="39">
        <f>D56*85.7142857142%</f>
        <v>125999.99999987399</v>
      </c>
      <c r="F56" s="39">
        <f t="shared" si="41"/>
        <v>21000.000000126005</v>
      </c>
      <c r="G56" s="39">
        <f>E56*0.85</f>
        <v>107099.9999998929</v>
      </c>
    </row>
    <row r="57" spans="1:24">
      <c r="B57" s="597" t="s">
        <v>4024</v>
      </c>
      <c r="C57" s="597"/>
      <c r="D57" s="43">
        <v>499230.02</v>
      </c>
      <c r="E57" s="39">
        <f>D57*100%</f>
        <v>499230.02</v>
      </c>
      <c r="F57" s="39">
        <f t="shared" si="41"/>
        <v>0</v>
      </c>
      <c r="G57" s="39">
        <f>E57*0.85</f>
        <v>424345.51699999999</v>
      </c>
    </row>
    <row r="58" spans="1:24">
      <c r="G58" s="39">
        <f>SUM(G48:G57)</f>
        <v>7609634.2400364913</v>
      </c>
    </row>
    <row r="60" spans="1:24" ht="38.25">
      <c r="G60" s="43" t="s">
        <v>4025</v>
      </c>
      <c r="H60" s="43" t="s">
        <v>4026</v>
      </c>
      <c r="J60" s="43" t="s">
        <v>4027</v>
      </c>
      <c r="K60" s="43" t="s">
        <v>4028</v>
      </c>
      <c r="L60" s="43" t="s">
        <v>4029</v>
      </c>
      <c r="M60" s="43" t="s">
        <v>4030</v>
      </c>
      <c r="N60" s="43" t="s">
        <v>4031</v>
      </c>
      <c r="O60" s="43" t="s">
        <v>4032</v>
      </c>
      <c r="P60" s="43" t="s">
        <v>4033</v>
      </c>
      <c r="Q60" s="35" t="s">
        <v>4034</v>
      </c>
      <c r="R60" s="35" t="s">
        <v>3955</v>
      </c>
      <c r="S60" s="52" t="s">
        <v>4035</v>
      </c>
      <c r="T60" s="53" t="s">
        <v>4036</v>
      </c>
      <c r="U60" s="35" t="s">
        <v>3961</v>
      </c>
      <c r="V60" s="35" t="s">
        <v>3962</v>
      </c>
      <c r="W60" s="35" t="s">
        <v>3963</v>
      </c>
      <c r="X60" s="35" t="s">
        <v>4037</v>
      </c>
    </row>
    <row r="61" spans="1:24">
      <c r="A61" s="44" t="s">
        <v>4038</v>
      </c>
      <c r="B61" s="45" t="s">
        <v>4039</v>
      </c>
      <c r="C61" s="39">
        <v>136560</v>
      </c>
      <c r="D61" s="39">
        <v>136560</v>
      </c>
      <c r="E61" s="39">
        <f>D61*100%</f>
        <v>136560</v>
      </c>
      <c r="F61" s="39">
        <f t="shared" ref="F61:F68" si="42">D61-E61</f>
        <v>0</v>
      </c>
      <c r="G61" s="39">
        <f t="shared" ref="G61:G68" si="43">E61*0.85</f>
        <v>116076</v>
      </c>
      <c r="H61" s="42">
        <v>41609</v>
      </c>
      <c r="I61" s="54">
        <v>0.2</v>
      </c>
      <c r="J61" s="43">
        <v>60</v>
      </c>
      <c r="K61" s="39">
        <f t="shared" ref="K61:K68" si="44">G61/J61</f>
        <v>1934.6</v>
      </c>
      <c r="L61" s="39">
        <f>$K$61*12</f>
        <v>23215.199999999997</v>
      </c>
      <c r="M61" s="39">
        <f>$K$61*12</f>
        <v>23215.199999999997</v>
      </c>
      <c r="N61" s="39">
        <f>$K$61*12</f>
        <v>23215.199999999997</v>
      </c>
      <c r="O61" s="39">
        <f>$K$61*12</f>
        <v>23215.199999999997</v>
      </c>
      <c r="P61" s="39">
        <f>$K$61*12</f>
        <v>23215.199999999997</v>
      </c>
      <c r="Q61" s="39">
        <f t="shared" ref="Q61:Q68" si="45">SUM(L61:P61)</f>
        <v>116075.99999999999</v>
      </c>
      <c r="R61" s="39">
        <f t="shared" ref="R61:R68" si="46">G61-Q61</f>
        <v>0</v>
      </c>
      <c r="S61" s="55">
        <v>0</v>
      </c>
      <c r="T61" s="39">
        <f>R61-S61</f>
        <v>0</v>
      </c>
      <c r="U61" s="39">
        <v>0</v>
      </c>
      <c r="V61" s="39">
        <f>T61-U61</f>
        <v>0</v>
      </c>
      <c r="W61" s="39">
        <v>0</v>
      </c>
      <c r="X61" s="39">
        <f>V61-W61</f>
        <v>0</v>
      </c>
    </row>
    <row r="62" spans="1:24">
      <c r="A62" s="44" t="s">
        <v>4040</v>
      </c>
      <c r="B62" s="45" t="s">
        <v>4041</v>
      </c>
      <c r="C62" s="39">
        <v>236200</v>
      </c>
      <c r="D62" s="39">
        <v>236200</v>
      </c>
      <c r="E62" s="39">
        <f t="shared" ref="E62:E68" si="47">D62*74.03%</f>
        <v>174858.86</v>
      </c>
      <c r="F62" s="39">
        <f t="shared" si="42"/>
        <v>61341.140000000014</v>
      </c>
      <c r="G62" s="39">
        <f t="shared" si="43"/>
        <v>148630.03099999999</v>
      </c>
      <c r="H62" s="42">
        <v>41992</v>
      </c>
      <c r="I62" s="54">
        <v>0.2</v>
      </c>
      <c r="J62" s="43">
        <v>60</v>
      </c>
      <c r="K62" s="39">
        <f t="shared" si="44"/>
        <v>2477.167183333333</v>
      </c>
      <c r="L62" s="43">
        <v>0</v>
      </c>
      <c r="M62" s="39">
        <f>$K$62*12</f>
        <v>29726.006199999996</v>
      </c>
      <c r="N62" s="39">
        <f>$K$62*12</f>
        <v>29726.006199999996</v>
      </c>
      <c r="O62" s="39">
        <f>$K$62*12</f>
        <v>29726.006199999996</v>
      </c>
      <c r="P62" s="39">
        <f>$K$62*12</f>
        <v>29726.006199999996</v>
      </c>
      <c r="Q62" s="39">
        <f t="shared" si="45"/>
        <v>118904.02479999998</v>
      </c>
      <c r="R62" s="39">
        <f t="shared" si="46"/>
        <v>29726.006200000003</v>
      </c>
      <c r="S62" s="55">
        <f t="shared" ref="S62:S68" si="48">K62*12</f>
        <v>29726.006199999996</v>
      </c>
      <c r="T62" s="39">
        <f t="shared" ref="T62:T68" si="49">R62-S62</f>
        <v>0</v>
      </c>
      <c r="U62" s="39">
        <v>0</v>
      </c>
      <c r="V62" s="39">
        <f t="shared" ref="V62:V68" si="50">T62-U62</f>
        <v>0</v>
      </c>
      <c r="W62" s="39">
        <v>0</v>
      </c>
      <c r="X62" s="39">
        <f t="shared" ref="X62:X68" si="51">V62-W62</f>
        <v>0</v>
      </c>
    </row>
    <row r="63" spans="1:24">
      <c r="A63" s="44" t="s">
        <v>4042</v>
      </c>
      <c r="B63" s="45" t="s">
        <v>4043</v>
      </c>
      <c r="C63" s="39">
        <v>190510</v>
      </c>
      <c r="D63" s="39">
        <v>190510</v>
      </c>
      <c r="E63" s="39">
        <f t="shared" si="47"/>
        <v>141034.55299999999</v>
      </c>
      <c r="F63" s="39">
        <f t="shared" si="42"/>
        <v>49475.447000000015</v>
      </c>
      <c r="G63" s="39">
        <f t="shared" si="43"/>
        <v>119879.37004999998</v>
      </c>
      <c r="H63" s="42">
        <v>42128</v>
      </c>
      <c r="I63" s="54">
        <v>0.1</v>
      </c>
      <c r="J63" s="43">
        <v>120</v>
      </c>
      <c r="K63" s="39">
        <f t="shared" si="44"/>
        <v>998.99475041666653</v>
      </c>
      <c r="L63" s="43">
        <v>0</v>
      </c>
      <c r="M63" s="39">
        <f>K63*7</f>
        <v>6992.9632529166656</v>
      </c>
      <c r="N63" s="39">
        <f>$K$63*12</f>
        <v>11987.937004999998</v>
      </c>
      <c r="O63" s="39">
        <f>$K$63*12</f>
        <v>11987.937004999998</v>
      </c>
      <c r="P63" s="39">
        <f>$K$63*12</f>
        <v>11987.937004999998</v>
      </c>
      <c r="Q63" s="39">
        <f t="shared" si="45"/>
        <v>42956.774267916662</v>
      </c>
      <c r="R63" s="39">
        <f t="shared" si="46"/>
        <v>76922.595782083314</v>
      </c>
      <c r="S63" s="55">
        <f t="shared" si="48"/>
        <v>11987.937004999998</v>
      </c>
      <c r="T63" s="39">
        <f t="shared" si="49"/>
        <v>64934.658777083314</v>
      </c>
      <c r="U63" s="39">
        <f>K63*12</f>
        <v>11987.937004999998</v>
      </c>
      <c r="V63" s="39">
        <f t="shared" si="50"/>
        <v>52946.721772083314</v>
      </c>
      <c r="W63" s="39">
        <f>K63*12</f>
        <v>11987.937004999998</v>
      </c>
      <c r="X63" s="39">
        <f>V63-W63</f>
        <v>40958.784767083314</v>
      </c>
    </row>
    <row r="64" spans="1:24">
      <c r="A64" s="44" t="s">
        <v>710</v>
      </c>
      <c r="B64" s="45" t="s">
        <v>4044</v>
      </c>
      <c r="C64" s="39">
        <v>79990</v>
      </c>
      <c r="D64" s="39">
        <v>79990</v>
      </c>
      <c r="E64" s="39">
        <f t="shared" si="47"/>
        <v>59216.596999999994</v>
      </c>
      <c r="F64" s="39">
        <f t="shared" si="42"/>
        <v>20773.403000000006</v>
      </c>
      <c r="G64" s="39">
        <f t="shared" si="43"/>
        <v>50334.107449999996</v>
      </c>
      <c r="H64" s="42">
        <v>42128</v>
      </c>
      <c r="I64" s="54">
        <v>0.1</v>
      </c>
      <c r="J64" s="43">
        <v>120</v>
      </c>
      <c r="K64" s="39">
        <f t="shared" si="44"/>
        <v>419.45089541666664</v>
      </c>
      <c r="L64" s="43">
        <v>0</v>
      </c>
      <c r="M64" s="39">
        <f>K64*7</f>
        <v>2936.1562679166664</v>
      </c>
      <c r="N64" s="39">
        <f>$K$64*12</f>
        <v>5033.4107449999992</v>
      </c>
      <c r="O64" s="39">
        <f>$K$64*12</f>
        <v>5033.4107449999992</v>
      </c>
      <c r="P64" s="39">
        <f>$K$64*12</f>
        <v>5033.4107449999992</v>
      </c>
      <c r="Q64" s="39">
        <f t="shared" si="45"/>
        <v>18036.388502916663</v>
      </c>
      <c r="R64" s="39">
        <f t="shared" si="46"/>
        <v>32297.718947083333</v>
      </c>
      <c r="S64" s="55">
        <f t="shared" si="48"/>
        <v>5033.4107449999992</v>
      </c>
      <c r="T64" s="39">
        <f t="shared" si="49"/>
        <v>27264.308202083332</v>
      </c>
      <c r="U64" s="39">
        <f>K64*12</f>
        <v>5033.4107449999992</v>
      </c>
      <c r="V64" s="39">
        <f t="shared" si="50"/>
        <v>22230.897457083331</v>
      </c>
      <c r="W64" s="39">
        <f t="shared" ref="W64:W67" si="52">K64*12</f>
        <v>5033.4107449999992</v>
      </c>
      <c r="X64" s="39">
        <f>V64-W64</f>
        <v>17197.48671208333</v>
      </c>
    </row>
    <row r="65" spans="1:25">
      <c r="A65" s="44" t="s">
        <v>4045</v>
      </c>
      <c r="B65" s="45" t="s">
        <v>4046</v>
      </c>
      <c r="C65" s="39">
        <v>75150</v>
      </c>
      <c r="D65" s="39">
        <f>C65</f>
        <v>75150</v>
      </c>
      <c r="E65" s="39">
        <f t="shared" si="47"/>
        <v>55633.544999999998</v>
      </c>
      <c r="F65" s="39">
        <f t="shared" si="42"/>
        <v>19516.455000000002</v>
      </c>
      <c r="G65" s="39">
        <f t="shared" si="43"/>
        <v>47288.513249999996</v>
      </c>
      <c r="H65" s="42">
        <v>42185</v>
      </c>
      <c r="I65" s="54">
        <v>0.14000000000000001</v>
      </c>
      <c r="J65" s="43">
        <v>86</v>
      </c>
      <c r="K65" s="39">
        <f t="shared" si="44"/>
        <v>549.86643313953482</v>
      </c>
      <c r="L65" s="43">
        <v>0</v>
      </c>
      <c r="M65" s="39">
        <f>K65*6</f>
        <v>3299.1985988372089</v>
      </c>
      <c r="N65" s="39">
        <f>$K$65*12</f>
        <v>6598.3971976744178</v>
      </c>
      <c r="O65" s="39">
        <f>$K$65*12</f>
        <v>6598.3971976744178</v>
      </c>
      <c r="P65" s="39">
        <f>$K$65*12</f>
        <v>6598.3971976744178</v>
      </c>
      <c r="Q65" s="39">
        <f t="shared" si="45"/>
        <v>23094.390191860464</v>
      </c>
      <c r="R65" s="39">
        <f t="shared" si="46"/>
        <v>24194.123058139532</v>
      </c>
      <c r="S65" s="55">
        <f t="shared" si="48"/>
        <v>6598.3971976744178</v>
      </c>
      <c r="T65" s="39">
        <f t="shared" si="49"/>
        <v>17595.725860465114</v>
      </c>
      <c r="U65" s="39">
        <f>K65*12</f>
        <v>6598.3971976744178</v>
      </c>
      <c r="V65" s="39">
        <f t="shared" si="50"/>
        <v>10997.328662790696</v>
      </c>
      <c r="W65" s="39">
        <f t="shared" si="52"/>
        <v>6598.3971976744178</v>
      </c>
      <c r="X65" s="39">
        <f t="shared" si="51"/>
        <v>4398.9314651162786</v>
      </c>
    </row>
    <row r="66" spans="1:25">
      <c r="A66" s="44" t="s">
        <v>4045</v>
      </c>
      <c r="B66" s="45" t="s">
        <v>4047</v>
      </c>
      <c r="C66" s="39">
        <v>95900</v>
      </c>
      <c r="D66" s="39">
        <f>C66</f>
        <v>95900</v>
      </c>
      <c r="E66" s="39">
        <f t="shared" si="47"/>
        <v>70994.76999999999</v>
      </c>
      <c r="F66" s="39">
        <f t="shared" si="42"/>
        <v>24905.23000000001</v>
      </c>
      <c r="G66" s="39">
        <f t="shared" si="43"/>
        <v>60345.554499999991</v>
      </c>
      <c r="H66" s="42">
        <v>42185</v>
      </c>
      <c r="I66" s="54">
        <v>0.14000000000000001</v>
      </c>
      <c r="J66" s="43">
        <v>86</v>
      </c>
      <c r="K66" s="39">
        <f t="shared" si="44"/>
        <v>701.69249418604636</v>
      </c>
      <c r="L66" s="43">
        <v>0</v>
      </c>
      <c r="M66" s="39">
        <f>K66*6</f>
        <v>4210.1549651162786</v>
      </c>
      <c r="N66" s="39">
        <f>$K$66*12</f>
        <v>8420.3099302325572</v>
      </c>
      <c r="O66" s="39">
        <f>$K$66*12</f>
        <v>8420.3099302325572</v>
      </c>
      <c r="P66" s="39">
        <f>$K$66*12</f>
        <v>8420.3099302325572</v>
      </c>
      <c r="Q66" s="39">
        <f t="shared" si="45"/>
        <v>29471.08475581395</v>
      </c>
      <c r="R66" s="39">
        <f t="shared" si="46"/>
        <v>30874.469744186041</v>
      </c>
      <c r="S66" s="55">
        <f t="shared" si="48"/>
        <v>8420.3099302325572</v>
      </c>
      <c r="T66" s="39">
        <f t="shared" si="49"/>
        <v>22454.159813953484</v>
      </c>
      <c r="U66" s="39">
        <f>K66*12</f>
        <v>8420.3099302325572</v>
      </c>
      <c r="V66" s="39">
        <f t="shared" si="50"/>
        <v>14033.849883720926</v>
      </c>
      <c r="W66" s="39">
        <f t="shared" si="52"/>
        <v>8420.3099302325572</v>
      </c>
      <c r="X66" s="39">
        <f t="shared" si="51"/>
        <v>5613.5399534883691</v>
      </c>
    </row>
    <row r="67" spans="1:25">
      <c r="A67" s="44" t="s">
        <v>4045</v>
      </c>
      <c r="B67" s="45" t="s">
        <v>4048</v>
      </c>
      <c r="C67" s="39">
        <v>108950</v>
      </c>
      <c r="D67" s="39">
        <f>C67</f>
        <v>108950</v>
      </c>
      <c r="E67" s="39">
        <f t="shared" si="47"/>
        <v>80655.684999999998</v>
      </c>
      <c r="F67" s="39">
        <f t="shared" si="42"/>
        <v>28294.315000000002</v>
      </c>
      <c r="G67" s="39">
        <f t="shared" si="43"/>
        <v>68557.332249999992</v>
      </c>
      <c r="H67" s="42">
        <v>42185</v>
      </c>
      <c r="I67" s="54">
        <v>0.14000000000000001</v>
      </c>
      <c r="J67" s="43">
        <v>86</v>
      </c>
      <c r="K67" s="39">
        <f t="shared" si="44"/>
        <v>797.17828197674407</v>
      </c>
      <c r="L67" s="43">
        <v>0</v>
      </c>
      <c r="M67" s="39">
        <f>K67*6</f>
        <v>4783.0696918604644</v>
      </c>
      <c r="N67" s="39">
        <f>$K$67*12</f>
        <v>9566.1393837209289</v>
      </c>
      <c r="O67" s="39">
        <f>$K$67*12</f>
        <v>9566.1393837209289</v>
      </c>
      <c r="P67" s="39">
        <f>$K$67*12</f>
        <v>9566.1393837209289</v>
      </c>
      <c r="Q67" s="39">
        <f t="shared" si="45"/>
        <v>33481.487843023249</v>
      </c>
      <c r="R67" s="39">
        <f t="shared" si="46"/>
        <v>35075.844406976743</v>
      </c>
      <c r="S67" s="55">
        <f t="shared" si="48"/>
        <v>9566.1393837209289</v>
      </c>
      <c r="T67" s="39">
        <f t="shared" si="49"/>
        <v>25509.705023255814</v>
      </c>
      <c r="U67" s="39">
        <f>K67*12</f>
        <v>9566.1393837209289</v>
      </c>
      <c r="V67" s="39">
        <f t="shared" si="50"/>
        <v>15943.565639534885</v>
      </c>
      <c r="W67" s="39">
        <f t="shared" si="52"/>
        <v>9566.1393837209289</v>
      </c>
      <c r="X67" s="39">
        <f t="shared" si="51"/>
        <v>6377.4262558139562</v>
      </c>
    </row>
    <row r="68" spans="1:25">
      <c r="A68" s="44" t="s">
        <v>4049</v>
      </c>
      <c r="B68" s="45" t="s">
        <v>4050</v>
      </c>
      <c r="C68" s="39">
        <v>195121.95</v>
      </c>
      <c r="D68" s="39">
        <f>C68</f>
        <v>195121.95</v>
      </c>
      <c r="E68" s="39">
        <f t="shared" si="47"/>
        <v>144448.77958500001</v>
      </c>
      <c r="F68" s="39">
        <f t="shared" si="42"/>
        <v>50673.170415000001</v>
      </c>
      <c r="G68" s="39">
        <f t="shared" si="43"/>
        <v>122781.46264725001</v>
      </c>
      <c r="H68" s="42">
        <v>42230</v>
      </c>
      <c r="I68" s="54">
        <v>0.2</v>
      </c>
      <c r="J68" s="43">
        <v>60</v>
      </c>
      <c r="K68" s="39">
        <f t="shared" si="44"/>
        <v>2046.3577107875001</v>
      </c>
      <c r="L68" s="43">
        <v>0</v>
      </c>
      <c r="M68" s="39">
        <f>K68*4</f>
        <v>8185.4308431500003</v>
      </c>
      <c r="N68" s="39">
        <f>$K$68*12</f>
        <v>24556.292529450002</v>
      </c>
      <c r="O68" s="39">
        <f>$K$68*12</f>
        <v>24556.292529450002</v>
      </c>
      <c r="P68" s="39">
        <f>$K$68*12</f>
        <v>24556.292529450002</v>
      </c>
      <c r="Q68" s="39">
        <f t="shared" si="45"/>
        <v>81854.308431500001</v>
      </c>
      <c r="R68" s="39">
        <f t="shared" si="46"/>
        <v>40927.154215750008</v>
      </c>
      <c r="S68" s="55">
        <f t="shared" si="48"/>
        <v>24556.292529450002</v>
      </c>
      <c r="T68" s="39">
        <f t="shared" si="49"/>
        <v>16370.861686300006</v>
      </c>
      <c r="U68" s="39">
        <v>16370.86</v>
      </c>
      <c r="V68" s="39">
        <f t="shared" si="50"/>
        <v>1.6863000055309385E-3</v>
      </c>
      <c r="W68" s="39">
        <v>0</v>
      </c>
      <c r="X68" s="39">
        <f t="shared" si="51"/>
        <v>1.6863000055309385E-3</v>
      </c>
    </row>
    <row r="69" spans="1:25">
      <c r="C69" s="39"/>
      <c r="D69" s="39"/>
      <c r="E69" s="39"/>
      <c r="F69" s="39"/>
      <c r="G69" s="39"/>
      <c r="K69" s="38">
        <f t="shared" ref="K69:V69" si="53">SUM(K61:K68)</f>
        <v>9925.3077492564917</v>
      </c>
      <c r="L69" s="38">
        <f t="shared" si="53"/>
        <v>23215.199999999997</v>
      </c>
      <c r="M69" s="38">
        <f t="shared" si="53"/>
        <v>83348.179819797268</v>
      </c>
      <c r="N69" s="38">
        <f t="shared" si="53"/>
        <v>119103.6929910779</v>
      </c>
      <c r="O69" s="38">
        <f t="shared" si="53"/>
        <v>119103.6929910779</v>
      </c>
      <c r="P69" s="38">
        <f t="shared" si="53"/>
        <v>119103.6929910779</v>
      </c>
      <c r="Q69" s="38">
        <f t="shared" si="53"/>
        <v>463874.45879303094</v>
      </c>
      <c r="R69" s="38">
        <f t="shared" si="53"/>
        <v>270017.91235421895</v>
      </c>
      <c r="S69" s="51">
        <f t="shared" si="53"/>
        <v>95888.492991077903</v>
      </c>
      <c r="T69" s="38">
        <f t="shared" si="53"/>
        <v>174129.41936314106</v>
      </c>
      <c r="U69" s="38">
        <f t="shared" si="53"/>
        <v>57977.054261627898</v>
      </c>
      <c r="V69" s="38">
        <f t="shared" si="53"/>
        <v>116152.36510151316</v>
      </c>
      <c r="W69" s="38">
        <f t="shared" ref="W69:X69" si="54">SUM(W61:W68)</f>
        <v>41606.194261627898</v>
      </c>
      <c r="X69" s="38">
        <f t="shared" si="54"/>
        <v>74546.170839885264</v>
      </c>
    </row>
    <row r="70" spans="1:25">
      <c r="C70" s="39"/>
      <c r="D70" s="39"/>
      <c r="E70" s="39"/>
      <c r="F70" s="39"/>
      <c r="G70" s="39">
        <f>SUM(G61:G68)+G46+SUM(G48:G57)</f>
        <v>68280001.440801069</v>
      </c>
    </row>
    <row r="71" spans="1:25">
      <c r="C71" s="39"/>
      <c r="D71" s="39"/>
      <c r="E71" s="39"/>
      <c r="F71" s="39"/>
      <c r="G71" s="39">
        <v>69480838.060000002</v>
      </c>
      <c r="K71" s="39">
        <f>N43+K69</f>
        <v>381702.93803846196</v>
      </c>
    </row>
    <row r="72" spans="1:25">
      <c r="C72" s="39"/>
      <c r="D72" s="39"/>
      <c r="E72" s="39"/>
      <c r="F72" s="39"/>
      <c r="G72" s="39">
        <f>G71-G70</f>
        <v>1200836.6191989332</v>
      </c>
    </row>
    <row r="73" spans="1:25">
      <c r="C73" s="39"/>
      <c r="D73" s="39"/>
      <c r="E73" s="39" t="s">
        <v>4051</v>
      </c>
      <c r="F73" s="39">
        <v>1412748.7</v>
      </c>
      <c r="G73" s="39">
        <f>F73*0.85-0.01</f>
        <v>1200836.385</v>
      </c>
      <c r="S73" s="39">
        <f>(AA43+S69)/12</f>
        <v>255847.11298218669</v>
      </c>
      <c r="U73" s="39"/>
      <c r="X73" s="39"/>
      <c r="Y73" s="39"/>
    </row>
    <row r="74" spans="1:25">
      <c r="C74" s="39"/>
      <c r="D74" s="39"/>
      <c r="E74" s="39"/>
      <c r="F74" s="39"/>
      <c r="G74" s="39">
        <f>G73-G72</f>
        <v>-0.2341989332344383</v>
      </c>
      <c r="U74" s="39"/>
      <c r="X74" s="39"/>
      <c r="Y74" s="39"/>
    </row>
    <row r="75" spans="1:25">
      <c r="C75" s="39"/>
      <c r="D75" s="39"/>
      <c r="E75" s="39"/>
      <c r="F75" s="39"/>
      <c r="G75" s="39"/>
      <c r="U75" s="56">
        <f>AA43+S69</f>
        <v>3070165.3557862402</v>
      </c>
      <c r="X75" s="39"/>
      <c r="Y75" s="39"/>
    </row>
    <row r="76" spans="1:25">
      <c r="C76" s="39"/>
      <c r="D76" s="39"/>
      <c r="E76" s="39"/>
      <c r="F76" s="39"/>
      <c r="G76" s="39"/>
      <c r="U76" s="56">
        <v>3441374.32</v>
      </c>
    </row>
    <row r="77" spans="1:25">
      <c r="C77" s="39"/>
      <c r="D77" s="39"/>
      <c r="E77" s="39"/>
      <c r="F77" s="39"/>
      <c r="G77" s="39"/>
      <c r="U77" s="56">
        <f>U76-U75</f>
        <v>371208.96421375964</v>
      </c>
    </row>
    <row r="78" spans="1:25">
      <c r="C78" s="39"/>
      <c r="D78" s="39"/>
      <c r="E78" s="39"/>
      <c r="F78" s="39"/>
      <c r="G78" s="39"/>
      <c r="H78" s="39">
        <f>G73/20</f>
        <v>60041.81925</v>
      </c>
      <c r="I78" s="39">
        <f>H78/12</f>
        <v>5003.4849375000003</v>
      </c>
    </row>
    <row r="79" spans="1:25">
      <c r="C79" s="39"/>
      <c r="D79" s="39"/>
      <c r="E79" s="39"/>
      <c r="F79" s="39"/>
      <c r="G79" s="39" t="s">
        <v>4052</v>
      </c>
      <c r="H79" s="39">
        <f>H78*5</f>
        <v>300209.09625</v>
      </c>
    </row>
    <row r="80" spans="1:25">
      <c r="C80" s="39"/>
      <c r="D80" s="39"/>
      <c r="E80" s="39"/>
      <c r="F80" s="39"/>
      <c r="G80" s="57">
        <v>2019</v>
      </c>
      <c r="H80" s="58">
        <v>60041.82</v>
      </c>
    </row>
    <row r="81" spans="3:27" ht="25.5">
      <c r="C81" s="39"/>
      <c r="D81" s="39"/>
      <c r="E81" s="39"/>
      <c r="F81" s="39"/>
      <c r="G81" s="59" t="s">
        <v>4053</v>
      </c>
      <c r="H81" s="60">
        <f>G73-H79-H80</f>
        <v>840585.46875000012</v>
      </c>
    </row>
    <row r="82" spans="3:27">
      <c r="C82" s="39"/>
      <c r="D82" s="39"/>
      <c r="E82" s="39"/>
      <c r="F82" s="39"/>
      <c r="G82" s="57">
        <v>2020</v>
      </c>
      <c r="H82" s="39">
        <f>H78</f>
        <v>60041.81925</v>
      </c>
    </row>
    <row r="83" spans="3:27" ht="25.5">
      <c r="C83" s="39"/>
      <c r="D83" s="39"/>
      <c r="E83" s="39"/>
      <c r="F83" s="39"/>
      <c r="G83" s="59" t="s">
        <v>4054</v>
      </c>
      <c r="H83" s="60">
        <f>H81-H82</f>
        <v>780543.64950000006</v>
      </c>
    </row>
    <row r="84" spans="3:27">
      <c r="C84" s="39"/>
      <c r="D84" s="39"/>
      <c r="E84" s="39"/>
      <c r="F84" s="39"/>
      <c r="G84" s="57">
        <v>2021</v>
      </c>
      <c r="H84" s="39">
        <f>H78</f>
        <v>60041.81925</v>
      </c>
    </row>
    <row r="85" spans="3:27" ht="25.5">
      <c r="G85" s="59" t="s">
        <v>4055</v>
      </c>
      <c r="H85" s="39">
        <f>H83-H84</f>
        <v>720501.83025000012</v>
      </c>
    </row>
    <row r="91" spans="3:27">
      <c r="E91" s="61" t="s">
        <v>4056</v>
      </c>
      <c r="F91" s="58">
        <f>H80+S69+AA43</f>
        <v>3130207.1757862405</v>
      </c>
      <c r="G91" s="61" t="s">
        <v>4057</v>
      </c>
      <c r="AA91" s="43">
        <f>SUBTOTAL(9,AA12:AA33)</f>
        <v>1827882.8028316493</v>
      </c>
    </row>
    <row r="92" spans="3:27">
      <c r="AA92" s="62">
        <v>1762336.8052545171</v>
      </c>
    </row>
    <row r="93" spans="3:27">
      <c r="E93" s="37" t="s">
        <v>4058</v>
      </c>
      <c r="J93" s="63" t="s">
        <v>4059</v>
      </c>
    </row>
    <row r="94" spans="3:27">
      <c r="E94" s="37" t="s">
        <v>389</v>
      </c>
      <c r="F94" s="38">
        <f>H81+T69+AB43</f>
        <v>47745817.004477806</v>
      </c>
      <c r="J94" s="64">
        <f>F95/12</f>
        <v>255776.24299829802</v>
      </c>
    </row>
    <row r="95" spans="3:27">
      <c r="E95" s="37" t="s">
        <v>4060</v>
      </c>
      <c r="F95" s="38">
        <f>H82+U69+AC43</f>
        <v>3069314.9159795763</v>
      </c>
    </row>
    <row r="96" spans="3:27">
      <c r="E96" s="37" t="s">
        <v>390</v>
      </c>
      <c r="F96" s="38">
        <f>H83+V69+AD43</f>
        <v>44676502.088498227</v>
      </c>
      <c r="G96" s="39" t="b">
        <f>(F94-F95)=F96</f>
        <v>1</v>
      </c>
    </row>
    <row r="97" spans="5:10">
      <c r="E97" s="37" t="s">
        <v>4060</v>
      </c>
      <c r="F97" s="38">
        <f>H84+W69+AE43</f>
        <v>3048347.8959795763</v>
      </c>
      <c r="J97" s="63" t="s">
        <v>4061</v>
      </c>
    </row>
    <row r="98" spans="5:10">
      <c r="E98" s="37" t="s">
        <v>391</v>
      </c>
      <c r="F98" s="38">
        <f>F96-F97</f>
        <v>41628154.192518651</v>
      </c>
      <c r="J98" s="64">
        <f>F97/12</f>
        <v>254028.99133163135</v>
      </c>
    </row>
  </sheetData>
  <autoFilter ref="A1:AD90" xr:uid="{00000000-0009-0000-0000-000016000000}"/>
  <mergeCells count="10"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53:C53"/>
  </mergeCells>
  <pageMargins left="0.25" right="0.25" top="0.75" bottom="0.75" header="0.3" footer="0.3"/>
  <pageSetup paperSize="8" scale="54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24"/>
  <sheetViews>
    <sheetView workbookViewId="0">
      <selection activeCell="K9" sqref="K9"/>
    </sheetView>
  </sheetViews>
  <sheetFormatPr defaultColWidth="8.85546875" defaultRowHeight="12.75"/>
  <cols>
    <col min="1" max="1" width="6" style="5" customWidth="1"/>
    <col min="2" max="3" width="13.42578125" style="5" customWidth="1"/>
    <col min="4" max="4" width="4.42578125" style="5" customWidth="1"/>
    <col min="5" max="5" width="10.42578125" style="5" customWidth="1"/>
    <col min="6" max="9" width="12" style="5" customWidth="1"/>
    <col min="10" max="12" width="15" style="5" customWidth="1"/>
    <col min="13" max="13" width="9" style="5" customWidth="1"/>
    <col min="14" max="14" width="3" style="5" customWidth="1"/>
    <col min="15" max="16384" width="8.85546875" style="5"/>
  </cols>
  <sheetData>
    <row r="1" spans="1:14" ht="41.25" customHeight="1">
      <c r="A1" s="601" t="s">
        <v>1081</v>
      </c>
      <c r="B1" s="601" t="s">
        <v>322</v>
      </c>
      <c r="C1" s="601"/>
      <c r="D1" s="601" t="s">
        <v>1082</v>
      </c>
      <c r="E1" s="601"/>
      <c r="F1" s="601" t="s">
        <v>1083</v>
      </c>
      <c r="G1" s="601"/>
      <c r="H1" s="601"/>
      <c r="I1" s="601"/>
      <c r="J1" s="601" t="s">
        <v>1084</v>
      </c>
      <c r="K1" s="601" t="s">
        <v>1085</v>
      </c>
      <c r="L1" s="601" t="s">
        <v>1086</v>
      </c>
      <c r="M1" s="601" t="s">
        <v>1087</v>
      </c>
      <c r="N1" s="601"/>
    </row>
    <row r="2" spans="1:14" ht="13.7" customHeight="1">
      <c r="A2" s="601" t="s">
        <v>1081</v>
      </c>
      <c r="B2" s="601" t="s">
        <v>322</v>
      </c>
      <c r="C2" s="601"/>
      <c r="D2" s="7" t="s">
        <v>1088</v>
      </c>
      <c r="E2" s="4" t="s">
        <v>1089</v>
      </c>
      <c r="F2" s="601" t="s">
        <v>1090</v>
      </c>
      <c r="G2" s="601"/>
      <c r="H2" s="601"/>
      <c r="I2" s="601"/>
      <c r="J2" s="601" t="s">
        <v>1084</v>
      </c>
      <c r="K2" s="601" t="s">
        <v>1085</v>
      </c>
      <c r="L2" s="601" t="s">
        <v>1086</v>
      </c>
      <c r="M2" s="601" t="s">
        <v>1087</v>
      </c>
      <c r="N2" s="601"/>
    </row>
    <row r="3" spans="1:14" ht="13.7" customHeight="1">
      <c r="A3" s="601" t="s">
        <v>1081</v>
      </c>
      <c r="B3" s="601" t="s">
        <v>322</v>
      </c>
      <c r="C3" s="601"/>
      <c r="D3" s="7" t="s">
        <v>1091</v>
      </c>
      <c r="E3" s="4" t="s">
        <v>1047</v>
      </c>
      <c r="F3" s="4" t="s">
        <v>323</v>
      </c>
      <c r="G3" s="4" t="s">
        <v>324</v>
      </c>
      <c r="H3" s="4" t="s">
        <v>361</v>
      </c>
      <c r="I3" s="4" t="s">
        <v>362</v>
      </c>
      <c r="J3" s="601" t="s">
        <v>1084</v>
      </c>
      <c r="K3" s="601" t="s">
        <v>1085</v>
      </c>
      <c r="L3" s="601" t="s">
        <v>1086</v>
      </c>
      <c r="M3" s="601" t="s">
        <v>1087</v>
      </c>
      <c r="N3" s="601"/>
    </row>
    <row r="4" spans="1:14" ht="13.7" customHeight="1">
      <c r="A4" s="601" t="s">
        <v>1081</v>
      </c>
      <c r="B4" s="601" t="s">
        <v>322</v>
      </c>
      <c r="C4" s="601"/>
      <c r="D4" s="601" t="s">
        <v>1048</v>
      </c>
      <c r="E4" s="601"/>
      <c r="F4" s="7" t="s">
        <v>1048</v>
      </c>
      <c r="G4" s="7" t="s">
        <v>1048</v>
      </c>
      <c r="H4" s="7" t="s">
        <v>1048</v>
      </c>
      <c r="I4" s="7" t="s">
        <v>1048</v>
      </c>
      <c r="J4" s="7" t="s">
        <v>1048</v>
      </c>
      <c r="K4" s="7" t="s">
        <v>1048</v>
      </c>
      <c r="L4" s="7" t="s">
        <v>1048</v>
      </c>
      <c r="M4" s="601" t="s">
        <v>1087</v>
      </c>
      <c r="N4" s="601"/>
    </row>
    <row r="5" spans="1:14" ht="13.7" customHeight="1">
      <c r="A5" s="4" t="s">
        <v>285</v>
      </c>
      <c r="B5" s="600" t="s">
        <v>1092</v>
      </c>
      <c r="C5" s="600"/>
      <c r="D5" s="599" t="s">
        <v>17</v>
      </c>
      <c r="E5" s="599"/>
      <c r="F5" s="8" t="s">
        <v>17</v>
      </c>
      <c r="G5" s="8" t="s">
        <v>17</v>
      </c>
      <c r="H5" s="8" t="s">
        <v>17</v>
      </c>
      <c r="I5" s="8" t="s">
        <v>17</v>
      </c>
      <c r="J5" s="8">
        <v>0</v>
      </c>
      <c r="K5" s="8" t="s">
        <v>17</v>
      </c>
      <c r="L5" s="8" t="s">
        <v>17</v>
      </c>
      <c r="M5" s="9">
        <v>0</v>
      </c>
      <c r="N5" s="10" t="s">
        <v>1058</v>
      </c>
    </row>
    <row r="6" spans="1:14" ht="13.7" customHeight="1">
      <c r="A6" s="4" t="s">
        <v>342</v>
      </c>
      <c r="B6" s="600" t="s">
        <v>1093</v>
      </c>
      <c r="C6" s="600"/>
      <c r="D6" s="599" t="s">
        <v>17</v>
      </c>
      <c r="E6" s="599"/>
      <c r="F6" s="8" t="s">
        <v>17</v>
      </c>
      <c r="G6" s="8" t="s">
        <v>17</v>
      </c>
      <c r="H6" s="8" t="s">
        <v>17</v>
      </c>
      <c r="I6" s="8" t="s">
        <v>17</v>
      </c>
      <c r="J6" s="8">
        <v>0</v>
      </c>
      <c r="K6" s="8" t="s">
        <v>17</v>
      </c>
      <c r="L6" s="8" t="s">
        <v>17</v>
      </c>
      <c r="M6" s="9">
        <v>0</v>
      </c>
      <c r="N6" s="10" t="s">
        <v>1058</v>
      </c>
    </row>
    <row r="7" spans="1:14" ht="13.7" customHeight="1">
      <c r="A7" s="4" t="s">
        <v>286</v>
      </c>
      <c r="B7" s="600" t="s">
        <v>1094</v>
      </c>
      <c r="C7" s="600"/>
      <c r="D7" s="599">
        <v>0</v>
      </c>
      <c r="E7" s="599"/>
      <c r="F7" s="8">
        <v>29400</v>
      </c>
      <c r="G7" s="8">
        <f>G8</f>
        <v>1058400</v>
      </c>
      <c r="H7" s="8">
        <f>H8</f>
        <v>1085000</v>
      </c>
      <c r="I7" s="8">
        <v>0</v>
      </c>
      <c r="J7" s="8">
        <f>SUM(F7:H7)</f>
        <v>2172800</v>
      </c>
      <c r="K7" s="8">
        <f>J7</f>
        <v>2172800</v>
      </c>
      <c r="L7" s="8">
        <v>0</v>
      </c>
      <c r="M7" s="9">
        <v>70</v>
      </c>
      <c r="N7" s="10" t="s">
        <v>1058</v>
      </c>
    </row>
    <row r="8" spans="1:14" ht="13.7" customHeight="1">
      <c r="A8" s="4" t="s">
        <v>347</v>
      </c>
      <c r="B8" s="600" t="s">
        <v>414</v>
      </c>
      <c r="C8" s="600"/>
      <c r="D8" s="599" t="s">
        <v>17</v>
      </c>
      <c r="E8" s="599"/>
      <c r="F8" s="8">
        <f>F7</f>
        <v>29400</v>
      </c>
      <c r="G8" s="8">
        <f>0.7*'Projekt 1 - majątek'!U14</f>
        <v>1058400</v>
      </c>
      <c r="H8" s="8">
        <f>0.7*'Projekt 1 - majątek'!Z14</f>
        <v>1085000</v>
      </c>
      <c r="I8" s="8">
        <v>0</v>
      </c>
      <c r="J8" s="8">
        <f>J7</f>
        <v>2172800</v>
      </c>
      <c r="K8" s="8">
        <f>K7</f>
        <v>2172800</v>
      </c>
      <c r="L8" s="8">
        <v>0</v>
      </c>
      <c r="M8" s="9">
        <v>70</v>
      </c>
      <c r="N8" s="10" t="s">
        <v>1058</v>
      </c>
    </row>
    <row r="9" spans="1:14" ht="27.6" customHeight="1">
      <c r="A9" s="4" t="s">
        <v>348</v>
      </c>
      <c r="B9" s="11" t="s">
        <v>1095</v>
      </c>
      <c r="C9" s="12" t="s">
        <v>17</v>
      </c>
      <c r="D9" s="599" t="s">
        <v>17</v>
      </c>
      <c r="E9" s="599"/>
      <c r="F9" s="8" t="s">
        <v>17</v>
      </c>
      <c r="G9" s="8" t="s">
        <v>17</v>
      </c>
      <c r="H9" s="8" t="s">
        <v>17</v>
      </c>
      <c r="I9" s="8" t="s">
        <v>17</v>
      </c>
      <c r="J9" s="8">
        <v>0</v>
      </c>
      <c r="K9" s="8" t="s">
        <v>17</v>
      </c>
      <c r="L9" s="8" t="s">
        <v>17</v>
      </c>
      <c r="M9" s="9">
        <v>0</v>
      </c>
      <c r="N9" s="10" t="s">
        <v>1058</v>
      </c>
    </row>
    <row r="10" spans="1:14" ht="27.6" customHeight="1">
      <c r="A10" s="4" t="s">
        <v>1096</v>
      </c>
      <c r="B10" s="11" t="s">
        <v>1097</v>
      </c>
      <c r="C10" s="12" t="s">
        <v>17</v>
      </c>
      <c r="D10" s="599" t="s">
        <v>17</v>
      </c>
      <c r="E10" s="599"/>
      <c r="F10" s="8" t="s">
        <v>17</v>
      </c>
      <c r="G10" s="8" t="s">
        <v>17</v>
      </c>
      <c r="H10" s="8" t="s">
        <v>17</v>
      </c>
      <c r="I10" s="8" t="s">
        <v>17</v>
      </c>
      <c r="J10" s="8">
        <v>0</v>
      </c>
      <c r="K10" s="8" t="s">
        <v>17</v>
      </c>
      <c r="L10" s="8" t="s">
        <v>17</v>
      </c>
      <c r="M10" s="9">
        <v>0</v>
      </c>
      <c r="N10" s="10" t="s">
        <v>1058</v>
      </c>
    </row>
    <row r="11" spans="1:14" ht="20.45" customHeight="1">
      <c r="A11" s="4" t="s">
        <v>1098</v>
      </c>
      <c r="B11" s="600" t="s">
        <v>1099</v>
      </c>
      <c r="C11" s="600"/>
      <c r="D11" s="599" t="s">
        <v>17</v>
      </c>
      <c r="E11" s="599"/>
      <c r="F11" s="8" t="s">
        <v>17</v>
      </c>
      <c r="G11" s="8" t="s">
        <v>17</v>
      </c>
      <c r="H11" s="8" t="s">
        <v>17</v>
      </c>
      <c r="I11" s="8" t="s">
        <v>17</v>
      </c>
      <c r="J11" s="8">
        <v>0</v>
      </c>
      <c r="K11" s="8" t="s">
        <v>17</v>
      </c>
      <c r="L11" s="8" t="s">
        <v>17</v>
      </c>
      <c r="M11" s="9">
        <v>0</v>
      </c>
      <c r="N11" s="10" t="s">
        <v>1058</v>
      </c>
    </row>
    <row r="12" spans="1:14" ht="27.6" customHeight="1">
      <c r="A12" s="4" t="s">
        <v>1100</v>
      </c>
      <c r="B12" s="11" t="s">
        <v>1101</v>
      </c>
      <c r="C12" s="12" t="s">
        <v>17</v>
      </c>
      <c r="D12" s="599" t="s">
        <v>17</v>
      </c>
      <c r="E12" s="599"/>
      <c r="F12" s="8" t="s">
        <v>17</v>
      </c>
      <c r="G12" s="8" t="s">
        <v>17</v>
      </c>
      <c r="H12" s="8" t="s">
        <v>17</v>
      </c>
      <c r="I12" s="8" t="s">
        <v>17</v>
      </c>
      <c r="J12" s="8">
        <v>0</v>
      </c>
      <c r="K12" s="8" t="s">
        <v>17</v>
      </c>
      <c r="L12" s="8" t="s">
        <v>17</v>
      </c>
      <c r="M12" s="9">
        <v>0</v>
      </c>
      <c r="N12" s="10" t="s">
        <v>1058</v>
      </c>
    </row>
    <row r="13" spans="1:14" ht="13.7" customHeight="1">
      <c r="A13" s="4" t="s">
        <v>288</v>
      </c>
      <c r="B13" s="600" t="s">
        <v>1102</v>
      </c>
      <c r="C13" s="600"/>
      <c r="D13" s="599"/>
      <c r="E13" s="599"/>
      <c r="F13" s="8"/>
      <c r="G13" s="8"/>
      <c r="H13" s="8"/>
      <c r="I13" s="8">
        <f>'Projekt 1 - majątek'!D19</f>
        <v>931200</v>
      </c>
      <c r="J13" s="8">
        <f>I13</f>
        <v>931200</v>
      </c>
      <c r="K13" s="8">
        <f>J13</f>
        <v>931200</v>
      </c>
      <c r="L13" s="8">
        <v>0</v>
      </c>
      <c r="M13" s="9">
        <v>30</v>
      </c>
      <c r="N13" s="10" t="s">
        <v>1058</v>
      </c>
    </row>
    <row r="14" spans="1:14" ht="13.7" customHeight="1">
      <c r="A14" s="4" t="s">
        <v>350</v>
      </c>
      <c r="B14" s="600" t="s">
        <v>1103</v>
      </c>
      <c r="C14" s="600"/>
      <c r="D14" s="599" t="s">
        <v>17</v>
      </c>
      <c r="E14" s="599"/>
      <c r="F14" s="8"/>
      <c r="G14" s="8"/>
      <c r="H14" s="8"/>
      <c r="I14" s="8">
        <f>I13</f>
        <v>931200</v>
      </c>
      <c r="J14" s="437">
        <f t="shared" ref="J14:K14" si="0">J13</f>
        <v>931200</v>
      </c>
      <c r="K14" s="437">
        <f t="shared" si="0"/>
        <v>931200</v>
      </c>
      <c r="L14" s="8">
        <v>0</v>
      </c>
      <c r="M14" s="9">
        <v>30</v>
      </c>
      <c r="N14" s="10" t="s">
        <v>1058</v>
      </c>
    </row>
    <row r="15" spans="1:14" ht="27.6" customHeight="1">
      <c r="A15" s="4" t="s">
        <v>351</v>
      </c>
      <c r="B15" s="11" t="s">
        <v>1104</v>
      </c>
      <c r="C15" s="12" t="s">
        <v>17</v>
      </c>
      <c r="D15" s="599" t="s">
        <v>17</v>
      </c>
      <c r="E15" s="599"/>
      <c r="F15" s="8" t="s">
        <v>17</v>
      </c>
      <c r="G15" s="8" t="s">
        <v>17</v>
      </c>
      <c r="H15" s="8" t="s">
        <v>17</v>
      </c>
      <c r="I15" s="8" t="s">
        <v>17</v>
      </c>
      <c r="J15" s="8">
        <v>0</v>
      </c>
      <c r="K15" s="8" t="s">
        <v>17</v>
      </c>
      <c r="L15" s="8" t="s">
        <v>17</v>
      </c>
      <c r="M15" s="9">
        <v>0</v>
      </c>
      <c r="N15" s="10" t="s">
        <v>1058</v>
      </c>
    </row>
    <row r="16" spans="1:14" ht="13.7" customHeight="1">
      <c r="A16" s="4" t="s">
        <v>1105</v>
      </c>
      <c r="B16" s="600" t="s">
        <v>1106</v>
      </c>
      <c r="C16" s="600"/>
      <c r="D16" s="599" t="s">
        <v>17</v>
      </c>
      <c r="E16" s="599"/>
      <c r="F16" s="8" t="s">
        <v>17</v>
      </c>
      <c r="G16" s="8" t="s">
        <v>17</v>
      </c>
      <c r="H16" s="8" t="s">
        <v>17</v>
      </c>
      <c r="I16" s="8" t="s">
        <v>17</v>
      </c>
      <c r="J16" s="8">
        <v>0</v>
      </c>
      <c r="K16" s="8" t="s">
        <v>17</v>
      </c>
      <c r="L16" s="8" t="s">
        <v>17</v>
      </c>
      <c r="M16" s="9">
        <v>0</v>
      </c>
      <c r="N16" s="10" t="s">
        <v>1058</v>
      </c>
    </row>
    <row r="17" spans="1:14" ht="13.7" customHeight="1">
      <c r="A17" s="4" t="s">
        <v>1107</v>
      </c>
      <c r="B17" s="600" t="s">
        <v>1108</v>
      </c>
      <c r="C17" s="600"/>
      <c r="D17" s="599" t="s">
        <v>17</v>
      </c>
      <c r="E17" s="599"/>
      <c r="F17" s="8" t="s">
        <v>17</v>
      </c>
      <c r="G17" s="8" t="s">
        <v>17</v>
      </c>
      <c r="H17" s="8" t="s">
        <v>17</v>
      </c>
      <c r="I17" s="8" t="s">
        <v>17</v>
      </c>
      <c r="J17" s="8">
        <v>0</v>
      </c>
      <c r="K17" s="8" t="s">
        <v>17</v>
      </c>
      <c r="L17" s="8" t="s">
        <v>17</v>
      </c>
      <c r="M17" s="9">
        <v>0</v>
      </c>
      <c r="N17" s="10" t="s">
        <v>1058</v>
      </c>
    </row>
    <row r="18" spans="1:14" ht="27.6" customHeight="1">
      <c r="A18" s="4" t="s">
        <v>1109</v>
      </c>
      <c r="B18" s="11" t="s">
        <v>1101</v>
      </c>
      <c r="C18" s="12" t="s">
        <v>17</v>
      </c>
      <c r="D18" s="599" t="s">
        <v>17</v>
      </c>
      <c r="E18" s="599"/>
      <c r="F18" s="8" t="s">
        <v>17</v>
      </c>
      <c r="G18" s="8" t="s">
        <v>17</v>
      </c>
      <c r="H18" s="8" t="s">
        <v>17</v>
      </c>
      <c r="I18" s="8" t="s">
        <v>17</v>
      </c>
      <c r="J18" s="8">
        <v>0</v>
      </c>
      <c r="K18" s="8" t="s">
        <v>17</v>
      </c>
      <c r="L18" s="8" t="s">
        <v>17</v>
      </c>
      <c r="M18" s="9">
        <v>0</v>
      </c>
      <c r="N18" s="10" t="s">
        <v>1058</v>
      </c>
    </row>
    <row r="19" spans="1:14" ht="13.7" customHeight="1">
      <c r="A19" s="4" t="s">
        <v>290</v>
      </c>
      <c r="B19" s="600" t="s">
        <v>1110</v>
      </c>
      <c r="C19" s="600"/>
      <c r="D19" s="599">
        <v>0</v>
      </c>
      <c r="E19" s="599"/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9">
        <v>0</v>
      </c>
      <c r="N19" s="10" t="s">
        <v>1058</v>
      </c>
    </row>
    <row r="20" spans="1:14" ht="27.6" customHeight="1">
      <c r="A20" s="4" t="s">
        <v>1111</v>
      </c>
      <c r="B20" s="11" t="s">
        <v>1101</v>
      </c>
      <c r="C20" s="12" t="s">
        <v>17</v>
      </c>
      <c r="D20" s="599" t="s">
        <v>17</v>
      </c>
      <c r="E20" s="599"/>
      <c r="F20" s="8" t="s">
        <v>17</v>
      </c>
      <c r="G20" s="8" t="s">
        <v>17</v>
      </c>
      <c r="H20" s="8" t="s">
        <v>17</v>
      </c>
      <c r="I20" s="8" t="s">
        <v>17</v>
      </c>
      <c r="J20" s="8">
        <v>0</v>
      </c>
      <c r="K20" s="8" t="s">
        <v>17</v>
      </c>
      <c r="L20" s="8" t="s">
        <v>17</v>
      </c>
      <c r="M20" s="9">
        <v>0</v>
      </c>
      <c r="N20" s="10" t="s">
        <v>1058</v>
      </c>
    </row>
    <row r="21" spans="1:14" ht="13.7" customHeight="1">
      <c r="A21" s="4" t="s">
        <v>17</v>
      </c>
      <c r="B21" s="600" t="s">
        <v>1112</v>
      </c>
      <c r="C21" s="600"/>
      <c r="D21" s="599">
        <v>0</v>
      </c>
      <c r="E21" s="599"/>
      <c r="F21" s="8">
        <f>F8</f>
        <v>29400</v>
      </c>
      <c r="G21" s="437">
        <f t="shared" ref="G21:H21" si="1">G8</f>
        <v>1058400</v>
      </c>
      <c r="H21" s="437">
        <f t="shared" si="1"/>
        <v>1085000</v>
      </c>
      <c r="I21" s="8">
        <v>0</v>
      </c>
      <c r="J21" s="8">
        <f>J14</f>
        <v>931200</v>
      </c>
      <c r="K21" s="437">
        <f>K14</f>
        <v>931200</v>
      </c>
      <c r="L21" s="8">
        <v>0</v>
      </c>
      <c r="M21" s="9">
        <v>100</v>
      </c>
      <c r="N21" s="10" t="s">
        <v>1058</v>
      </c>
    </row>
    <row r="22" spans="1:14" ht="15.2" customHeight="1">
      <c r="A22" s="598"/>
      <c r="B22" s="598"/>
      <c r="C22" s="598"/>
    </row>
    <row r="23" spans="1:14" ht="15.2" customHeight="1">
      <c r="A23" s="598"/>
      <c r="B23" s="598"/>
      <c r="C23" s="598"/>
    </row>
    <row r="24" spans="1:14" ht="15.2" customHeight="1">
      <c r="A24" s="598"/>
      <c r="B24" s="598"/>
      <c r="C24" s="598"/>
    </row>
  </sheetData>
  <mergeCells count="41">
    <mergeCell ref="A1:A4"/>
    <mergeCell ref="B1:C4"/>
    <mergeCell ref="D1:E1"/>
    <mergeCell ref="F1:I1"/>
    <mergeCell ref="J1:J3"/>
    <mergeCell ref="L1:L3"/>
    <mergeCell ref="M1:N4"/>
    <mergeCell ref="F2:I2"/>
    <mergeCell ref="D4:E4"/>
    <mergeCell ref="B5:C5"/>
    <mergeCell ref="D5:E5"/>
    <mergeCell ref="K1:K3"/>
    <mergeCell ref="B6:C6"/>
    <mergeCell ref="D6:E6"/>
    <mergeCell ref="B7:C7"/>
    <mergeCell ref="D7:E7"/>
    <mergeCell ref="B8:C8"/>
    <mergeCell ref="D8:E8"/>
    <mergeCell ref="B17:C17"/>
    <mergeCell ref="D17:E17"/>
    <mergeCell ref="D9:E9"/>
    <mergeCell ref="D10:E10"/>
    <mergeCell ref="B11:C11"/>
    <mergeCell ref="D11:E11"/>
    <mergeCell ref="D12:E12"/>
    <mergeCell ref="B13:C13"/>
    <mergeCell ref="D13:E13"/>
    <mergeCell ref="B14:C14"/>
    <mergeCell ref="D14:E14"/>
    <mergeCell ref="D15:E15"/>
    <mergeCell ref="B16:C16"/>
    <mergeCell ref="D16:E16"/>
    <mergeCell ref="A22:C22"/>
    <mergeCell ref="A23:C23"/>
    <mergeCell ref="A24:C24"/>
    <mergeCell ref="D18:E18"/>
    <mergeCell ref="B19:C19"/>
    <mergeCell ref="D19:E19"/>
    <mergeCell ref="D20:E20"/>
    <mergeCell ref="B21:C21"/>
    <mergeCell ref="D21:E21"/>
  </mergeCells>
  <pageMargins left="0" right="0" top="0" bottom="0" header="0" footer="0"/>
  <pageSetup paperSize="0" orientation="portrait" horizontalDpi="300" verticalDpi="300"/>
  <rowBreaks count="25" manualBreakCount="25">
    <brk max="16383" man="1"/>
    <brk id="1" max="16383" man="1"/>
    <brk id="2" max="16383" man="1"/>
    <brk id="3" max="16383" man="1"/>
    <brk id="4" max="16383" man="1"/>
    <brk id="5" max="16383" man="1"/>
    <brk id="6" max="16383" man="1"/>
    <brk id="7" max="16383" man="1"/>
    <brk id="8" max="16383" man="1"/>
    <brk id="9" max="16383" man="1"/>
    <brk id="10" max="16383" man="1"/>
    <brk id="11" max="16383" man="1"/>
    <brk id="12" max="16383" man="1"/>
    <brk id="13" max="16383" man="1"/>
    <brk id="14" max="16383" man="1"/>
    <brk id="15" max="16383" man="1"/>
    <brk id="16" max="16383" man="1"/>
    <brk id="17" max="16383" man="1"/>
    <brk id="18" max="16383" man="1"/>
    <brk id="19" max="16383" man="1"/>
    <brk id="20" max="16383" man="1"/>
    <brk id="21" max="16383" man="1"/>
    <brk id="22" max="16383" man="1"/>
    <brk id="23" max="16383" man="1"/>
    <brk id="2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27"/>
  <sheetViews>
    <sheetView workbookViewId="0"/>
  </sheetViews>
  <sheetFormatPr defaultColWidth="8.85546875" defaultRowHeight="12.75"/>
  <cols>
    <col min="1" max="1" width="6" customWidth="1"/>
    <col min="2" max="2" width="25.7109375" customWidth="1"/>
    <col min="3" max="3" width="25.140625" customWidth="1"/>
    <col min="4" max="4" width="9" customWidth="1"/>
    <col min="5" max="8" width="12" customWidth="1"/>
  </cols>
  <sheetData>
    <row r="1" spans="1:8" ht="13.7" customHeight="1">
      <c r="A1" t="s">
        <v>62</v>
      </c>
      <c r="B1" s="602" t="s">
        <v>63</v>
      </c>
      <c r="C1" s="602"/>
      <c r="D1" t="s">
        <v>64</v>
      </c>
      <c r="E1" t="s">
        <v>65</v>
      </c>
      <c r="F1" t="s">
        <v>66</v>
      </c>
      <c r="G1" t="s">
        <v>67</v>
      </c>
      <c r="H1" t="s">
        <v>68</v>
      </c>
    </row>
    <row r="2" spans="1:8" ht="13.7" customHeight="1">
      <c r="A2" t="s">
        <v>69</v>
      </c>
      <c r="B2" s="602" t="s">
        <v>70</v>
      </c>
      <c r="C2" s="602"/>
      <c r="D2" t="s">
        <v>71</v>
      </c>
      <c r="E2" t="s">
        <v>72</v>
      </c>
      <c r="F2" t="s">
        <v>73</v>
      </c>
      <c r="G2" t="s">
        <v>74</v>
      </c>
      <c r="H2" t="s">
        <v>75</v>
      </c>
    </row>
    <row r="3" spans="1:8" ht="13.7" customHeight="1">
      <c r="A3" t="s">
        <v>76</v>
      </c>
      <c r="B3" s="602" t="s">
        <v>77</v>
      </c>
      <c r="C3" s="602"/>
      <c r="D3" t="s">
        <v>78</v>
      </c>
      <c r="E3" t="s">
        <v>79</v>
      </c>
      <c r="F3" t="s">
        <v>80</v>
      </c>
      <c r="G3" t="s">
        <v>81</v>
      </c>
      <c r="H3" t="s">
        <v>82</v>
      </c>
    </row>
    <row r="4" spans="1:8" ht="13.7" customHeight="1">
      <c r="A4" t="s">
        <v>83</v>
      </c>
      <c r="B4" s="602" t="s">
        <v>84</v>
      </c>
      <c r="C4" s="602"/>
      <c r="D4" t="s">
        <v>85</v>
      </c>
      <c r="E4" t="s">
        <v>86</v>
      </c>
      <c r="F4" t="s">
        <v>87</v>
      </c>
      <c r="G4" t="s">
        <v>88</v>
      </c>
      <c r="H4" t="s">
        <v>89</v>
      </c>
    </row>
    <row r="5" spans="1:8" ht="13.7" customHeight="1">
      <c r="A5" t="s">
        <v>90</v>
      </c>
      <c r="B5" s="602" t="s">
        <v>91</v>
      </c>
      <c r="C5" s="602"/>
      <c r="D5" t="s">
        <v>92</v>
      </c>
      <c r="E5" t="s">
        <v>93</v>
      </c>
      <c r="F5" t="s">
        <v>94</v>
      </c>
      <c r="G5" t="s">
        <v>95</v>
      </c>
      <c r="H5" t="s">
        <v>96</v>
      </c>
    </row>
    <row r="6" spans="1:8" ht="13.7" customHeight="1">
      <c r="A6" t="s">
        <v>97</v>
      </c>
      <c r="B6" s="602" t="s">
        <v>98</v>
      </c>
      <c r="C6" s="602"/>
      <c r="D6" t="s">
        <v>99</v>
      </c>
      <c r="E6" t="s">
        <v>100</v>
      </c>
      <c r="F6" t="s">
        <v>101</v>
      </c>
      <c r="G6" t="s">
        <v>102</v>
      </c>
      <c r="H6" t="s">
        <v>103</v>
      </c>
    </row>
    <row r="7" spans="1:8" ht="13.7" customHeight="1">
      <c r="A7" t="s">
        <v>104</v>
      </c>
      <c r="B7" s="602" t="s">
        <v>105</v>
      </c>
      <c r="C7" s="602"/>
      <c r="D7" t="s">
        <v>106</v>
      </c>
      <c r="E7" t="s">
        <v>107</v>
      </c>
      <c r="F7" t="s">
        <v>108</v>
      </c>
      <c r="G7" t="s">
        <v>109</v>
      </c>
      <c r="H7" t="s">
        <v>110</v>
      </c>
    </row>
    <row r="8" spans="1:8" ht="13.7" customHeight="1">
      <c r="A8" t="s">
        <v>111</v>
      </c>
      <c r="B8" s="602" t="s">
        <v>112</v>
      </c>
      <c r="C8" s="602"/>
      <c r="D8" t="s">
        <v>113</v>
      </c>
      <c r="E8" t="s">
        <v>114</v>
      </c>
      <c r="F8" t="s">
        <v>115</v>
      </c>
      <c r="G8" t="s">
        <v>116</v>
      </c>
      <c r="H8" t="s">
        <v>117</v>
      </c>
    </row>
    <row r="9" spans="1:8" ht="13.7" customHeight="1">
      <c r="A9" t="s">
        <v>118</v>
      </c>
      <c r="B9" s="602" t="s">
        <v>119</v>
      </c>
      <c r="C9" s="602"/>
      <c r="D9" t="s">
        <v>120</v>
      </c>
      <c r="E9" t="s">
        <v>121</v>
      </c>
      <c r="F9" t="s">
        <v>122</v>
      </c>
      <c r="G9" t="s">
        <v>123</v>
      </c>
      <c r="H9" t="s">
        <v>124</v>
      </c>
    </row>
    <row r="10" spans="1:8" ht="13.7" customHeight="1">
      <c r="A10" t="s">
        <v>125</v>
      </c>
      <c r="B10" s="602" t="s">
        <v>126</v>
      </c>
      <c r="C10" s="602"/>
      <c r="D10" t="s">
        <v>127</v>
      </c>
      <c r="E10" t="s">
        <v>128</v>
      </c>
      <c r="F10" t="s">
        <v>129</v>
      </c>
      <c r="G10" t="s">
        <v>130</v>
      </c>
      <c r="H10" t="s">
        <v>131</v>
      </c>
    </row>
    <row r="11" spans="1:8" ht="13.7" customHeight="1">
      <c r="A11" t="s">
        <v>132</v>
      </c>
      <c r="B11" s="602" t="s">
        <v>133</v>
      </c>
      <c r="C11" s="602"/>
      <c r="D11" t="s">
        <v>134</v>
      </c>
      <c r="E11" t="s">
        <v>135</v>
      </c>
      <c r="F11" t="s">
        <v>136</v>
      </c>
      <c r="G11" t="s">
        <v>137</v>
      </c>
      <c r="H11" t="s">
        <v>138</v>
      </c>
    </row>
    <row r="12" spans="1:8" ht="13.7" customHeight="1">
      <c r="A12" t="s">
        <v>139</v>
      </c>
      <c r="B12" s="602" t="s">
        <v>140</v>
      </c>
      <c r="C12" s="602"/>
      <c r="D12" t="s">
        <v>141</v>
      </c>
      <c r="E12" t="s">
        <v>142</v>
      </c>
      <c r="F12" t="s">
        <v>143</v>
      </c>
      <c r="G12" t="s">
        <v>144</v>
      </c>
      <c r="H12" t="s">
        <v>145</v>
      </c>
    </row>
    <row r="13" spans="1:8" ht="13.7" customHeight="1">
      <c r="A13" t="s">
        <v>146</v>
      </c>
      <c r="B13" s="602" t="s">
        <v>147</v>
      </c>
      <c r="C13" s="602"/>
      <c r="D13" t="s">
        <v>148</v>
      </c>
      <c r="E13" t="s">
        <v>149</v>
      </c>
      <c r="F13" t="s">
        <v>150</v>
      </c>
      <c r="G13" t="s">
        <v>151</v>
      </c>
      <c r="H13" t="s">
        <v>152</v>
      </c>
    </row>
    <row r="14" spans="1:8" ht="13.7" customHeight="1">
      <c r="A14" t="s">
        <v>153</v>
      </c>
      <c r="B14" s="602" t="s">
        <v>154</v>
      </c>
      <c r="C14" s="602"/>
      <c r="D14" t="s">
        <v>155</v>
      </c>
      <c r="E14" t="s">
        <v>156</v>
      </c>
      <c r="F14" t="s">
        <v>157</v>
      </c>
      <c r="G14" t="s">
        <v>158</v>
      </c>
      <c r="H14" t="s">
        <v>159</v>
      </c>
    </row>
    <row r="15" spans="1:8" ht="13.7" customHeight="1">
      <c r="A15" t="s">
        <v>160</v>
      </c>
      <c r="B15" s="602" t="s">
        <v>161</v>
      </c>
      <c r="C15" s="602"/>
      <c r="D15" t="s">
        <v>162</v>
      </c>
      <c r="E15" t="s">
        <v>163</v>
      </c>
      <c r="F15" t="s">
        <v>164</v>
      </c>
      <c r="G15" t="s">
        <v>165</v>
      </c>
      <c r="H15" t="s">
        <v>166</v>
      </c>
    </row>
    <row r="16" spans="1:8" ht="13.7" customHeight="1">
      <c r="A16" t="s">
        <v>167</v>
      </c>
      <c r="B16" s="602" t="s">
        <v>168</v>
      </c>
      <c r="C16" s="602"/>
      <c r="D16" t="s">
        <v>169</v>
      </c>
      <c r="E16" t="s">
        <v>170</v>
      </c>
      <c r="F16" t="s">
        <v>171</v>
      </c>
      <c r="G16" t="s">
        <v>172</v>
      </c>
      <c r="H16" t="s">
        <v>173</v>
      </c>
    </row>
    <row r="17" spans="1:8" ht="13.7" customHeight="1">
      <c r="A17" t="s">
        <v>174</v>
      </c>
      <c r="B17" s="602" t="s">
        <v>175</v>
      </c>
      <c r="C17" s="602"/>
      <c r="D17" t="s">
        <v>176</v>
      </c>
      <c r="E17" t="s">
        <v>177</v>
      </c>
      <c r="F17" t="s">
        <v>178</v>
      </c>
      <c r="G17" t="s">
        <v>179</v>
      </c>
      <c r="H17" t="s">
        <v>180</v>
      </c>
    </row>
    <row r="18" spans="1:8" ht="13.7" customHeight="1">
      <c r="A18" t="s">
        <v>181</v>
      </c>
      <c r="B18" s="602" t="s">
        <v>182</v>
      </c>
      <c r="C18" s="602"/>
      <c r="D18" t="s">
        <v>183</v>
      </c>
      <c r="E18" t="s">
        <v>184</v>
      </c>
      <c r="F18" t="s">
        <v>185</v>
      </c>
      <c r="G18" t="s">
        <v>186</v>
      </c>
      <c r="H18" t="s">
        <v>187</v>
      </c>
    </row>
    <row r="19" spans="1:8" ht="13.7" customHeight="1">
      <c r="A19" t="s">
        <v>188</v>
      </c>
      <c r="B19" s="602" t="s">
        <v>189</v>
      </c>
      <c r="C19" s="602"/>
      <c r="D19" t="s">
        <v>190</v>
      </c>
      <c r="E19" t="s">
        <v>191</v>
      </c>
      <c r="F19" t="s">
        <v>192</v>
      </c>
      <c r="G19" t="s">
        <v>193</v>
      </c>
      <c r="H19" t="s">
        <v>194</v>
      </c>
    </row>
    <row r="20" spans="1:8" ht="13.7" customHeight="1">
      <c r="A20" t="s">
        <v>195</v>
      </c>
      <c r="B20" s="602" t="s">
        <v>196</v>
      </c>
      <c r="C20" s="602"/>
      <c r="D20" t="s">
        <v>197</v>
      </c>
      <c r="E20" t="s">
        <v>198</v>
      </c>
      <c r="F20" t="s">
        <v>199</v>
      </c>
      <c r="G20" t="s">
        <v>200</v>
      </c>
      <c r="H20" t="s">
        <v>201</v>
      </c>
    </row>
    <row r="21" spans="1:8" ht="13.7" customHeight="1">
      <c r="A21" t="s">
        <v>202</v>
      </c>
      <c r="B21" s="602" t="s">
        <v>203</v>
      </c>
      <c r="C21" s="602"/>
      <c r="D21" t="s">
        <v>204</v>
      </c>
      <c r="E21" t="s">
        <v>205</v>
      </c>
      <c r="F21" t="s">
        <v>206</v>
      </c>
      <c r="G21" t="s">
        <v>207</v>
      </c>
      <c r="H21" t="s">
        <v>208</v>
      </c>
    </row>
    <row r="22" spans="1:8" ht="13.7" customHeight="1">
      <c r="A22" t="s">
        <v>209</v>
      </c>
      <c r="B22" s="602" t="s">
        <v>210</v>
      </c>
      <c r="C22" s="602"/>
      <c r="D22" t="s">
        <v>211</v>
      </c>
      <c r="E22" t="s">
        <v>212</v>
      </c>
      <c r="F22" t="s">
        <v>213</v>
      </c>
      <c r="G22" t="s">
        <v>214</v>
      </c>
      <c r="H22" t="s">
        <v>215</v>
      </c>
    </row>
    <row r="23" spans="1:8" ht="13.7" customHeight="1">
      <c r="A23" t="s">
        <v>216</v>
      </c>
      <c r="B23" s="602" t="s">
        <v>217</v>
      </c>
      <c r="C23" s="602"/>
      <c r="D23" t="s">
        <v>218</v>
      </c>
      <c r="E23" t="s">
        <v>219</v>
      </c>
      <c r="F23" t="s">
        <v>220</v>
      </c>
      <c r="G23" t="s">
        <v>221</v>
      </c>
      <c r="H23" t="s">
        <v>222</v>
      </c>
    </row>
    <row r="24" spans="1:8" ht="13.7" customHeight="1">
      <c r="A24" t="s">
        <v>223</v>
      </c>
      <c r="B24" s="602" t="s">
        <v>224</v>
      </c>
      <c r="C24" s="602"/>
      <c r="D24" t="s">
        <v>225</v>
      </c>
      <c r="E24" t="s">
        <v>226</v>
      </c>
      <c r="F24" t="s">
        <v>227</v>
      </c>
      <c r="G24" t="s">
        <v>228</v>
      </c>
      <c r="H24" t="s">
        <v>229</v>
      </c>
    </row>
    <row r="25" spans="1:8" ht="20.45" customHeight="1">
      <c r="A25" t="s">
        <v>230</v>
      </c>
      <c r="B25" s="602" t="s">
        <v>231</v>
      </c>
      <c r="C25" s="602"/>
      <c r="D25" t="s">
        <v>232</v>
      </c>
      <c r="E25" t="s">
        <v>233</v>
      </c>
      <c r="F25" t="s">
        <v>234</v>
      </c>
      <c r="G25" t="s">
        <v>235</v>
      </c>
      <c r="H25" t="s">
        <v>236</v>
      </c>
    </row>
    <row r="26" spans="1:8" ht="13.7" customHeight="1">
      <c r="A26" t="s">
        <v>237</v>
      </c>
      <c r="B26" s="602" t="s">
        <v>238</v>
      </c>
      <c r="C26" s="602"/>
      <c r="D26" t="s">
        <v>239</v>
      </c>
      <c r="E26" t="s">
        <v>240</v>
      </c>
      <c r="F26" t="s">
        <v>241</v>
      </c>
      <c r="G26" t="s">
        <v>242</v>
      </c>
      <c r="H26" t="s">
        <v>243</v>
      </c>
    </row>
    <row r="27" spans="1:8" ht="15.2" customHeight="1">
      <c r="A27" s="602" t="s">
        <v>244</v>
      </c>
      <c r="B27" s="602"/>
    </row>
  </sheetData>
  <mergeCells count="27">
    <mergeCell ref="B26:C26"/>
    <mergeCell ref="A27:B27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B1:C1"/>
    <mergeCell ref="B2:C2"/>
    <mergeCell ref="B3:C3"/>
    <mergeCell ref="B4:C4"/>
    <mergeCell ref="B5:C5"/>
  </mergeCells>
  <pageMargins left="0" right="0" top="0" bottom="0" header="0" footer="0"/>
  <pageSetup paperSize="0" orientation="portrait" horizontalDpi="300" verticalDpi="300"/>
  <rowBreaks count="28" manualBreakCount="28">
    <brk max="16383" man="1"/>
    <brk id="1" max="16383" man="1"/>
    <brk id="2" max="16383" man="1"/>
    <brk id="3" max="16383" man="1"/>
    <brk id="4" max="16383" man="1"/>
    <brk id="5" max="16383" man="1"/>
    <brk id="6" max="16383" man="1"/>
    <brk id="7" max="16383" man="1"/>
    <brk id="8" max="16383" man="1"/>
    <brk id="9" max="16383" man="1"/>
    <brk id="10" max="16383" man="1"/>
    <brk id="11" max="16383" man="1"/>
    <brk id="12" max="16383" man="1"/>
    <brk id="13" max="16383" man="1"/>
    <brk id="14" max="16383" man="1"/>
    <brk id="15" max="16383" man="1"/>
    <brk id="16" max="16383" man="1"/>
    <brk id="17" max="16383" man="1"/>
    <brk id="18" max="16383" man="1"/>
    <brk id="19" max="16383" man="1"/>
    <brk id="20" max="16383" man="1"/>
    <brk id="21" max="16383" man="1"/>
    <brk id="22" max="16383" man="1"/>
    <brk id="23" max="16383" man="1"/>
    <brk id="24" max="16383" man="1"/>
    <brk id="25" max="16383" man="1"/>
    <brk id="26" max="16383" man="1"/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50"/>
  <sheetViews>
    <sheetView zoomScale="90" zoomScaleNormal="90" workbookViewId="0">
      <pane xSplit="8" topLeftCell="I1" activePane="topRight" state="frozen"/>
      <selection pane="topRight" activeCell="N43" sqref="N43"/>
    </sheetView>
  </sheetViews>
  <sheetFormatPr defaultColWidth="8.85546875" defaultRowHeight="12.75"/>
  <cols>
    <col min="1" max="1" width="3.42578125" style="102" bestFit="1" customWidth="1"/>
    <col min="2" max="2" width="25.7109375" style="102" customWidth="1"/>
    <col min="3" max="3" width="25.140625" style="102" customWidth="1"/>
    <col min="4" max="4" width="4.7109375" style="102" bestFit="1" customWidth="1"/>
    <col min="5" max="5" width="16.28515625" style="102" customWidth="1"/>
    <col min="6" max="6" width="14.140625" style="102" customWidth="1"/>
    <col min="7" max="7" width="15.140625" style="102" customWidth="1"/>
    <col min="8" max="9" width="14.42578125" style="102" bestFit="1" customWidth="1"/>
    <col min="10" max="15" width="15.7109375" style="102" bestFit="1" customWidth="1"/>
    <col min="16" max="16384" width="8.85546875" style="102"/>
  </cols>
  <sheetData>
    <row r="1" spans="1:15" ht="30" customHeight="1">
      <c r="A1" s="106" t="s">
        <v>0</v>
      </c>
      <c r="B1" s="463" t="s">
        <v>1</v>
      </c>
      <c r="C1" s="463"/>
      <c r="D1" s="106" t="s">
        <v>2</v>
      </c>
      <c r="E1" s="106" t="s">
        <v>3</v>
      </c>
      <c r="F1" s="106" t="s">
        <v>4</v>
      </c>
      <c r="G1" s="106" t="s">
        <v>5</v>
      </c>
      <c r="H1" s="106" t="s">
        <v>6</v>
      </c>
      <c r="I1" s="106" t="s">
        <v>323</v>
      </c>
      <c r="J1" s="106" t="s">
        <v>324</v>
      </c>
      <c r="K1" s="106" t="s">
        <v>361</v>
      </c>
      <c r="L1" s="106" t="s">
        <v>362</v>
      </c>
      <c r="M1" s="106" t="s">
        <v>363</v>
      </c>
      <c r="N1" s="106" t="s">
        <v>364</v>
      </c>
      <c r="O1" s="106" t="s">
        <v>365</v>
      </c>
    </row>
    <row r="2" spans="1:15">
      <c r="A2" s="101" t="s">
        <v>7</v>
      </c>
      <c r="B2" s="464" t="s">
        <v>8</v>
      </c>
      <c r="C2" s="464"/>
      <c r="D2" s="101" t="s">
        <v>9</v>
      </c>
      <c r="E2" s="101" t="s">
        <v>10</v>
      </c>
      <c r="F2" s="101" t="s">
        <v>11</v>
      </c>
      <c r="G2" s="101" t="s">
        <v>12</v>
      </c>
      <c r="H2" s="101" t="s">
        <v>13</v>
      </c>
      <c r="I2" s="101" t="s">
        <v>374</v>
      </c>
      <c r="J2" s="101" t="s">
        <v>375</v>
      </c>
      <c r="K2" s="101" t="s">
        <v>376</v>
      </c>
      <c r="L2" s="101" t="s">
        <v>377</v>
      </c>
      <c r="M2" s="101" t="s">
        <v>378</v>
      </c>
      <c r="N2" s="101" t="s">
        <v>379</v>
      </c>
      <c r="O2" s="101" t="s">
        <v>380</v>
      </c>
    </row>
    <row r="3" spans="1:15">
      <c r="A3" s="106" t="s">
        <v>14</v>
      </c>
      <c r="B3" s="465" t="s">
        <v>15</v>
      </c>
      <c r="C3" s="465"/>
      <c r="D3" s="101" t="s">
        <v>16</v>
      </c>
      <c r="E3" s="103">
        <v>55105071.950000003</v>
      </c>
      <c r="F3" s="103">
        <v>57141361.380000003</v>
      </c>
      <c r="G3" s="103">
        <v>65383699.93</v>
      </c>
      <c r="H3" s="103">
        <v>78924217.25</v>
      </c>
      <c r="I3" s="103">
        <v>93193837.620000005</v>
      </c>
      <c r="J3" s="103">
        <f>J42+'Przychody i koszty projektu 1'!F16+'Przychody i koszty projektu 1'!F19+'Przychody i koszty projekt 2-4'!F16</f>
        <v>88903700</v>
      </c>
      <c r="K3" s="103">
        <f>K42+'Przychody i koszty projektu 1'!G16+'Przychody i koszty projektu 1'!G19+'Przychody i koszty projekt 2-4'!G16</f>
        <v>97305099.650000006</v>
      </c>
      <c r="L3" s="103">
        <f>L42+'Przychody i koszty projektu 1'!H16+'Przychody i koszty projektu 1'!H19+'Przychody i koszty projekt 2-4'!H16</f>
        <v>115906126.90695001</v>
      </c>
      <c r="M3" s="103">
        <f>M42+'Przychody i koszty projektu 1'!I16+'Przychody i koszty projektu 1'!I19+'Przychody i koszty projekt 2-4'!I16</f>
        <v>126511017.46172746</v>
      </c>
      <c r="N3" s="103">
        <f>N42+'Przychody i koszty projektu 1'!J16+'Przychody i koszty projektu 1'!J19+'Przychody i koszty projekt 2-4'!J16</f>
        <v>137945000.333857</v>
      </c>
      <c r="O3" s="103">
        <f>O42+'Przychody i koszty projektu 1'!K16+'Przychody i koszty projektu 1'!K19+'Przychody i koszty projekt 2-4'!K16</f>
        <v>149505596.07764629</v>
      </c>
    </row>
    <row r="4" spans="1:15">
      <c r="A4" s="106" t="s">
        <v>18</v>
      </c>
      <c r="B4" s="465" t="s">
        <v>19</v>
      </c>
      <c r="C4" s="465"/>
      <c r="D4" s="101" t="s">
        <v>16</v>
      </c>
      <c r="E4" s="103">
        <f>SUM(E5:E12)</f>
        <v>57738269.280000001</v>
      </c>
      <c r="F4" s="103">
        <f t="shared" ref="F4:O4" si="0">SUM(F5:F12)</f>
        <v>62939656.039999999</v>
      </c>
      <c r="G4" s="103">
        <f t="shared" si="0"/>
        <v>70428469.63000001</v>
      </c>
      <c r="H4" s="103">
        <f t="shared" si="0"/>
        <v>82575146.679999992</v>
      </c>
      <c r="I4" s="103">
        <f t="shared" si="0"/>
        <v>90443814.570000008</v>
      </c>
      <c r="J4" s="103">
        <f t="shared" si="0"/>
        <v>89336647</v>
      </c>
      <c r="K4" s="103">
        <f t="shared" si="0"/>
        <v>96987935.300999999</v>
      </c>
      <c r="L4" s="103">
        <f t="shared" si="0"/>
        <v>115585610.92842299</v>
      </c>
      <c r="M4" s="103">
        <f t="shared" si="0"/>
        <v>127310985.51535703</v>
      </c>
      <c r="N4" s="103">
        <f t="shared" si="0"/>
        <v>140762895.15953705</v>
      </c>
      <c r="O4" s="103">
        <f t="shared" si="0"/>
        <v>154792479.51727566</v>
      </c>
    </row>
    <row r="5" spans="1:15">
      <c r="A5" s="106" t="s">
        <v>20</v>
      </c>
      <c r="B5" s="465" t="s">
        <v>21</v>
      </c>
      <c r="C5" s="465"/>
      <c r="D5" s="101" t="s">
        <v>16</v>
      </c>
      <c r="E5" s="103">
        <v>11379917.32</v>
      </c>
      <c r="F5" s="103">
        <v>11125533.220000001</v>
      </c>
      <c r="G5" s="103">
        <v>8807826.9800000004</v>
      </c>
      <c r="H5" s="103">
        <v>8582855.7899999991</v>
      </c>
      <c r="I5" s="103">
        <v>9441592.2799999993</v>
      </c>
      <c r="J5" s="103">
        <f>'Amortyzacja obecna i projektowa'!Y270+689080.21+31100</f>
        <v>9607000.0000000037</v>
      </c>
      <c r="K5" s="103">
        <f>'Amortyzacja obecna i projektowa'!Z270+124400</f>
        <v>8821738.0000000019</v>
      </c>
      <c r="L5" s="103">
        <f>'Amortyzacja obecna i projektowa'!AA270+124400</f>
        <v>11986321.08</v>
      </c>
      <c r="M5" s="103">
        <f>'Amortyzacja obecna i projektowa'!AB270+124400</f>
        <v>10950573.640000001</v>
      </c>
      <c r="N5" s="103">
        <f>'Amortyzacja obecna i projektowa'!AC270+124400</f>
        <v>10227989.130000001</v>
      </c>
      <c r="O5" s="103">
        <f>'Amortyzacja obecna i projektowa'!AD270+93300</f>
        <v>9656201.1400000006</v>
      </c>
    </row>
    <row r="6" spans="1:15">
      <c r="A6" s="106" t="s">
        <v>22</v>
      </c>
      <c r="B6" s="465" t="s">
        <v>23</v>
      </c>
      <c r="C6" s="465"/>
      <c r="D6" s="101" t="s">
        <v>16</v>
      </c>
      <c r="E6" s="103">
        <v>5306867.5599999996</v>
      </c>
      <c r="F6" s="103">
        <v>6638843.7000000002</v>
      </c>
      <c r="G6" s="103">
        <v>8738723.8599999994</v>
      </c>
      <c r="H6" s="103">
        <v>9002359.8699999992</v>
      </c>
      <c r="I6" s="103">
        <v>11537689.18</v>
      </c>
      <c r="J6" s="103">
        <f>J43+'Przychody i koszty projektu 1'!F5+'Przychody i koszty projektu 1'!F6+'Przychody i koszty projekt 2-4'!F5+'Przychody i koszty projekt 2-4'!F6</f>
        <v>13106122</v>
      </c>
      <c r="K6" s="103">
        <f>K43+'Przychody i koszty projektu 1'!G5+'Przychody i koszty projektu 1'!G6+'Przychody i koszty projekt 2-4'!G5+'Przychody i koszty projekt 2-4'!G6</f>
        <v>14718175.005999999</v>
      </c>
      <c r="L6" s="103">
        <f>L43+'Przychody i koszty projektu 1'!H5+'Przychody i koszty projektu 1'!H6+'Przychody i koszty projekt 2-4'!H5+'Przychody i koszty projekt 2-4'!H6</f>
        <v>17737328.830738001</v>
      </c>
      <c r="M6" s="103">
        <f>M43+'Przychody i koszty projektu 1'!I5+'Przychody i koszty projektu 1'!I6+'Przychody i koszty projekt 2-4'!I5+'Przychody i koszty projekt 2-4'!I6</f>
        <v>19858579.361968771</v>
      </c>
      <c r="N6" s="103">
        <f>N43+'Przychody i koszty projektu 1'!J5+'Przychody i koszty projektu 1'!J6+'Przychody i koszty projekt 2-4'!J5+'Przychody i koszty projekt 2-4'!J6</f>
        <v>22236331.521749582</v>
      </c>
      <c r="O6" s="103">
        <f>O43+'Przychody i koszty projektu 1'!K5+'Przychody i koszty projektu 1'!K6+'Przychody i koszty projekt 2-4'!K5+'Przychody i koszty projekt 2-4'!K6</f>
        <v>24901812.92075631</v>
      </c>
    </row>
    <row r="7" spans="1:15">
      <c r="A7" s="106" t="s">
        <v>24</v>
      </c>
      <c r="B7" s="465" t="s">
        <v>25</v>
      </c>
      <c r="C7" s="465"/>
      <c r="D7" s="101" t="s">
        <v>16</v>
      </c>
      <c r="E7" s="103">
        <v>20071411.420000002</v>
      </c>
      <c r="F7" s="103">
        <v>19127605.469999999</v>
      </c>
      <c r="G7" s="103">
        <v>24209260.210000001</v>
      </c>
      <c r="H7" s="103">
        <v>32150711.300000001</v>
      </c>
      <c r="I7" s="103">
        <v>33382710.010000002</v>
      </c>
      <c r="J7" s="103">
        <f>J44+'Przychody i koszty projektu 1'!F7+'Przychody i koszty projekt 2-4'!F7</f>
        <v>29341328</v>
      </c>
      <c r="K7" s="103">
        <f>K44+'Przychody i koszty projektu 1'!G7+'Przychody i koszty projekt 2-4'!G7</f>
        <v>32950311.344000001</v>
      </c>
      <c r="L7" s="103">
        <f>L44+'Przychody i koszty projektu 1'!H7+'Przychody i koszty projekt 2-4'!H7</f>
        <v>43952699.639311999</v>
      </c>
      <c r="M7" s="103">
        <f>M44+'Przychody i koszty projektu 1'!I7+'Przychody i koszty projekt 2-4'!I7</f>
        <v>52368018.444947377</v>
      </c>
      <c r="N7" s="103">
        <f>N44+'Przychody i koszty projektu 1'!J7+'Przychody i koszty projekt 2-4'!J7</f>
        <v>61173738.5098259</v>
      </c>
      <c r="O7" s="103">
        <f>O44+'Przychody i koszty projektu 1'!K7+'Przychody i koszty projekt 2-4'!K7</f>
        <v>69539045.080893785</v>
      </c>
    </row>
    <row r="8" spans="1:15">
      <c r="A8" s="106" t="s">
        <v>26</v>
      </c>
      <c r="B8" s="465" t="s">
        <v>27</v>
      </c>
      <c r="C8" s="465"/>
      <c r="D8" s="101" t="s">
        <v>16</v>
      </c>
      <c r="E8" s="103">
        <v>4419096.21</v>
      </c>
      <c r="F8" s="103">
        <v>6637475.1799999997</v>
      </c>
      <c r="G8" s="103">
        <v>7524863.4800000004</v>
      </c>
      <c r="H8" s="103">
        <v>9745730.6099999994</v>
      </c>
      <c r="I8" s="103">
        <v>10101803.939999999</v>
      </c>
      <c r="J8" s="103">
        <f>J45+'Przychody i koszty projektu 1'!F9+'Przychody i koszty projekt 2-4'!F9</f>
        <v>9066932</v>
      </c>
      <c r="K8" s="103">
        <f>K45+'Przychody i koszty projektu 1'!G9+'Przychody i koszty projekt 2-4'!G9</f>
        <v>10182164.636</v>
      </c>
      <c r="L8" s="103">
        <f>L45+'Przychody i koszty projektu 1'!H9+'Przychody i koszty projekt 2-4'!H9</f>
        <v>8704195.8862280007</v>
      </c>
      <c r="M8" s="103">
        <f>M45+'Przychody i koszty projektu 1'!I9+'Przychody i koszty projekt 2-4'!I9</f>
        <v>8446484.5427340455</v>
      </c>
      <c r="N8" s="103">
        <f>N45+'Przychody i koszty projektu 1'!J9+'Przychody i koszty projekt 2-4'!J9</f>
        <v>8762061.0941028334</v>
      </c>
      <c r="O8" s="103">
        <f>O45+'Przychody i koszty projektu 1'!K9+'Przychody i koszty projekt 2-4'!K9</f>
        <v>9448107.0428479575</v>
      </c>
    </row>
    <row r="9" spans="1:15">
      <c r="A9" s="106" t="s">
        <v>28</v>
      </c>
      <c r="B9" s="465" t="s">
        <v>29</v>
      </c>
      <c r="C9" s="465"/>
      <c r="D9" s="101" t="s">
        <v>16</v>
      </c>
      <c r="E9" s="103">
        <v>11855810.380000001</v>
      </c>
      <c r="F9" s="103">
        <v>14047102.49</v>
      </c>
      <c r="G9" s="103">
        <v>15318201.99</v>
      </c>
      <c r="H9" s="103">
        <v>16788416.510000002</v>
      </c>
      <c r="I9" s="103">
        <v>19007696.809999999</v>
      </c>
      <c r="J9" s="103">
        <f>J46+'Przychody i koszty projektu 1'!F8+'Przychody i koszty projekt 2-4'!F8</f>
        <v>20677760</v>
      </c>
      <c r="K9" s="103">
        <f>K46+'Przychody i koszty projektu 1'!G8+'Przychody i koszty projekt 2-4'!G8</f>
        <v>22125203.200000003</v>
      </c>
      <c r="L9" s="103">
        <f>L46+'Przychody i koszty projektu 1'!H8+'Przychody i koszty projekt 2-4'!H8</f>
        <v>24300784.424000006</v>
      </c>
      <c r="M9" s="103">
        <f>M46+'Przychody i koszty projektu 1'!I8+'Przychody i koszty projekt 2-4'!I8</f>
        <v>26001839.333680008</v>
      </c>
      <c r="N9" s="103">
        <f>N46+'Przychody i koszty projektu 1'!J8+'Przychody i koszty projekt 2-4'!J8</f>
        <v>27821968.087037608</v>
      </c>
      <c r="O9" s="103">
        <f>O46+'Przychody i koszty projektu 1'!K8+'Przychody i koszty projekt 2-4'!K8</f>
        <v>29769505.85313024</v>
      </c>
    </row>
    <row r="10" spans="1:15">
      <c r="A10" s="106" t="s">
        <v>30</v>
      </c>
      <c r="B10" s="465" t="s">
        <v>31</v>
      </c>
      <c r="C10" s="465"/>
      <c r="D10" s="101" t="s">
        <v>16</v>
      </c>
      <c r="E10" s="103">
        <v>3058542.2</v>
      </c>
      <c r="F10" s="103">
        <v>3467387.83</v>
      </c>
      <c r="G10" s="103">
        <v>3870863.19</v>
      </c>
      <c r="H10" s="103">
        <v>4216656.2699999996</v>
      </c>
      <c r="I10" s="103">
        <v>4836018.29</v>
      </c>
      <c r="J10" s="103">
        <f>J47</f>
        <v>5175000</v>
      </c>
      <c r="K10" s="103">
        <f t="shared" ref="K10:O10" si="1">K47</f>
        <v>5537250</v>
      </c>
      <c r="L10" s="103">
        <f>L47</f>
        <v>5924857.5</v>
      </c>
      <c r="M10" s="103">
        <f t="shared" si="1"/>
        <v>6339597.5250000004</v>
      </c>
      <c r="N10" s="103">
        <f t="shared" si="1"/>
        <v>6783369.3517500004</v>
      </c>
      <c r="O10" s="103">
        <f t="shared" si="1"/>
        <v>7258205.2063725004</v>
      </c>
    </row>
    <row r="11" spans="1:15">
      <c r="A11" s="106" t="s">
        <v>32</v>
      </c>
      <c r="B11" s="465" t="s">
        <v>33</v>
      </c>
      <c r="C11" s="465"/>
      <c r="D11" s="101" t="s">
        <v>16</v>
      </c>
      <c r="E11" s="103">
        <v>1265272.9099999999</v>
      </c>
      <c r="F11" s="103">
        <v>1422412.76</v>
      </c>
      <c r="G11" s="103">
        <v>1573906.31</v>
      </c>
      <c r="H11" s="103">
        <v>1601317</v>
      </c>
      <c r="I11" s="103">
        <v>1418100.55</v>
      </c>
      <c r="J11" s="103">
        <f>J48+'Przychody i koszty projektu 1'!F10+'Przychody i koszty projekt 2-4'!F10</f>
        <v>1466005</v>
      </c>
      <c r="K11" s="103">
        <f>K48+'Przychody i koszty projektu 1'!G10+'Przychody i koszty projekt 2-4'!G10</f>
        <v>1646323.615</v>
      </c>
      <c r="L11" s="103">
        <f>L48+'Przychody i koszty projektu 1'!H10+'Przychody i koszty projekt 2-4'!H10</f>
        <v>1848821.419645</v>
      </c>
      <c r="M11" s="103">
        <f>M48+'Przychody i koszty projektu 1'!I10+'Przychody i koszty projekt 2-4'!I10</f>
        <v>2076226.4542613351</v>
      </c>
      <c r="N11" s="103">
        <f>N48+'Przychody i koszty projektu 1'!J10+'Przychody i koszty projekt 2-4'!J10</f>
        <v>2331602.3081354792</v>
      </c>
      <c r="O11" s="103">
        <f>O48+'Przychody i koszty projektu 1'!K10+'Przychody i koszty projekt 2-4'!K10</f>
        <v>2618389.3920361432</v>
      </c>
    </row>
    <row r="12" spans="1:15" ht="25.5">
      <c r="A12" s="106" t="s">
        <v>34</v>
      </c>
      <c r="B12" s="465" t="s">
        <v>35</v>
      </c>
      <c r="C12" s="465"/>
      <c r="D12" s="101" t="s">
        <v>16</v>
      </c>
      <c r="E12" s="103">
        <v>381351.28</v>
      </c>
      <c r="F12" s="103">
        <v>473295.39</v>
      </c>
      <c r="G12" s="103">
        <v>384823.61</v>
      </c>
      <c r="H12" s="103">
        <v>487099.33</v>
      </c>
      <c r="I12" s="103">
        <v>718203.51</v>
      </c>
      <c r="J12" s="103">
        <v>896500</v>
      </c>
      <c r="K12" s="103">
        <f t="shared" ref="K12:O12" si="2">J12*(1+$G$41)</f>
        <v>1006769.5</v>
      </c>
      <c r="L12" s="103">
        <f t="shared" si="2"/>
        <v>1130602.1484999999</v>
      </c>
      <c r="M12" s="103">
        <f t="shared" si="2"/>
        <v>1269666.2127654999</v>
      </c>
      <c r="N12" s="103">
        <f t="shared" si="2"/>
        <v>1425835.1569356564</v>
      </c>
      <c r="O12" s="103">
        <f t="shared" si="2"/>
        <v>1601212.8812387423</v>
      </c>
    </row>
    <row r="13" spans="1:15" s="385" customFormat="1">
      <c r="A13" s="383" t="s">
        <v>36</v>
      </c>
      <c r="B13" s="466" t="s">
        <v>37</v>
      </c>
      <c r="C13" s="466"/>
      <c r="D13" s="79" t="s">
        <v>16</v>
      </c>
      <c r="E13" s="384">
        <f>E3-E4</f>
        <v>-2633197.3299999982</v>
      </c>
      <c r="F13" s="384">
        <f t="shared" ref="F13:O13" si="3">F3-F4</f>
        <v>-5798294.6599999964</v>
      </c>
      <c r="G13" s="384">
        <f t="shared" si="3"/>
        <v>-5044769.7000000104</v>
      </c>
      <c r="H13" s="384">
        <f t="shared" si="3"/>
        <v>-3650929.4299999923</v>
      </c>
      <c r="I13" s="384">
        <f t="shared" si="3"/>
        <v>2750023.049999997</v>
      </c>
      <c r="J13" s="384">
        <f t="shared" si="3"/>
        <v>-432947</v>
      </c>
      <c r="K13" s="384">
        <f t="shared" si="3"/>
        <v>317164.34900000691</v>
      </c>
      <c r="L13" s="384">
        <f t="shared" si="3"/>
        <v>320515.97852702439</v>
      </c>
      <c r="M13" s="384">
        <f t="shared" si="3"/>
        <v>-799968.05362957716</v>
      </c>
      <c r="N13" s="384">
        <f t="shared" si="3"/>
        <v>-2817894.8256800473</v>
      </c>
      <c r="O13" s="384">
        <f t="shared" si="3"/>
        <v>-5286883.4396293759</v>
      </c>
    </row>
    <row r="14" spans="1:15">
      <c r="A14" s="106" t="s">
        <v>38</v>
      </c>
      <c r="B14" s="465" t="s">
        <v>39</v>
      </c>
      <c r="C14" s="465"/>
      <c r="D14" s="101" t="s">
        <v>16</v>
      </c>
      <c r="E14" s="103">
        <v>5331850.49</v>
      </c>
      <c r="F14" s="103">
        <v>5662940.5700000003</v>
      </c>
      <c r="G14" s="103">
        <v>8128367.4900000002</v>
      </c>
      <c r="H14" s="103">
        <v>5492804.29</v>
      </c>
      <c r="I14" s="103">
        <v>4712046.16</v>
      </c>
      <c r="J14" s="103">
        <f>J49+J15</f>
        <v>4063600</v>
      </c>
      <c r="K14" s="103">
        <f t="shared" ref="K14:O14" si="4">K49+K15</f>
        <v>4563422.8</v>
      </c>
      <c r="L14" s="103">
        <f>L49+'Amortyzacja obecna i projektowa'!AA273+'Amortyzacja obecna i projektowa'!AA274</f>
        <v>6197523.8043999998</v>
      </c>
      <c r="M14" s="103">
        <f t="shared" si="4"/>
        <v>5898584.8323411997</v>
      </c>
      <c r="N14" s="103">
        <f t="shared" si="4"/>
        <v>6606457.8067191672</v>
      </c>
      <c r="O14" s="103">
        <f t="shared" si="4"/>
        <v>7401399.1569456244</v>
      </c>
    </row>
    <row r="15" spans="1:15" hidden="1">
      <c r="A15" s="106" t="s">
        <v>17</v>
      </c>
      <c r="B15" s="465" t="s">
        <v>40</v>
      </c>
      <c r="C15" s="465"/>
      <c r="D15" s="101" t="s">
        <v>16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442">
        <f>RPP!L24</f>
        <v>143520.00000000003</v>
      </c>
      <c r="M15" s="442">
        <f>RPP!M24</f>
        <v>143520.00000000003</v>
      </c>
      <c r="N15" s="442">
        <f>RPP!N24</f>
        <v>143520.00000000003</v>
      </c>
      <c r="O15" s="442">
        <f>RPP!O24</f>
        <v>143520.00000000003</v>
      </c>
    </row>
    <row r="16" spans="1:15">
      <c r="A16" s="106" t="s">
        <v>41</v>
      </c>
      <c r="B16" s="465" t="s">
        <v>42</v>
      </c>
      <c r="C16" s="465"/>
      <c r="D16" s="101" t="s">
        <v>16</v>
      </c>
      <c r="E16" s="103">
        <v>1058706.19</v>
      </c>
      <c r="F16" s="103">
        <v>1012708.97</v>
      </c>
      <c r="G16" s="103">
        <v>2124802.64</v>
      </c>
      <c r="H16" s="103">
        <v>824523.82</v>
      </c>
      <c r="I16" s="103">
        <v>2921584.14</v>
      </c>
      <c r="J16" s="103">
        <f>J50</f>
        <v>691600</v>
      </c>
      <c r="K16" s="103">
        <f t="shared" ref="K16:O16" si="5">K50</f>
        <v>776666.8</v>
      </c>
      <c r="L16" s="103">
        <f t="shared" si="5"/>
        <v>872196.81640000001</v>
      </c>
      <c r="M16" s="103">
        <f t="shared" si="5"/>
        <v>979477.02481720003</v>
      </c>
      <c r="N16" s="103">
        <f t="shared" si="5"/>
        <v>1099952.6988697157</v>
      </c>
      <c r="O16" s="103">
        <f t="shared" si="5"/>
        <v>1235246.8808306907</v>
      </c>
    </row>
    <row r="17" spans="1:15" s="385" customFormat="1">
      <c r="A17" s="402" t="s">
        <v>43</v>
      </c>
      <c r="B17" s="466" t="s">
        <v>44</v>
      </c>
      <c r="C17" s="466"/>
      <c r="D17" s="79" t="s">
        <v>16</v>
      </c>
      <c r="E17" s="384">
        <f>E13+E14-E16</f>
        <v>1639946.9700000021</v>
      </c>
      <c r="F17" s="384">
        <f t="shared" ref="F17:I17" si="6">F13+F14-F16</f>
        <v>-1148063.0599999961</v>
      </c>
      <c r="G17" s="384">
        <f t="shared" si="6"/>
        <v>958795.14999998966</v>
      </c>
      <c r="H17" s="384">
        <f t="shared" si="6"/>
        <v>1017351.0400000078</v>
      </c>
      <c r="I17" s="384">
        <f t="shared" si="6"/>
        <v>4540485.0699999966</v>
      </c>
      <c r="J17" s="384">
        <f>J13+J14-J16</f>
        <v>2939053</v>
      </c>
      <c r="K17" s="384">
        <f t="shared" ref="K17:O17" si="7">K13+K14-K16</f>
        <v>4103920.3490000069</v>
      </c>
      <c r="L17" s="384">
        <f t="shared" si="7"/>
        <v>5645842.9665270243</v>
      </c>
      <c r="M17" s="384">
        <f t="shared" si="7"/>
        <v>4119139.7538944227</v>
      </c>
      <c r="N17" s="384">
        <f t="shared" si="7"/>
        <v>2688610.2821694044</v>
      </c>
      <c r="O17" s="384">
        <f t="shared" si="7"/>
        <v>879268.83648555772</v>
      </c>
    </row>
    <row r="18" spans="1:15">
      <c r="A18" s="106" t="s">
        <v>45</v>
      </c>
      <c r="B18" s="465" t="s">
        <v>46</v>
      </c>
      <c r="C18" s="465"/>
      <c r="D18" s="101" t="s">
        <v>16</v>
      </c>
      <c r="E18" s="103">
        <v>238868.29</v>
      </c>
      <c r="F18" s="103">
        <v>200243.65</v>
      </c>
      <c r="G18" s="103">
        <v>147213.65</v>
      </c>
      <c r="H18" s="103">
        <v>51056.09</v>
      </c>
      <c r="I18" s="103">
        <v>8045</v>
      </c>
      <c r="J18" s="103">
        <v>0</v>
      </c>
      <c r="K18" s="103">
        <v>0</v>
      </c>
      <c r="L18" s="103">
        <v>0</v>
      </c>
      <c r="M18" s="103">
        <v>0</v>
      </c>
      <c r="N18" s="103">
        <v>0</v>
      </c>
      <c r="O18" s="103">
        <v>0</v>
      </c>
    </row>
    <row r="19" spans="1:15">
      <c r="A19" s="106" t="s">
        <v>47</v>
      </c>
      <c r="B19" s="465" t="s">
        <v>48</v>
      </c>
      <c r="C19" s="465"/>
      <c r="D19" s="101" t="s">
        <v>16</v>
      </c>
      <c r="E19" s="103">
        <v>682630.96</v>
      </c>
      <c r="F19" s="103">
        <v>660970.09</v>
      </c>
      <c r="G19" s="103">
        <v>735775.41</v>
      </c>
      <c r="H19" s="103">
        <v>847863.99</v>
      </c>
      <c r="I19" s="103">
        <v>786774.76</v>
      </c>
      <c r="J19" s="103">
        <v>744000</v>
      </c>
      <c r="K19" s="103">
        <f>'Leasingi - obecnie'!BL91+'Leasingi - obecnie'!BL92+'Kredyty - obecnie'!BD55+'Pożyczka - projekt 1'!I39+'Pożyczka - projekt 2-4'!I39</f>
        <v>604615.19248052803</v>
      </c>
      <c r="L19" s="103">
        <f>'Leasingi - obecnie'!BW91+'Leasingi - obecnie'!BW92+'Kredyty - obecnie'!BQ55+'Pożyczka - projekt 1'!I51+'Pożyczka - projekt 2-4'!I51</f>
        <v>443197.7391777779</v>
      </c>
      <c r="M19" s="103">
        <f>'Kredyty - obecnie'!CD55+'Pożyczka - projekt 1'!I63+'Pożyczka - projekt 2-4'!I63</f>
        <v>312979.3379277779</v>
      </c>
      <c r="N19" s="103">
        <f>'Kredyty - obecnie'!CQ55+'Pożyczka - projekt 1'!I75+'Pożyczka - projekt 2-4'!I75</f>
        <v>234177.34751111123</v>
      </c>
      <c r="O19" s="103">
        <f>'Kredyty - obecnie'!DD55+'Pożyczka - projekt 1'!I87+'Pożyczka - projekt 2-4'!I87</f>
        <v>200248.03514444458</v>
      </c>
    </row>
    <row r="20" spans="1:15" hidden="1">
      <c r="A20" s="106" t="s">
        <v>17</v>
      </c>
      <c r="B20" s="465" t="s">
        <v>49</v>
      </c>
      <c r="C20" s="465"/>
      <c r="D20" s="101" t="s">
        <v>16</v>
      </c>
      <c r="E20" s="103">
        <v>0</v>
      </c>
      <c r="F20" s="103">
        <v>0</v>
      </c>
      <c r="G20" s="103">
        <v>0</v>
      </c>
      <c r="H20" s="103">
        <v>0</v>
      </c>
      <c r="I20" s="103">
        <f>'Pożyczka - projekt 1'!I15+'Pożyczka - projekt 2-4'!I15</f>
        <v>0</v>
      </c>
      <c r="J20" s="442">
        <f>RPP!J29</f>
        <v>8664.7555555555518</v>
      </c>
      <c r="K20" s="442">
        <f>RPP!K29</f>
        <v>30232.222222222208</v>
      </c>
      <c r="L20" s="442">
        <f>RPP!L29</f>
        <v>27999.688888888879</v>
      </c>
      <c r="M20" s="442">
        <f>RPP!M29</f>
        <v>25767.155555555531</v>
      </c>
      <c r="N20" s="442">
        <f>RPP!N29</f>
        <v>23534.622222222191</v>
      </c>
      <c r="O20" s="442">
        <f>RPP!O29</f>
        <v>21302.088888888858</v>
      </c>
    </row>
    <row r="21" spans="1:15" s="385" customFormat="1">
      <c r="A21" s="402" t="s">
        <v>50</v>
      </c>
      <c r="B21" s="466" t="s">
        <v>51</v>
      </c>
      <c r="C21" s="466"/>
      <c r="D21" s="79" t="s">
        <v>16</v>
      </c>
      <c r="E21" s="384">
        <f>E17+E18-E19</f>
        <v>1196184.3000000021</v>
      </c>
      <c r="F21" s="384">
        <f t="shared" ref="F21:O21" si="8">F17+F18-F19</f>
        <v>-1608789.499999996</v>
      </c>
      <c r="G21" s="384">
        <f t="shared" si="8"/>
        <v>370233.38999998954</v>
      </c>
      <c r="H21" s="384">
        <f t="shared" si="8"/>
        <v>220543.14000000781</v>
      </c>
      <c r="I21" s="384">
        <f t="shared" si="8"/>
        <v>3761755.3099999968</v>
      </c>
      <c r="J21" s="384">
        <f t="shared" si="8"/>
        <v>2195053</v>
      </c>
      <c r="K21" s="384">
        <f t="shared" si="8"/>
        <v>3499305.1565194791</v>
      </c>
      <c r="L21" s="384">
        <f t="shared" si="8"/>
        <v>5202645.2273492459</v>
      </c>
      <c r="M21" s="384">
        <f t="shared" si="8"/>
        <v>3806160.4159666449</v>
      </c>
      <c r="N21" s="384">
        <f t="shared" si="8"/>
        <v>2454432.9346582931</v>
      </c>
      <c r="O21" s="384">
        <f t="shared" si="8"/>
        <v>679020.80134111317</v>
      </c>
    </row>
    <row r="22" spans="1:15">
      <c r="A22" s="106" t="s">
        <v>52</v>
      </c>
      <c r="B22" s="465" t="s">
        <v>53</v>
      </c>
      <c r="C22" s="465"/>
      <c r="D22" s="101" t="s">
        <v>16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3">
        <v>0</v>
      </c>
      <c r="O22" s="103">
        <v>0</v>
      </c>
    </row>
    <row r="23" spans="1:15">
      <c r="A23" s="106" t="s">
        <v>54</v>
      </c>
      <c r="B23" s="465" t="s">
        <v>55</v>
      </c>
      <c r="C23" s="465"/>
      <c r="D23" s="101" t="s">
        <v>16</v>
      </c>
      <c r="E23" s="103">
        <f>E21+E22</f>
        <v>1196184.3000000021</v>
      </c>
      <c r="F23" s="103">
        <f t="shared" ref="F23:O23" si="9">F21+F22</f>
        <v>-1608789.499999996</v>
      </c>
      <c r="G23" s="103">
        <f t="shared" si="9"/>
        <v>370233.38999998954</v>
      </c>
      <c r="H23" s="103">
        <f t="shared" si="9"/>
        <v>220543.14000000781</v>
      </c>
      <c r="I23" s="103">
        <f t="shared" si="9"/>
        <v>3761755.3099999968</v>
      </c>
      <c r="J23" s="103">
        <f>J21+J22</f>
        <v>2195053</v>
      </c>
      <c r="K23" s="103">
        <f t="shared" si="9"/>
        <v>3499305.1565194791</v>
      </c>
      <c r="L23" s="103">
        <f t="shared" si="9"/>
        <v>5202645.2273492459</v>
      </c>
      <c r="M23" s="103">
        <f t="shared" si="9"/>
        <v>3806160.4159666449</v>
      </c>
      <c r="N23" s="103">
        <f t="shared" si="9"/>
        <v>2454432.9346582931</v>
      </c>
      <c r="O23" s="103">
        <f t="shared" si="9"/>
        <v>679020.80134111317</v>
      </c>
    </row>
    <row r="24" spans="1:15">
      <c r="A24" s="106" t="s">
        <v>56</v>
      </c>
      <c r="B24" s="465" t="s">
        <v>57</v>
      </c>
      <c r="C24" s="465"/>
      <c r="D24" s="101" t="s">
        <v>16</v>
      </c>
      <c r="E24" s="103">
        <v>408832</v>
      </c>
      <c r="F24" s="103">
        <v>-184561</v>
      </c>
      <c r="G24" s="103">
        <v>-268258</v>
      </c>
      <c r="H24" s="103">
        <v>-365805</v>
      </c>
      <c r="I24" s="103">
        <v>603685</v>
      </c>
      <c r="J24" s="103">
        <v>423000</v>
      </c>
      <c r="K24" s="103">
        <f t="shared" ref="K24:O24" si="10">IF(K23&gt;0,K23*19%,0)</f>
        <v>664867.97973870102</v>
      </c>
      <c r="L24" s="103">
        <f t="shared" si="10"/>
        <v>988502.59319635679</v>
      </c>
      <c r="M24" s="103">
        <f t="shared" si="10"/>
        <v>723170.47903366259</v>
      </c>
      <c r="N24" s="103">
        <f t="shared" si="10"/>
        <v>466342.25758507568</v>
      </c>
      <c r="O24" s="103">
        <f t="shared" si="10"/>
        <v>129013.95225481151</v>
      </c>
    </row>
    <row r="25" spans="1:15">
      <c r="A25" s="106" t="s">
        <v>58</v>
      </c>
      <c r="B25" s="465" t="s">
        <v>59</v>
      </c>
      <c r="C25" s="465"/>
      <c r="D25" s="101" t="s">
        <v>16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0</v>
      </c>
      <c r="L25" s="103">
        <v>0</v>
      </c>
      <c r="M25" s="103">
        <v>0</v>
      </c>
      <c r="N25" s="103">
        <v>0</v>
      </c>
      <c r="O25" s="103">
        <v>0</v>
      </c>
    </row>
    <row r="26" spans="1:15">
      <c r="A26" s="106" t="s">
        <v>60</v>
      </c>
      <c r="B26" s="465" t="s">
        <v>61</v>
      </c>
      <c r="C26" s="465"/>
      <c r="D26" s="101" t="s">
        <v>16</v>
      </c>
      <c r="E26" s="103">
        <f>E23-E24-E25</f>
        <v>787352.30000000214</v>
      </c>
      <c r="F26" s="103">
        <f t="shared" ref="F26:O26" si="11">F23-F24-F25</f>
        <v>-1424228.499999996</v>
      </c>
      <c r="G26" s="103">
        <f t="shared" si="11"/>
        <v>638491.38999998954</v>
      </c>
      <c r="H26" s="103">
        <f t="shared" si="11"/>
        <v>586348.14000000781</v>
      </c>
      <c r="I26" s="103">
        <f t="shared" si="11"/>
        <v>3158070.3099999968</v>
      </c>
      <c r="J26" s="103">
        <f t="shared" si="11"/>
        <v>1772053</v>
      </c>
      <c r="K26" s="103">
        <f t="shared" si="11"/>
        <v>2834437.176780778</v>
      </c>
      <c r="L26" s="103">
        <f t="shared" si="11"/>
        <v>4214142.6341528893</v>
      </c>
      <c r="M26" s="103">
        <f t="shared" si="11"/>
        <v>3082989.9369329824</v>
      </c>
      <c r="N26" s="103">
        <f t="shared" si="11"/>
        <v>1988090.6770732175</v>
      </c>
      <c r="O26" s="103">
        <f t="shared" si="11"/>
        <v>550006.84908630163</v>
      </c>
    </row>
    <row r="27" spans="1:15">
      <c r="A27" s="473"/>
      <c r="B27" s="473"/>
    </row>
    <row r="28" spans="1:15" hidden="1">
      <c r="H28" s="105"/>
      <c r="M28" s="105">
        <f>SUM(M26:O26)</f>
        <v>5621087.4630925013</v>
      </c>
    </row>
    <row r="30" spans="1:15">
      <c r="E30" s="397"/>
      <c r="F30" s="104"/>
    </row>
    <row r="31" spans="1:15">
      <c r="E31" s="397"/>
    </row>
    <row r="32" spans="1:15">
      <c r="E32" s="397"/>
    </row>
    <row r="33" spans="5:15">
      <c r="E33" s="397"/>
    </row>
    <row r="34" spans="5:15">
      <c r="E34" s="397"/>
    </row>
    <row r="35" spans="5:15">
      <c r="E35" s="397"/>
    </row>
    <row r="36" spans="5:15">
      <c r="E36" s="397"/>
    </row>
    <row r="38" spans="5:15" ht="13.5" thickBot="1">
      <c r="E38" s="422" t="s">
        <v>4193</v>
      </c>
      <c r="F38" s="401"/>
      <c r="G38" s="401"/>
    </row>
    <row r="39" spans="5:15">
      <c r="E39" s="467" t="s">
        <v>4076</v>
      </c>
      <c r="F39" s="468"/>
      <c r="G39" s="469"/>
    </row>
    <row r="40" spans="5:15">
      <c r="E40" s="142">
        <v>2021</v>
      </c>
      <c r="F40" s="143">
        <v>2022</v>
      </c>
      <c r="G40" s="144">
        <v>2023</v>
      </c>
    </row>
    <row r="41" spans="5:15" ht="13.5" thickBot="1">
      <c r="E41" s="146">
        <v>2.5999999999999999E-2</v>
      </c>
      <c r="F41" s="147">
        <v>0.14199999999999999</v>
      </c>
      <c r="G41" s="148">
        <v>0.123</v>
      </c>
    </row>
    <row r="42" spans="5:15">
      <c r="I42" s="173">
        <f>I3</f>
        <v>93193837.620000005</v>
      </c>
      <c r="J42" s="173">
        <v>88903700</v>
      </c>
      <c r="K42" s="173">
        <f>J42*(1+$G$45)</f>
        <v>97305099.650000006</v>
      </c>
      <c r="L42" s="173">
        <f>K42*(1+$G$41)</f>
        <v>109273626.90695001</v>
      </c>
      <c r="M42" s="173">
        <f>L42*(1+$G$41/2)</f>
        <v>115993954.96172746</v>
      </c>
      <c r="N42" s="173">
        <f>M42*(1+15%/2)</f>
        <v>124693501.58385701</v>
      </c>
      <c r="O42" s="173">
        <f>N42*(1+15%/2)</f>
        <v>134045514.20264629</v>
      </c>
    </row>
    <row r="43" spans="5:15">
      <c r="I43" s="173">
        <f>I6*(1+$G$41)</f>
        <v>12956824.949139999</v>
      </c>
      <c r="J43" s="173">
        <v>13106122</v>
      </c>
      <c r="K43" s="173">
        <f>J43*(1+$G$41)</f>
        <v>14718175.005999999</v>
      </c>
      <c r="L43" s="173">
        <f t="shared" ref="L43:O43" si="12">K43*(1+$G$41)</f>
        <v>16528510.531737998</v>
      </c>
      <c r="M43" s="173">
        <f t="shared" si="12"/>
        <v>18561517.327141773</v>
      </c>
      <c r="N43" s="173">
        <f t="shared" si="12"/>
        <v>20844583.958380211</v>
      </c>
      <c r="O43" s="173">
        <f t="shared" si="12"/>
        <v>23408467.785260975</v>
      </c>
    </row>
    <row r="44" spans="5:15">
      <c r="E44" s="470" t="s">
        <v>4187</v>
      </c>
      <c r="F44" s="470"/>
      <c r="G44" s="432">
        <v>7.0000000000000007E-2</v>
      </c>
      <c r="I44" s="173">
        <f>I7</f>
        <v>33382710.010000002</v>
      </c>
      <c r="J44" s="173">
        <v>29341328</v>
      </c>
      <c r="K44" s="173">
        <f t="shared" ref="K44:M44" si="13">J44*(1+$G$41)</f>
        <v>32950311.344000001</v>
      </c>
      <c r="L44" s="173">
        <f t="shared" si="13"/>
        <v>37003199.639311999</v>
      </c>
      <c r="M44" s="173">
        <f t="shared" si="13"/>
        <v>41554593.194947377</v>
      </c>
      <c r="N44" s="173">
        <f>M44*(1+$G$41)</f>
        <v>46665808.157925904</v>
      </c>
      <c r="O44" s="173">
        <f>N44*(1+$G$41)</f>
        <v>52405702.561350793</v>
      </c>
    </row>
    <row r="45" spans="5:15" ht="24.95" customHeight="1">
      <c r="E45" s="471" t="s">
        <v>4192</v>
      </c>
      <c r="F45" s="471"/>
      <c r="G45" s="433">
        <v>9.4500000000000001E-2</v>
      </c>
      <c r="I45" s="173">
        <f>I8</f>
        <v>10101803.939999999</v>
      </c>
      <c r="J45" s="173">
        <v>9066932</v>
      </c>
      <c r="K45" s="173">
        <f t="shared" ref="K45:O45" si="14">J45*(1+$G$41)</f>
        <v>10182164.636</v>
      </c>
      <c r="L45" s="173">
        <f t="shared" si="14"/>
        <v>11434570.886228001</v>
      </c>
      <c r="M45" s="173">
        <f t="shared" si="14"/>
        <v>12841023.105234046</v>
      </c>
      <c r="N45" s="173">
        <f t="shared" si="14"/>
        <v>14420468.947177833</v>
      </c>
      <c r="O45" s="173">
        <f t="shared" si="14"/>
        <v>16194186.627680706</v>
      </c>
    </row>
    <row r="46" spans="5:15">
      <c r="E46" s="472"/>
      <c r="F46" s="472"/>
      <c r="G46" s="435"/>
      <c r="I46" s="173">
        <f>I9</f>
        <v>19007696.809999999</v>
      </c>
      <c r="J46" s="173">
        <v>20677760</v>
      </c>
      <c r="K46" s="173">
        <f>J46*(1+$G$44)</f>
        <v>22125203.200000003</v>
      </c>
      <c r="L46" s="173">
        <f t="shared" ref="L46:O46" si="15">K46*(1+$G$44)</f>
        <v>23673967.424000006</v>
      </c>
      <c r="M46" s="173">
        <f t="shared" si="15"/>
        <v>25331145.143680006</v>
      </c>
      <c r="N46" s="173">
        <f>M46*(1+$G$44)</f>
        <v>27104325.303737607</v>
      </c>
      <c r="O46" s="173">
        <f t="shared" si="15"/>
        <v>29001628.074999239</v>
      </c>
    </row>
    <row r="47" spans="5:15">
      <c r="I47" s="173">
        <f>I10</f>
        <v>4836018.29</v>
      </c>
      <c r="J47" s="173">
        <v>5175000</v>
      </c>
      <c r="K47" s="173">
        <f>J47*(1+$G$44)</f>
        <v>5537250</v>
      </c>
      <c r="L47" s="173">
        <f t="shared" ref="L47:O47" si="16">K47*(1+$G$44)</f>
        <v>5924857.5</v>
      </c>
      <c r="M47" s="173">
        <f t="shared" si="16"/>
        <v>6339597.5250000004</v>
      </c>
      <c r="N47" s="173">
        <f t="shared" si="16"/>
        <v>6783369.3517500004</v>
      </c>
      <c r="O47" s="173">
        <f t="shared" si="16"/>
        <v>7258205.2063725004</v>
      </c>
    </row>
    <row r="48" spans="5:15">
      <c r="I48" s="173">
        <f>I11</f>
        <v>1418100.55</v>
      </c>
      <c r="J48" s="173">
        <v>1466005</v>
      </c>
      <c r="K48" s="173">
        <f>J48*(1+$G$41)</f>
        <v>1646323.615</v>
      </c>
      <c r="L48" s="173">
        <f t="shared" ref="L48:O48" si="17">K48*(1+$G$41)</f>
        <v>1848821.419645</v>
      </c>
      <c r="M48" s="173">
        <f t="shared" si="17"/>
        <v>2076226.4542613351</v>
      </c>
      <c r="N48" s="173">
        <f t="shared" si="17"/>
        <v>2331602.3081354792</v>
      </c>
      <c r="O48" s="173">
        <f t="shared" si="17"/>
        <v>2618389.3920361432</v>
      </c>
    </row>
    <row r="49" spans="9:15">
      <c r="I49" s="173">
        <f>I14</f>
        <v>4712046.16</v>
      </c>
      <c r="J49" s="173">
        <v>4063600</v>
      </c>
      <c r="K49" s="173">
        <f t="shared" ref="K49:O49" si="18">J49*(1+$G$41)</f>
        <v>4563422.8</v>
      </c>
      <c r="L49" s="173">
        <f t="shared" si="18"/>
        <v>5124723.8043999998</v>
      </c>
      <c r="M49" s="173">
        <f t="shared" si="18"/>
        <v>5755064.8323411997</v>
      </c>
      <c r="N49" s="173">
        <f t="shared" si="18"/>
        <v>6462937.8067191672</v>
      </c>
      <c r="O49" s="173">
        <f t="shared" si="18"/>
        <v>7257879.1569456244</v>
      </c>
    </row>
    <row r="50" spans="9:15">
      <c r="I50" s="173">
        <f>I16</f>
        <v>2921584.14</v>
      </c>
      <c r="J50" s="173">
        <v>691600</v>
      </c>
      <c r="K50" s="173">
        <f t="shared" ref="K50:O50" si="19">J50*(1+$G$41)</f>
        <v>776666.8</v>
      </c>
      <c r="L50" s="173">
        <f t="shared" si="19"/>
        <v>872196.81640000001</v>
      </c>
      <c r="M50" s="173">
        <f t="shared" si="19"/>
        <v>979477.02481720003</v>
      </c>
      <c r="N50" s="173">
        <f t="shared" si="19"/>
        <v>1099952.6988697157</v>
      </c>
      <c r="O50" s="173">
        <f t="shared" si="19"/>
        <v>1235246.8808306907</v>
      </c>
    </row>
  </sheetData>
  <mergeCells count="31">
    <mergeCell ref="E39:G39"/>
    <mergeCell ref="E44:F44"/>
    <mergeCell ref="E45:F45"/>
    <mergeCell ref="E46:F46"/>
    <mergeCell ref="B26:C26"/>
    <mergeCell ref="A27:B27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B1:C1"/>
    <mergeCell ref="B2:C2"/>
    <mergeCell ref="B3:C3"/>
    <mergeCell ref="B4:C4"/>
    <mergeCell ref="B5:C5"/>
  </mergeCells>
  <phoneticPr fontId="4" type="noConversion"/>
  <pageMargins left="0" right="0" top="0" bottom="0" header="0" footer="0"/>
  <pageSetup paperSize="0" orientation="portrait" horizontalDpi="300" verticalDpi="300"/>
  <rowBreaks count="27" manualBreakCount="27">
    <brk id="1" max="16383" man="1"/>
    <brk id="2" max="16383" man="1"/>
    <brk id="3" max="16383" man="1"/>
    <brk id="4" max="16383" man="1"/>
    <brk id="5" max="16383" man="1"/>
    <brk id="6" max="16383" man="1"/>
    <brk id="7" max="16383" man="1"/>
    <brk id="8" max="16383" man="1"/>
    <brk id="9" max="16383" man="1"/>
    <brk id="10" max="16383" man="1"/>
    <brk id="11" max="16383" man="1"/>
    <brk id="12" max="16383" man="1"/>
    <brk id="13" max="16383" man="1"/>
    <brk id="14" max="16383" man="1"/>
    <brk id="15" max="16383" man="1"/>
    <brk id="16" max="16383" man="1"/>
    <brk id="17" max="16383" man="1"/>
    <brk id="18" max="16383" man="1"/>
    <brk id="19" max="16383" man="1"/>
    <brk id="20" max="16383" man="1"/>
    <brk id="21" max="16383" man="1"/>
    <brk id="22" max="16383" man="1"/>
    <brk id="23" max="16383" man="1"/>
    <brk id="24" max="16383" man="1"/>
    <brk id="25" max="16383" man="1"/>
    <brk id="26" max="16383" man="1"/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O38"/>
  <sheetViews>
    <sheetView zoomScale="81" zoomScaleNormal="100" workbookViewId="0">
      <selection activeCell="M28" sqref="M28"/>
    </sheetView>
  </sheetViews>
  <sheetFormatPr defaultColWidth="8.85546875" defaultRowHeight="12.75"/>
  <cols>
    <col min="1" max="1" width="3.140625" style="108" bestFit="1" customWidth="1"/>
    <col min="2" max="2" width="25.7109375" style="108" customWidth="1"/>
    <col min="3" max="3" width="25.140625" style="108" customWidth="1"/>
    <col min="4" max="4" width="4.7109375" style="108" bestFit="1" customWidth="1"/>
    <col min="5" max="5" width="13.7109375" style="108" bestFit="1" customWidth="1"/>
    <col min="6" max="6" width="14.28515625" style="108" bestFit="1" customWidth="1"/>
    <col min="7" max="10" width="13.7109375" style="108" bestFit="1" customWidth="1"/>
    <col min="11" max="11" width="14.28515625" style="108" bestFit="1" customWidth="1"/>
    <col min="12" max="14" width="13.7109375" style="108" bestFit="1" customWidth="1"/>
    <col min="15" max="15" width="14" style="108" customWidth="1"/>
    <col min="16" max="16384" width="8.85546875" style="108"/>
  </cols>
  <sheetData>
    <row r="1" spans="1:15" ht="21.95" customHeight="1">
      <c r="A1" s="115" t="s">
        <v>0</v>
      </c>
      <c r="B1" s="475" t="s">
        <v>281</v>
      </c>
      <c r="C1" s="475"/>
      <c r="D1" s="115" t="s">
        <v>2</v>
      </c>
      <c r="E1" s="115" t="s">
        <v>3</v>
      </c>
      <c r="F1" s="115" t="s">
        <v>4</v>
      </c>
      <c r="G1" s="115" t="s">
        <v>5</v>
      </c>
      <c r="H1" s="115" t="s">
        <v>6</v>
      </c>
      <c r="I1" s="115" t="s">
        <v>323</v>
      </c>
      <c r="J1" s="115" t="s">
        <v>324</v>
      </c>
      <c r="K1" s="115" t="s">
        <v>361</v>
      </c>
      <c r="L1" s="115" t="s">
        <v>362</v>
      </c>
      <c r="M1" s="115" t="s">
        <v>363</v>
      </c>
      <c r="N1" s="115" t="s">
        <v>364</v>
      </c>
      <c r="O1" s="115" t="s">
        <v>365</v>
      </c>
    </row>
    <row r="2" spans="1:15">
      <c r="A2" s="107" t="s">
        <v>7</v>
      </c>
      <c r="B2" s="476" t="s">
        <v>8</v>
      </c>
      <c r="C2" s="476"/>
      <c r="D2" s="107" t="s">
        <v>9</v>
      </c>
      <c r="E2" s="107" t="s">
        <v>10</v>
      </c>
      <c r="F2" s="107" t="s">
        <v>11</v>
      </c>
      <c r="G2" s="107" t="s">
        <v>12</v>
      </c>
      <c r="H2" s="107" t="s">
        <v>13</v>
      </c>
      <c r="I2" s="107" t="s">
        <v>374</v>
      </c>
      <c r="J2" s="107" t="s">
        <v>375</v>
      </c>
      <c r="K2" s="107" t="s">
        <v>376</v>
      </c>
      <c r="L2" s="107" t="s">
        <v>377</v>
      </c>
      <c r="M2" s="107" t="s">
        <v>378</v>
      </c>
      <c r="N2" s="107" t="s">
        <v>379</v>
      </c>
      <c r="O2" s="107" t="s">
        <v>380</v>
      </c>
    </row>
    <row r="3" spans="1:15" s="114" customFormat="1">
      <c r="A3" s="112" t="s">
        <v>14</v>
      </c>
      <c r="B3" s="477" t="s">
        <v>282</v>
      </c>
      <c r="C3" s="477"/>
      <c r="D3" s="477"/>
      <c r="E3" s="477"/>
      <c r="F3" s="477"/>
      <c r="G3" s="477"/>
      <c r="H3" s="477"/>
    </row>
    <row r="4" spans="1:15">
      <c r="A4" s="107" t="s">
        <v>20</v>
      </c>
      <c r="B4" s="474" t="s">
        <v>283</v>
      </c>
      <c r="C4" s="474"/>
      <c r="D4" s="109" t="s">
        <v>16</v>
      </c>
      <c r="E4" s="110">
        <f>RZiS!E26</f>
        <v>787352.30000000214</v>
      </c>
      <c r="F4" s="110">
        <f>RZiS!F26</f>
        <v>-1424228.499999996</v>
      </c>
      <c r="G4" s="110">
        <f>RZiS!G26</f>
        <v>638491.38999998954</v>
      </c>
      <c r="H4" s="110">
        <f>RZiS!H26</f>
        <v>586348.14000000781</v>
      </c>
      <c r="I4" s="110">
        <f>RZiS!I26</f>
        <v>3158070.3099999968</v>
      </c>
      <c r="J4" s="110">
        <f>RZiS!J26</f>
        <v>1772053</v>
      </c>
      <c r="K4" s="110">
        <f>RZiS!K26</f>
        <v>2834437.176780778</v>
      </c>
      <c r="L4" s="110">
        <f>RZiS!L26</f>
        <v>4214142.6341528893</v>
      </c>
      <c r="M4" s="110">
        <f>RZiS!M26</f>
        <v>3082989.9369329824</v>
      </c>
      <c r="N4" s="110">
        <f>RZiS!N26</f>
        <v>1988090.6770732175</v>
      </c>
      <c r="O4" s="110">
        <f>RZiS!O26</f>
        <v>550006.84908630163</v>
      </c>
    </row>
    <row r="5" spans="1:15">
      <c r="A5" s="107" t="s">
        <v>22</v>
      </c>
      <c r="B5" s="474" t="s">
        <v>284</v>
      </c>
      <c r="C5" s="474"/>
      <c r="D5" s="109" t="s">
        <v>16</v>
      </c>
      <c r="E5" s="110">
        <f>SUM(E6:E15)</f>
        <v>9505340.4299999978</v>
      </c>
      <c r="F5" s="110">
        <f t="shared" ref="F5:O5" si="0">SUM(F6:F15)</f>
        <v>4356029.9800000014</v>
      </c>
      <c r="G5" s="110">
        <f t="shared" si="0"/>
        <v>5943313.8899999987</v>
      </c>
      <c r="H5" s="110">
        <f t="shared" si="0"/>
        <v>5827893.6199999992</v>
      </c>
      <c r="I5" s="110">
        <f t="shared" si="0"/>
        <v>10680252.680000002</v>
      </c>
      <c r="J5" s="110">
        <f t="shared" si="0"/>
        <v>-966070.07634296361</v>
      </c>
      <c r="K5" s="110">
        <f t="shared" si="0"/>
        <v>7923668.2196405046</v>
      </c>
      <c r="L5" s="110">
        <f t="shared" si="0"/>
        <v>5877075.571120603</v>
      </c>
      <c r="M5" s="110">
        <f t="shared" si="0"/>
        <v>5975774.359434437</v>
      </c>
      <c r="N5" s="110">
        <f t="shared" si="0"/>
        <v>5014177.8711520396</v>
      </c>
      <c r="O5" s="110">
        <f t="shared" si="0"/>
        <v>4434560.2015062533</v>
      </c>
    </row>
    <row r="6" spans="1:15">
      <c r="A6" s="107" t="s">
        <v>285</v>
      </c>
      <c r="B6" s="474" t="s">
        <v>21</v>
      </c>
      <c r="C6" s="474"/>
      <c r="D6" s="109" t="s">
        <v>16</v>
      </c>
      <c r="E6" s="110">
        <f>RZiS!E5</f>
        <v>11379917.32</v>
      </c>
      <c r="F6" s="110">
        <f>RZiS!F5</f>
        <v>11125533.220000001</v>
      </c>
      <c r="G6" s="110">
        <f>RZiS!G5</f>
        <v>8807826.9800000004</v>
      </c>
      <c r="H6" s="110">
        <f>RZiS!H5</f>
        <v>8582855.7899999991</v>
      </c>
      <c r="I6" s="110">
        <f>RZiS!I5</f>
        <v>9441592.2799999993</v>
      </c>
      <c r="J6" s="110">
        <f>RZiS!J5</f>
        <v>9607000.0000000037</v>
      </c>
      <c r="K6" s="110">
        <f>RZiS!K5</f>
        <v>8821738.0000000019</v>
      </c>
      <c r="L6" s="110">
        <f>RZiS!L5</f>
        <v>11986321.08</v>
      </c>
      <c r="M6" s="110">
        <f>RZiS!M5</f>
        <v>10950573.640000001</v>
      </c>
      <c r="N6" s="110">
        <f>RZiS!N5</f>
        <v>10227989.130000001</v>
      </c>
      <c r="O6" s="110">
        <f>RZiS!O5</f>
        <v>9656201.1400000006</v>
      </c>
    </row>
    <row r="7" spans="1:15">
      <c r="A7" s="107" t="s">
        <v>286</v>
      </c>
      <c r="B7" s="474" t="s">
        <v>287</v>
      </c>
      <c r="C7" s="474"/>
      <c r="D7" s="109" t="s">
        <v>16</v>
      </c>
      <c r="E7" s="110">
        <v>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0">
        <v>0</v>
      </c>
      <c r="L7" s="110">
        <v>0</v>
      </c>
      <c r="M7" s="110">
        <v>0</v>
      </c>
      <c r="N7" s="110">
        <v>0</v>
      </c>
      <c r="O7" s="110">
        <v>0</v>
      </c>
    </row>
    <row r="8" spans="1:15">
      <c r="A8" s="107" t="s">
        <v>288</v>
      </c>
      <c r="B8" s="474" t="s">
        <v>289</v>
      </c>
      <c r="C8" s="474"/>
      <c r="D8" s="109" t="s">
        <v>16</v>
      </c>
      <c r="E8" s="110">
        <v>673533.36</v>
      </c>
      <c r="F8" s="110">
        <v>646922.78</v>
      </c>
      <c r="G8" s="110">
        <v>724192.68</v>
      </c>
      <c r="H8" s="110">
        <v>759327.73</v>
      </c>
      <c r="I8" s="110">
        <v>683543.39</v>
      </c>
      <c r="J8" s="110">
        <f>RZiS!J19</f>
        <v>744000</v>
      </c>
      <c r="K8" s="110">
        <f>RZiS!K19</f>
        <v>604615.19248052803</v>
      </c>
      <c r="L8" s="110">
        <f>RZiS!L19</f>
        <v>443197.7391777779</v>
      </c>
      <c r="M8" s="110">
        <f>RZiS!M19</f>
        <v>312979.3379277779</v>
      </c>
      <c r="N8" s="110">
        <f>RZiS!N19</f>
        <v>234177.34751111123</v>
      </c>
      <c r="O8" s="110">
        <f>RZiS!O19</f>
        <v>200248.03514444458</v>
      </c>
    </row>
    <row r="9" spans="1:15">
      <c r="A9" s="107" t="s">
        <v>290</v>
      </c>
      <c r="B9" s="474" t="s">
        <v>291</v>
      </c>
      <c r="C9" s="474"/>
      <c r="D9" s="109" t="s">
        <v>16</v>
      </c>
      <c r="E9" s="110">
        <v>12582.36</v>
      </c>
      <c r="F9" s="110">
        <v>-44000</v>
      </c>
      <c r="G9" s="110">
        <v>-104587.49</v>
      </c>
      <c r="H9" s="110">
        <v>-3577.24</v>
      </c>
      <c r="I9" s="110">
        <v>-45971.01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</row>
    <row r="10" spans="1:15">
      <c r="A10" s="107" t="s">
        <v>292</v>
      </c>
      <c r="B10" s="474" t="s">
        <v>293</v>
      </c>
      <c r="C10" s="474"/>
      <c r="D10" s="109" t="s">
        <v>16</v>
      </c>
      <c r="E10" s="110">
        <v>353466.95</v>
      </c>
      <c r="F10" s="110">
        <v>122031.11</v>
      </c>
      <c r="G10" s="110">
        <v>-2109932.16</v>
      </c>
      <c r="H10" s="110">
        <v>403916.11</v>
      </c>
      <c r="I10" s="110">
        <v>1567188.48</v>
      </c>
      <c r="J10" s="110">
        <f>'Bilans i a. wskaźnikowa'!J30-'Bilans i a. wskaźnikowa'!I30</f>
        <v>0</v>
      </c>
      <c r="K10" s="110">
        <f>'Bilans i a. wskaźnikowa'!K30-'Bilans i a. wskaźnikowa'!J30</f>
        <v>0</v>
      </c>
      <c r="L10" s="110">
        <f>'Bilans i a. wskaźnikowa'!L30-'Bilans i a. wskaźnikowa'!K30</f>
        <v>0</v>
      </c>
      <c r="M10" s="110">
        <f>'Bilans i a. wskaźnikowa'!M30-'Bilans i a. wskaźnikowa'!L30</f>
        <v>0</v>
      </c>
      <c r="N10" s="110">
        <f>'Bilans i a. wskaźnikowa'!N30-'Bilans i a. wskaźnikowa'!M30</f>
        <v>0</v>
      </c>
      <c r="O10" s="110">
        <f>'Bilans i a. wskaźnikowa'!O30-'Bilans i a. wskaźnikowa'!N30</f>
        <v>0</v>
      </c>
    </row>
    <row r="11" spans="1:15">
      <c r="A11" s="107" t="s">
        <v>294</v>
      </c>
      <c r="B11" s="474" t="s">
        <v>295</v>
      </c>
      <c r="C11" s="474"/>
      <c r="D11" s="109" t="s">
        <v>16</v>
      </c>
      <c r="E11" s="110">
        <v>-14139.88</v>
      </c>
      <c r="F11" s="110">
        <v>-198661.25</v>
      </c>
      <c r="G11" s="110">
        <v>-58702.12</v>
      </c>
      <c r="H11" s="110">
        <v>-3336.19</v>
      </c>
      <c r="I11" s="110">
        <v>249579.86</v>
      </c>
      <c r="J11" s="110">
        <f>' VAT i KON'!E22</f>
        <v>-459256.5607291176</v>
      </c>
      <c r="K11" s="110">
        <f>' VAT i KON'!F22</f>
        <v>-176519.94639890152</v>
      </c>
      <c r="L11" s="110">
        <f>' VAT i KON'!G22</f>
        <v>-390822.06193599221</v>
      </c>
      <c r="M11" s="110">
        <f>' VAT i KON'!H22</f>
        <v>-222817.00553258788</v>
      </c>
      <c r="N11" s="110">
        <f>' VAT i KON'!I22</f>
        <v>-240236.88049577177</v>
      </c>
      <c r="O11" s="110">
        <f>' VAT i KON'!J22</f>
        <v>-242897.1154863527</v>
      </c>
    </row>
    <row r="12" spans="1:15">
      <c r="A12" s="107" t="s">
        <v>296</v>
      </c>
      <c r="B12" s="474" t="s">
        <v>297</v>
      </c>
      <c r="C12" s="474"/>
      <c r="D12" s="109" t="s">
        <v>16</v>
      </c>
      <c r="E12" s="110">
        <v>979106.32</v>
      </c>
      <c r="F12" s="110">
        <v>-1224841.45</v>
      </c>
      <c r="G12" s="110">
        <v>-440958.62</v>
      </c>
      <c r="H12" s="110">
        <v>-1993071</v>
      </c>
      <c r="I12" s="110">
        <v>-1731347.2</v>
      </c>
      <c r="J12" s="110">
        <f>' VAT i KON'!E23</f>
        <v>513830.07658012584</v>
      </c>
      <c r="K12" s="110">
        <f>' VAT i KON'!F23</f>
        <v>-1024987.7865231782</v>
      </c>
      <c r="L12" s="110">
        <f>' VAT i KON'!G23</f>
        <v>-2269363.028713733</v>
      </c>
      <c r="M12" s="110">
        <f>' VAT i KON'!H23</f>
        <v>-1293818.1432735287</v>
      </c>
      <c r="N12" s="110">
        <f>' VAT i KON'!I23</f>
        <v>-1394969.0865197703</v>
      </c>
      <c r="O12" s="110">
        <f>' VAT i KON'!J23</f>
        <v>-1410416.1135003082</v>
      </c>
    </row>
    <row r="13" spans="1:15">
      <c r="A13" s="107" t="s">
        <v>298</v>
      </c>
      <c r="B13" s="474" t="s">
        <v>299</v>
      </c>
      <c r="C13" s="474"/>
      <c r="D13" s="109" t="s">
        <v>16</v>
      </c>
      <c r="E13" s="110">
        <v>1127133.0900000001</v>
      </c>
      <c r="F13" s="110">
        <v>-510604.28</v>
      </c>
      <c r="G13" s="110">
        <v>3239519.68</v>
      </c>
      <c r="H13" s="110">
        <v>2395975.4700000002</v>
      </c>
      <c r="I13" s="110">
        <v>2902819.81</v>
      </c>
      <c r="J13" s="110">
        <f>' VAT i KON'!E24+'Leasingi - obecnie'!AZ89+'Kredyty - obecnie'!AQ58</f>
        <v>-7331313.3997260267</v>
      </c>
      <c r="K13" s="110">
        <f>' VAT i KON'!F24+'Leasingi - obecnie'!BL89+'Kredyty - obecnie'!BD58</f>
        <v>2645522.64255</v>
      </c>
      <c r="L13" s="110">
        <f>' VAT i KON'!G24+'Leasingi - obecnie'!BW89+'Kredyty - obecnie'!BQ58</f>
        <v>268841.72506049904</v>
      </c>
      <c r="M13" s="110">
        <f>' VAT i KON'!H24+'Kredyty - obecnie'!CD58</f>
        <v>1321156.4127807245</v>
      </c>
      <c r="N13" s="110">
        <f>' VAT i KON'!I24+'Kredyty - obecnie'!CQ58</f>
        <v>1279517.243124418</v>
      </c>
      <c r="O13" s="110">
        <f>' VAT i KON'!J24+'Kredyty - obecnie'!DD58</f>
        <v>1323724.1378164189</v>
      </c>
    </row>
    <row r="14" spans="1:15">
      <c r="A14" s="107" t="s">
        <v>300</v>
      </c>
      <c r="B14" s="474" t="s">
        <v>301</v>
      </c>
      <c r="C14" s="474"/>
      <c r="D14" s="109" t="s">
        <v>16</v>
      </c>
      <c r="E14" s="110">
        <v>-5006259.09</v>
      </c>
      <c r="F14" s="110">
        <v>-5364700.8899999997</v>
      </c>
      <c r="G14" s="110">
        <v>-3897837.39</v>
      </c>
      <c r="H14" s="110">
        <v>-876627.98</v>
      </c>
      <c r="I14" s="110">
        <v>-1088228.01</v>
      </c>
      <c r="J14" s="110">
        <f>('Bilans i a. wskaźnikowa'!I10+'Bilans i a. wskaźnikowa'!I16)-('Bilans i a. wskaźnikowa'!J10+'Bilans i a. wskaźnikowa'!J16)+('Bilans i a. wskaźnikowa'!J34-'Bilans i a. wskaźnikowa'!I34)</f>
        <v>-3918226.6724679484</v>
      </c>
      <c r="K14" s="110">
        <f>('Bilans i a. wskaźnikowa'!J10+'Bilans i a. wskaźnikowa'!J16)-('Bilans i a. wskaźnikowa'!K10+'Bilans i a. wskaźnikowa'!K16)+('Bilans i a. wskaźnikowa'!K34-'Bilans i a. wskaźnikowa'!J34)</f>
        <v>-2946699.8824679479</v>
      </c>
      <c r="L14" s="110">
        <f>('Bilans i a. wskaźnikowa'!K10+'Bilans i a. wskaźnikowa'!K16)-('Bilans i a. wskaźnikowa'!L10+'Bilans i a. wskaźnikowa'!L16)+('Bilans i a. wskaźnikowa'!L34-'Bilans i a. wskaźnikowa'!K34)</f>
        <v>-3088299.8824679479</v>
      </c>
      <c r="M14" s="110">
        <f>('Bilans i a. wskaźnikowa'!L10+'Bilans i a. wskaźnikowa'!L16)-('Bilans i a. wskaźnikowa'!M10+'Bilans i a. wskaźnikowa'!M16)+('Bilans i a. wskaźnikowa'!M34-'Bilans i a. wskaźnikowa'!L34)</f>
        <v>-4019499.8824679479</v>
      </c>
      <c r="N14" s="110">
        <f>('Bilans i a. wskaźnikowa'!M10+'Bilans i a. wskaźnikowa'!M16)-('Bilans i a. wskaźnikowa'!N10+'Bilans i a. wskaźnikowa'!N16)+('Bilans i a. wskaźnikowa'!N34-'Bilans i a. wskaźnikowa'!M34)</f>
        <v>-4019499.8824679479</v>
      </c>
      <c r="O14" s="110">
        <f>('Bilans i a. wskaźnikowa'!N10+'Bilans i a. wskaźnikowa'!N16)-('Bilans i a. wskaźnikowa'!O10+'Bilans i a. wskaźnikowa'!O16)+('Bilans i a. wskaźnikowa'!O34-'Bilans i a. wskaźnikowa'!N34)</f>
        <v>-4019499.8824679479</v>
      </c>
    </row>
    <row r="15" spans="1:15" ht="25.5">
      <c r="A15" s="107" t="s">
        <v>302</v>
      </c>
      <c r="B15" s="474" t="s">
        <v>303</v>
      </c>
      <c r="C15" s="474"/>
      <c r="D15" s="109" t="s">
        <v>16</v>
      </c>
      <c r="E15" s="110">
        <v>0</v>
      </c>
      <c r="F15" s="110">
        <v>-195649.26</v>
      </c>
      <c r="G15" s="110">
        <v>-216207.67</v>
      </c>
      <c r="H15" s="110">
        <v>-3437569.07</v>
      </c>
      <c r="I15" s="110">
        <v>-1298924.92</v>
      </c>
      <c r="J15" s="110">
        <v>-122103.52</v>
      </c>
      <c r="K15" s="110">
        <v>0</v>
      </c>
      <c r="L15" s="110">
        <f>-'Amortyzacja obecna i projektowa'!AA272</f>
        <v>-1072800</v>
      </c>
      <c r="M15" s="110">
        <f>-'Amortyzacja obecna i projektowa'!AB272</f>
        <v>-1072800</v>
      </c>
      <c r="N15" s="110">
        <f>-'Amortyzacja obecna i projektowa'!AC272</f>
        <v>-1072800</v>
      </c>
      <c r="O15" s="110">
        <f>-'Amortyzacja obecna i projektowa'!AD272</f>
        <v>-1072800</v>
      </c>
    </row>
    <row r="16" spans="1:15">
      <c r="A16" s="107" t="s">
        <v>24</v>
      </c>
      <c r="B16" s="474" t="s">
        <v>304</v>
      </c>
      <c r="C16" s="474"/>
      <c r="D16" s="109" t="s">
        <v>16</v>
      </c>
      <c r="E16" s="110">
        <f>E4+E5</f>
        <v>10292692.73</v>
      </c>
      <c r="F16" s="110">
        <f t="shared" ref="F16:O16" si="1">F4+F5</f>
        <v>2931801.4800000051</v>
      </c>
      <c r="G16" s="110">
        <f t="shared" si="1"/>
        <v>6581805.2799999882</v>
      </c>
      <c r="H16" s="110">
        <f t="shared" si="1"/>
        <v>6414241.7600000072</v>
      </c>
      <c r="I16" s="110">
        <f t="shared" si="1"/>
        <v>13838322.989999998</v>
      </c>
      <c r="J16" s="110">
        <f t="shared" si="1"/>
        <v>805982.92365703639</v>
      </c>
      <c r="K16" s="110">
        <f t="shared" si="1"/>
        <v>10758105.396421283</v>
      </c>
      <c r="L16" s="110">
        <f t="shared" si="1"/>
        <v>10091218.205273492</v>
      </c>
      <c r="M16" s="110">
        <f t="shared" si="1"/>
        <v>9058764.2963674199</v>
      </c>
      <c r="N16" s="110">
        <f t="shared" si="1"/>
        <v>7002268.5482252575</v>
      </c>
      <c r="O16" s="110">
        <f t="shared" si="1"/>
        <v>4984567.0505925547</v>
      </c>
    </row>
    <row r="17" spans="1:15" s="114" customFormat="1">
      <c r="A17" s="112" t="s">
        <v>18</v>
      </c>
      <c r="B17" s="478" t="s">
        <v>305</v>
      </c>
      <c r="C17" s="478"/>
      <c r="D17" s="478"/>
      <c r="E17" s="478"/>
      <c r="F17" s="478"/>
      <c r="G17" s="478"/>
      <c r="H17" s="478"/>
      <c r="I17" s="113"/>
      <c r="J17" s="113"/>
      <c r="K17" s="113"/>
      <c r="L17" s="113"/>
      <c r="M17" s="113"/>
      <c r="N17" s="113"/>
      <c r="O17" s="113"/>
    </row>
    <row r="18" spans="1:15">
      <c r="A18" s="107" t="s">
        <v>20</v>
      </c>
      <c r="B18" s="474" t="s">
        <v>306</v>
      </c>
      <c r="C18" s="474"/>
      <c r="D18" s="109" t="s">
        <v>16</v>
      </c>
      <c r="E18" s="111">
        <v>61513.79</v>
      </c>
      <c r="F18" s="111">
        <v>56463.88</v>
      </c>
      <c r="G18" s="111">
        <v>3492565.66</v>
      </c>
      <c r="H18" s="111">
        <v>987017.4</v>
      </c>
      <c r="I18" s="111">
        <v>1035389.91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</row>
    <row r="19" spans="1:15">
      <c r="A19" s="107" t="s">
        <v>22</v>
      </c>
      <c r="B19" s="474" t="s">
        <v>307</v>
      </c>
      <c r="C19" s="474"/>
      <c r="D19" s="109" t="s">
        <v>16</v>
      </c>
      <c r="E19" s="111">
        <v>2842882.69</v>
      </c>
      <c r="F19" s="111">
        <v>13542531.560000001</v>
      </c>
      <c r="G19" s="111">
        <v>5405558.1500000004</v>
      </c>
      <c r="H19" s="111">
        <v>9237093.1600000001</v>
      </c>
      <c r="I19" s="111">
        <v>3540517.63</v>
      </c>
      <c r="J19" s="111">
        <f>'Projekt 1 - majątek'!U14+'Projekt 2-4 - majątek'!F18*1000000</f>
        <v>6612000</v>
      </c>
      <c r="K19" s="111">
        <f>'Projekt 1 - majątek'!Z14+'Projekt 2-4 - majątek'!G18*1000000</f>
        <v>10450000</v>
      </c>
      <c r="L19" s="111">
        <v>0</v>
      </c>
      <c r="M19" s="111">
        <v>0</v>
      </c>
      <c r="N19" s="111">
        <v>0</v>
      </c>
      <c r="O19" s="111">
        <v>0</v>
      </c>
    </row>
    <row r="20" spans="1:15" hidden="1">
      <c r="A20" s="107" t="s">
        <v>17</v>
      </c>
      <c r="B20" s="474" t="s">
        <v>250</v>
      </c>
      <c r="C20" s="474"/>
      <c r="D20" s="109" t="s">
        <v>16</v>
      </c>
      <c r="E20" s="111">
        <v>0</v>
      </c>
      <c r="F20" s="111">
        <v>0</v>
      </c>
      <c r="G20" s="111">
        <v>0</v>
      </c>
      <c r="H20" s="111">
        <v>0</v>
      </c>
      <c r="I20" s="441">
        <f>'Projekt 2-4 - majątek'!K22</f>
        <v>42000</v>
      </c>
      <c r="J20" s="441">
        <f>'Projekt 2-4 - majątek'!N22+'Projekt 2-4 - majątek'!O22</f>
        <v>650000</v>
      </c>
      <c r="K20" s="441">
        <f>'Projekt 2-4 - majątek'!P22+'Projekt 2-4 - majątek'!Q22</f>
        <v>1700000</v>
      </c>
      <c r="L20" s="111">
        <v>0</v>
      </c>
      <c r="M20" s="111">
        <v>0</v>
      </c>
      <c r="N20" s="111">
        <v>0</v>
      </c>
      <c r="O20" s="111">
        <v>0</v>
      </c>
    </row>
    <row r="21" spans="1:15">
      <c r="A21" s="107" t="s">
        <v>24</v>
      </c>
      <c r="B21" s="474" t="s">
        <v>308</v>
      </c>
      <c r="C21" s="474"/>
      <c r="D21" s="109" t="s">
        <v>16</v>
      </c>
      <c r="E21" s="111">
        <f>E18-E19</f>
        <v>-2781368.9</v>
      </c>
      <c r="F21" s="111">
        <f t="shared" ref="F21:O21" si="2">F18-F19</f>
        <v>-13486067.68</v>
      </c>
      <c r="G21" s="111">
        <f t="shared" si="2"/>
        <v>-1912992.4900000002</v>
      </c>
      <c r="H21" s="111">
        <f t="shared" si="2"/>
        <v>-8250075.7599999998</v>
      </c>
      <c r="I21" s="111">
        <f t="shared" si="2"/>
        <v>-2505127.7199999997</v>
      </c>
      <c r="J21" s="111">
        <f t="shared" si="2"/>
        <v>-6612000</v>
      </c>
      <c r="K21" s="111">
        <f t="shared" si="2"/>
        <v>-10450000</v>
      </c>
      <c r="L21" s="111">
        <f t="shared" si="2"/>
        <v>0</v>
      </c>
      <c r="M21" s="111">
        <f t="shared" si="2"/>
        <v>0</v>
      </c>
      <c r="N21" s="111">
        <f t="shared" si="2"/>
        <v>0</v>
      </c>
      <c r="O21" s="111">
        <f t="shared" si="2"/>
        <v>0</v>
      </c>
    </row>
    <row r="22" spans="1:15" s="114" customFormat="1">
      <c r="A22" s="112" t="s">
        <v>36</v>
      </c>
      <c r="B22" s="478" t="s">
        <v>309</v>
      </c>
      <c r="C22" s="478"/>
      <c r="D22" s="478"/>
      <c r="E22" s="478"/>
      <c r="F22" s="478"/>
      <c r="G22" s="478"/>
      <c r="H22" s="478"/>
      <c r="I22" s="113"/>
      <c r="J22" s="113"/>
      <c r="K22" s="113"/>
      <c r="L22" s="113"/>
      <c r="M22" s="113"/>
      <c r="N22" s="113"/>
      <c r="O22" s="113"/>
    </row>
    <row r="23" spans="1:15">
      <c r="A23" s="107" t="s">
        <v>20</v>
      </c>
      <c r="B23" s="474" t="s">
        <v>310</v>
      </c>
      <c r="C23" s="474"/>
      <c r="D23" s="109" t="s">
        <v>16</v>
      </c>
      <c r="E23" s="111">
        <v>0</v>
      </c>
      <c r="F23" s="111">
        <v>5042994.21</v>
      </c>
      <c r="G23" s="111">
        <v>0</v>
      </c>
      <c r="H23" s="111">
        <v>6621777.5499999998</v>
      </c>
      <c r="I23" s="111">
        <v>1805060.66</v>
      </c>
      <c r="J23" s="111">
        <f>Transze!G7+'Projekt 2-4 - majątek'!F20*1000000+Transze!F7+'Projekt 2-4 - majątek'!E20*1000000+497464</f>
        <v>5698464</v>
      </c>
      <c r="K23" s="111">
        <f>Transze!H7+'Projekt 2-4 - majątek'!G20*1000000</f>
        <v>7315000</v>
      </c>
      <c r="L23" s="111">
        <f>'Amortyzacja obecna i projektowa'!AA272</f>
        <v>1072800</v>
      </c>
      <c r="M23" s="111">
        <f>'Amortyzacja obecna i projektowa'!AB272</f>
        <v>1072800</v>
      </c>
      <c r="N23" s="111">
        <f>'Amortyzacja obecna i projektowa'!AC272</f>
        <v>1072800</v>
      </c>
      <c r="O23" s="111">
        <f>'Amortyzacja obecna i projektowa'!AD272</f>
        <v>1072800</v>
      </c>
    </row>
    <row r="24" spans="1:15" hidden="1">
      <c r="A24" s="107">
        <v>1</v>
      </c>
      <c r="B24" s="474" t="s">
        <v>311</v>
      </c>
      <c r="C24" s="474"/>
      <c r="D24" s="109" t="s">
        <v>16</v>
      </c>
      <c r="E24" s="111">
        <v>0</v>
      </c>
      <c r="F24" s="111">
        <v>0</v>
      </c>
      <c r="G24" s="111">
        <v>0</v>
      </c>
      <c r="H24" s="111">
        <v>0</v>
      </c>
      <c r="I24" s="441">
        <f>I20*0.7</f>
        <v>29399.999999999996</v>
      </c>
      <c r="J24" s="441">
        <f>J20*0.7</f>
        <v>455000</v>
      </c>
      <c r="K24" s="441">
        <f>K20*0.7</f>
        <v>1190000</v>
      </c>
      <c r="L24" s="441">
        <f>'Amortyzacja obecna i projektowa'!AA276</f>
        <v>143520.00000000003</v>
      </c>
      <c r="M24" s="441">
        <f>'Amortyzacja obecna i projektowa'!AB276</f>
        <v>143520.00000000003</v>
      </c>
      <c r="N24" s="441">
        <f>'Amortyzacja obecna i projektowa'!AC276</f>
        <v>143520.00000000003</v>
      </c>
      <c r="O24" s="441">
        <f>'Amortyzacja obecna i projektowa'!AD276</f>
        <v>143520.00000000003</v>
      </c>
    </row>
    <row r="25" spans="1:15">
      <c r="A25" s="107" t="s">
        <v>22</v>
      </c>
      <c r="B25" s="474" t="s">
        <v>312</v>
      </c>
      <c r="C25" s="474"/>
      <c r="D25" s="109" t="s">
        <v>16</v>
      </c>
      <c r="E25" s="111">
        <f>E26+E28+E30</f>
        <v>2964673.1999999997</v>
      </c>
      <c r="F25" s="111">
        <f t="shared" ref="F25:O25" si="3">F26+F28+F30</f>
        <v>3009510.25</v>
      </c>
      <c r="G25" s="111">
        <f t="shared" si="3"/>
        <v>4603197.75</v>
      </c>
      <c r="H25" s="111">
        <f t="shared" si="3"/>
        <v>4589547.1500000004</v>
      </c>
      <c r="I25" s="111">
        <v>5486586.7000000002</v>
      </c>
      <c r="J25" s="111">
        <f t="shared" si="3"/>
        <v>5787941.8933333326</v>
      </c>
      <c r="K25" s="111">
        <f t="shared" si="3"/>
        <v>5513679.9158138614</v>
      </c>
      <c r="L25" s="111">
        <f t="shared" si="3"/>
        <v>5035605.0725111114</v>
      </c>
      <c r="M25" s="111">
        <f t="shared" si="3"/>
        <v>4227039.6712611113</v>
      </c>
      <c r="N25" s="111">
        <f t="shared" si="3"/>
        <v>1673170.6808444448</v>
      </c>
      <c r="O25" s="111">
        <f t="shared" si="3"/>
        <v>1567930.2484777779</v>
      </c>
    </row>
    <row r="26" spans="1:15">
      <c r="A26" s="107" t="s">
        <v>285</v>
      </c>
      <c r="B26" s="474" t="s">
        <v>313</v>
      </c>
      <c r="C26" s="474"/>
      <c r="D26" s="109" t="s">
        <v>16</v>
      </c>
      <c r="E26" s="111">
        <v>2245920</v>
      </c>
      <c r="F26" s="111">
        <v>2322238</v>
      </c>
      <c r="G26" s="111">
        <v>3257130.96</v>
      </c>
      <c r="H26" s="111">
        <v>2965800.61</v>
      </c>
      <c r="I26" s="111">
        <v>3216017.6</v>
      </c>
      <c r="J26" s="111">
        <f>'Kredyty - obecnie'!AQ58+'Kredyty - obecnie'!AQ59+'Pożyczka - projekt 1'!J27+'Pożyczka - projekt 2-4'!J27+41455</f>
        <v>4146240.8833333328</v>
      </c>
      <c r="K26" s="111">
        <f>'Kredyty - obecnie'!BD58+'Kredyty - obecnie'!BD59+'Pożyczka - projekt 1'!J39+'Pożyczka - projekt 2-4'!J39+165822</f>
        <v>4110432.8333333335</v>
      </c>
      <c r="L26" s="111">
        <f>'Kredyty - obecnie'!BQ58+'Kredyty - obecnie'!BQ59+'Pożyczka - projekt 1'!J51+'Pożyczka - projekt 2-4'!J51+165822</f>
        <v>3972815.3333333335</v>
      </c>
      <c r="M26" s="111">
        <f>'Kredyty - obecnie'!CD58+'Kredyty - obecnie'!CD59+'Pożyczka - projekt 1'!J63+'Pożyczka - projekt 2-4'!J63+124366</f>
        <v>3914060.3333333335</v>
      </c>
      <c r="N26" s="111">
        <f>'Kredyty - obecnie'!CQ58+'Kredyty - obecnie'!CQ59+'Pożyczka - projekt 1'!J75+'Pożyczka - projekt 2-4'!J75</f>
        <v>1438993.3333333335</v>
      </c>
      <c r="O26" s="111">
        <f>'Kredyty - obecnie'!DD58+'Kredyty - obecnie'!DD59+'Pożyczka - projekt 1'!J87+'Pożyczka - projekt 2-4'!J87</f>
        <v>1367682.2133333334</v>
      </c>
    </row>
    <row r="27" spans="1:15" hidden="1">
      <c r="A27" s="107" t="s">
        <v>4162</v>
      </c>
      <c r="B27" s="474" t="s">
        <v>277</v>
      </c>
      <c r="C27" s="474"/>
      <c r="D27" s="109" t="s">
        <v>16</v>
      </c>
      <c r="E27" s="111">
        <v>0</v>
      </c>
      <c r="F27" s="111">
        <v>0</v>
      </c>
      <c r="G27" s="111">
        <v>0</v>
      </c>
      <c r="H27" s="111">
        <v>0</v>
      </c>
      <c r="I27" s="111">
        <f>'Pożyczka - projekt 1'!J15</f>
        <v>0</v>
      </c>
      <c r="J27" s="441">
        <f>'Pożyczka-projekt wnioskowany'!J27</f>
        <v>111626.66666666664</v>
      </c>
      <c r="K27" s="441">
        <f>'Pożyczka-projekt wnioskowany'!J39</f>
        <v>111626.66666666664</v>
      </c>
      <c r="L27" s="441">
        <f>'Pożyczka-projekt wnioskowany'!J51</f>
        <v>111626.66666666664</v>
      </c>
      <c r="M27" s="441">
        <f>L27</f>
        <v>111626.66666666664</v>
      </c>
      <c r="N27" s="441">
        <f t="shared" ref="N27:O27" si="4">M27</f>
        <v>111626.66666666664</v>
      </c>
      <c r="O27" s="441">
        <f t="shared" si="4"/>
        <v>111626.66666666664</v>
      </c>
    </row>
    <row r="28" spans="1:15">
      <c r="A28" s="107">
        <v>2</v>
      </c>
      <c r="B28" s="474" t="s">
        <v>314</v>
      </c>
      <c r="C28" s="474"/>
      <c r="D28" s="109" t="s">
        <v>16</v>
      </c>
      <c r="E28" s="111">
        <v>673533.36</v>
      </c>
      <c r="F28" s="111">
        <v>649822.51</v>
      </c>
      <c r="G28" s="111">
        <v>724192.68</v>
      </c>
      <c r="H28" s="111">
        <v>759327.73</v>
      </c>
      <c r="I28" s="111">
        <f>I8</f>
        <v>683543.39</v>
      </c>
      <c r="J28" s="111">
        <f t="shared" ref="J28:O28" si="5">J8</f>
        <v>744000</v>
      </c>
      <c r="K28" s="111">
        <f t="shared" si="5"/>
        <v>604615.19248052803</v>
      </c>
      <c r="L28" s="111">
        <f t="shared" si="5"/>
        <v>443197.7391777779</v>
      </c>
      <c r="M28" s="111">
        <f t="shared" si="5"/>
        <v>312979.3379277779</v>
      </c>
      <c r="N28" s="111">
        <f t="shared" si="5"/>
        <v>234177.34751111123</v>
      </c>
      <c r="O28" s="111">
        <f t="shared" si="5"/>
        <v>200248.03514444458</v>
      </c>
    </row>
    <row r="29" spans="1:15" hidden="1">
      <c r="A29" s="107" t="s">
        <v>4162</v>
      </c>
      <c r="B29" s="474" t="s">
        <v>315</v>
      </c>
      <c r="C29" s="474"/>
      <c r="D29" s="109" t="s">
        <v>16</v>
      </c>
      <c r="E29" s="111">
        <v>0</v>
      </c>
      <c r="F29" s="111">
        <v>0</v>
      </c>
      <c r="G29" s="111">
        <v>0</v>
      </c>
      <c r="H29" s="111">
        <v>0</v>
      </c>
      <c r="I29" s="111">
        <f>RZiS!I20</f>
        <v>0</v>
      </c>
      <c r="J29" s="441">
        <f>'Przy. i koszty-proj wnioskowany'!F12</f>
        <v>8664.7555555555518</v>
      </c>
      <c r="K29" s="441">
        <f>'Przy. i koszty-proj wnioskowany'!G12</f>
        <v>30232.222222222208</v>
      </c>
      <c r="L29" s="441">
        <f>'Przy. i koszty-proj wnioskowany'!H12</f>
        <v>27999.688888888879</v>
      </c>
      <c r="M29" s="441">
        <f>'Przy. i koszty-proj wnioskowany'!I12</f>
        <v>25767.155555555531</v>
      </c>
      <c r="N29" s="441">
        <f>'Przy. i koszty-proj wnioskowany'!J12</f>
        <v>23534.622222222191</v>
      </c>
      <c r="O29" s="441">
        <f>'Przy. i koszty-proj wnioskowany'!K12</f>
        <v>21302.088888888858</v>
      </c>
    </row>
    <row r="30" spans="1:15">
      <c r="A30" s="107">
        <v>3</v>
      </c>
      <c r="B30" s="480" t="s">
        <v>316</v>
      </c>
      <c r="C30" s="480"/>
      <c r="D30" s="109" t="s">
        <v>16</v>
      </c>
      <c r="E30" s="111">
        <v>45219.839999999997</v>
      </c>
      <c r="F30" s="111">
        <v>37449.74</v>
      </c>
      <c r="G30" s="111">
        <v>621874.11</v>
      </c>
      <c r="H30" s="111">
        <v>864418.81</v>
      </c>
      <c r="I30" s="111">
        <v>1587025.71</v>
      </c>
      <c r="J30" s="111">
        <f>'Leasingi - obecnie'!AZ89+'Leasingi - obecnie'!AZ88</f>
        <v>897701.01</v>
      </c>
      <c r="K30" s="111">
        <f>'Leasingi - obecnie'!BL89+'Leasingi - obecnie'!BL88</f>
        <v>798631.89000000013</v>
      </c>
      <c r="L30" s="111">
        <f>'Leasingi - obecnie'!BW89+'Leasingi - obecnie'!BW88</f>
        <v>619592</v>
      </c>
      <c r="M30" s="111">
        <v>0</v>
      </c>
      <c r="N30" s="111">
        <v>0</v>
      </c>
      <c r="O30" s="111">
        <v>0</v>
      </c>
    </row>
    <row r="31" spans="1:15">
      <c r="A31" s="107" t="s">
        <v>24</v>
      </c>
      <c r="B31" s="474" t="s">
        <v>317</v>
      </c>
      <c r="C31" s="474"/>
      <c r="D31" s="109" t="s">
        <v>16</v>
      </c>
      <c r="E31" s="111">
        <f>E23-E25</f>
        <v>-2964673.1999999997</v>
      </c>
      <c r="F31" s="111">
        <f t="shared" ref="F31:O31" si="6">F23-F25</f>
        <v>2033483.96</v>
      </c>
      <c r="G31" s="111">
        <f t="shared" si="6"/>
        <v>-4603197.75</v>
      </c>
      <c r="H31" s="111">
        <f t="shared" si="6"/>
        <v>2032230.3999999994</v>
      </c>
      <c r="I31" s="111">
        <f t="shared" si="6"/>
        <v>-3681526.04</v>
      </c>
      <c r="J31" s="111">
        <f t="shared" si="6"/>
        <v>-89477.893333332613</v>
      </c>
      <c r="K31" s="111">
        <f t="shared" si="6"/>
        <v>1801320.0841861386</v>
      </c>
      <c r="L31" s="111">
        <f t="shared" si="6"/>
        <v>-3962805.0725111114</v>
      </c>
      <c r="M31" s="111">
        <f t="shared" si="6"/>
        <v>-3154239.6712611113</v>
      </c>
      <c r="N31" s="111">
        <f t="shared" si="6"/>
        <v>-600370.68084444478</v>
      </c>
      <c r="O31" s="111">
        <f t="shared" si="6"/>
        <v>-495130.24847777793</v>
      </c>
    </row>
    <row r="32" spans="1:15" s="114" customFormat="1">
      <c r="A32" s="80" t="s">
        <v>38</v>
      </c>
      <c r="B32" s="481" t="s">
        <v>318</v>
      </c>
      <c r="C32" s="481"/>
      <c r="D32" s="116" t="s">
        <v>16</v>
      </c>
      <c r="E32" s="117">
        <f>E16+E21+E31</f>
        <v>4546650.6300000008</v>
      </c>
      <c r="F32" s="117">
        <f t="shared" ref="F32:O32" si="7">F16+F21+F31</f>
        <v>-8520782.2399999946</v>
      </c>
      <c r="G32" s="117">
        <f t="shared" si="7"/>
        <v>65615.03999998793</v>
      </c>
      <c r="H32" s="117">
        <f t="shared" si="7"/>
        <v>196396.40000000689</v>
      </c>
      <c r="I32" s="117">
        <f t="shared" si="7"/>
        <v>7651669.2299999995</v>
      </c>
      <c r="J32" s="117">
        <f t="shared" si="7"/>
        <v>-5895494.9696762962</v>
      </c>
      <c r="K32" s="117">
        <f t="shared" si="7"/>
        <v>2109425.4806074221</v>
      </c>
      <c r="L32" s="117">
        <f t="shared" si="7"/>
        <v>6128413.1327623809</v>
      </c>
      <c r="M32" s="117">
        <f t="shared" si="7"/>
        <v>5904524.6251063086</v>
      </c>
      <c r="N32" s="117">
        <f t="shared" si="7"/>
        <v>6401897.8673808128</v>
      </c>
      <c r="O32" s="117">
        <f t="shared" si="7"/>
        <v>4489436.8021147773</v>
      </c>
    </row>
    <row r="33" spans="1:15" s="114" customFormat="1">
      <c r="A33" s="80" t="s">
        <v>41</v>
      </c>
      <c r="B33" s="481" t="s">
        <v>319</v>
      </c>
      <c r="C33" s="481"/>
      <c r="D33" s="116" t="s">
        <v>16</v>
      </c>
      <c r="E33" s="117">
        <f>E32</f>
        <v>4546650.6300000008</v>
      </c>
      <c r="F33" s="117">
        <f t="shared" ref="F33:O33" si="8">F32</f>
        <v>-8520782.2399999946</v>
      </c>
      <c r="G33" s="117">
        <f t="shared" si="8"/>
        <v>65615.03999998793</v>
      </c>
      <c r="H33" s="117">
        <f t="shared" si="8"/>
        <v>196396.40000000689</v>
      </c>
      <c r="I33" s="117">
        <f t="shared" si="8"/>
        <v>7651669.2299999995</v>
      </c>
      <c r="J33" s="117">
        <f t="shared" si="8"/>
        <v>-5895494.9696762962</v>
      </c>
      <c r="K33" s="117">
        <f t="shared" si="8"/>
        <v>2109425.4806074221</v>
      </c>
      <c r="L33" s="117">
        <f t="shared" si="8"/>
        <v>6128413.1327623809</v>
      </c>
      <c r="M33" s="117">
        <f t="shared" si="8"/>
        <v>5904524.6251063086</v>
      </c>
      <c r="N33" s="117">
        <f t="shared" si="8"/>
        <v>6401897.8673808128</v>
      </c>
      <c r="O33" s="117">
        <f t="shared" si="8"/>
        <v>4489436.8021147773</v>
      </c>
    </row>
    <row r="34" spans="1:15" s="114" customFormat="1">
      <c r="A34" s="80" t="s">
        <v>43</v>
      </c>
      <c r="B34" s="481" t="s">
        <v>320</v>
      </c>
      <c r="C34" s="481"/>
      <c r="D34" s="116" t="s">
        <v>16</v>
      </c>
      <c r="E34" s="117">
        <v>15510893.789999999</v>
      </c>
      <c r="F34" s="117">
        <f>E35</f>
        <v>20057544.420000002</v>
      </c>
      <c r="G34" s="117">
        <f t="shared" ref="G34:O34" si="9">F35</f>
        <v>11536762.180000007</v>
      </c>
      <c r="H34" s="117">
        <f t="shared" si="9"/>
        <v>11602377.219999995</v>
      </c>
      <c r="I34" s="117">
        <f t="shared" si="9"/>
        <v>11798773.620000001</v>
      </c>
      <c r="J34" s="117">
        <f t="shared" si="9"/>
        <v>19450442.850000001</v>
      </c>
      <c r="K34" s="117">
        <f t="shared" si="9"/>
        <v>13554947.880323704</v>
      </c>
      <c r="L34" s="117">
        <f t="shared" si="9"/>
        <v>15664373.360931126</v>
      </c>
      <c r="M34" s="117">
        <f t="shared" si="9"/>
        <v>21792786.493693508</v>
      </c>
      <c r="N34" s="117">
        <f t="shared" si="9"/>
        <v>27697311.118799817</v>
      </c>
      <c r="O34" s="117">
        <f t="shared" si="9"/>
        <v>34099208.986180633</v>
      </c>
    </row>
    <row r="35" spans="1:15" s="114" customFormat="1">
      <c r="A35" s="80" t="s">
        <v>45</v>
      </c>
      <c r="B35" s="481" t="s">
        <v>321</v>
      </c>
      <c r="C35" s="481"/>
      <c r="D35" s="116" t="s">
        <v>16</v>
      </c>
      <c r="E35" s="117">
        <f>E33+E34</f>
        <v>20057544.420000002</v>
      </c>
      <c r="F35" s="117">
        <f t="shared" ref="F35:O35" si="10">F33+F34</f>
        <v>11536762.180000007</v>
      </c>
      <c r="G35" s="117">
        <f t="shared" si="10"/>
        <v>11602377.219999995</v>
      </c>
      <c r="H35" s="117">
        <f t="shared" si="10"/>
        <v>11798773.620000001</v>
      </c>
      <c r="I35" s="117">
        <f>I33+I34</f>
        <v>19450442.850000001</v>
      </c>
      <c r="J35" s="117">
        <f t="shared" si="10"/>
        <v>13554947.880323704</v>
      </c>
      <c r="K35" s="117">
        <f t="shared" si="10"/>
        <v>15664373.360931126</v>
      </c>
      <c r="L35" s="117">
        <f t="shared" si="10"/>
        <v>21792786.493693508</v>
      </c>
      <c r="M35" s="117">
        <f t="shared" si="10"/>
        <v>27697311.118799817</v>
      </c>
      <c r="N35" s="117">
        <f t="shared" si="10"/>
        <v>34099208.986180633</v>
      </c>
      <c r="O35" s="117">
        <f t="shared" si="10"/>
        <v>38588645.788295411</v>
      </c>
    </row>
    <row r="36" spans="1:15">
      <c r="A36" s="479"/>
      <c r="B36" s="479"/>
    </row>
    <row r="38" spans="1:15">
      <c r="I38" s="444"/>
    </row>
  </sheetData>
  <mergeCells count="36">
    <mergeCell ref="A36:B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H17"/>
    <mergeCell ref="B18:C18"/>
    <mergeCell ref="B19:C19"/>
    <mergeCell ref="B20:C20"/>
    <mergeCell ref="B21:C21"/>
    <mergeCell ref="B22:H22"/>
    <mergeCell ref="B23:C23"/>
    <mergeCell ref="B12:C12"/>
    <mergeCell ref="B1:C1"/>
    <mergeCell ref="B2:C2"/>
    <mergeCell ref="B3:H3"/>
    <mergeCell ref="B4:C4"/>
    <mergeCell ref="B5:C5"/>
    <mergeCell ref="B6:C6"/>
    <mergeCell ref="B7:C7"/>
    <mergeCell ref="B8:C8"/>
    <mergeCell ref="B9:C9"/>
    <mergeCell ref="B10:C10"/>
    <mergeCell ref="B11:C11"/>
  </mergeCells>
  <phoneticPr fontId="4" type="noConversion"/>
  <pageMargins left="0" right="0" top="0" bottom="0" header="0" footer="0"/>
  <pageSetup paperSize="0" orientation="portrait" horizontalDpi="300" verticalDpi="300"/>
  <rowBreaks count="36" manualBreakCount="36">
    <brk id="1" max="16383" man="1"/>
    <brk id="2" max="16383" man="1"/>
    <brk id="3" max="16383" man="1"/>
    <brk id="4" max="16383" man="1"/>
    <brk id="5" max="16383" man="1"/>
    <brk id="6" max="16383" man="1"/>
    <brk id="7" max="16383" man="1"/>
    <brk id="8" max="16383" man="1"/>
    <brk id="9" max="16383" man="1"/>
    <brk id="10" max="16383" man="1"/>
    <brk id="11" max="16383" man="1"/>
    <brk id="12" max="16383" man="1"/>
    <brk id="13" max="16383" man="1"/>
    <brk id="14" max="16383" man="1"/>
    <brk id="15" max="16383" man="1"/>
    <brk id="16" max="16383" man="1"/>
    <brk id="17" max="16383" man="1"/>
    <brk id="18" max="16383" man="1"/>
    <brk id="19" max="16383" man="1"/>
    <brk id="20" max="16383" man="1"/>
    <brk id="21" max="16383" man="1"/>
    <brk id="22" max="16383" man="1"/>
    <brk id="23" max="16383" man="1"/>
    <brk id="24" max="16383" man="1"/>
    <brk id="25" max="16383" man="1"/>
    <brk id="26" max="16383" man="1"/>
    <brk id="27" max="16383" man="1"/>
    <brk id="28" max="16383" man="1"/>
    <brk id="29" max="16383" man="1"/>
    <brk id="30" max="16383" man="1"/>
    <brk id="31" max="16383" man="1"/>
    <brk id="32" max="16383" man="1"/>
    <brk id="33" max="16383" man="1"/>
    <brk id="34" max="16383" man="1"/>
    <brk id="35" max="16383" man="1"/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2:S29"/>
  <sheetViews>
    <sheetView showGridLines="0" topLeftCell="B1" workbookViewId="0">
      <selection activeCell="K29" sqref="K29"/>
    </sheetView>
  </sheetViews>
  <sheetFormatPr defaultColWidth="9.140625" defaultRowHeight="12.75"/>
  <cols>
    <col min="1" max="1" width="6.140625" style="118" customWidth="1"/>
    <col min="2" max="2" width="34.85546875" style="118" bestFit="1" customWidth="1"/>
    <col min="3" max="11" width="12.7109375" style="118" customWidth="1"/>
    <col min="12" max="14" width="12.7109375" style="118" bestFit="1" customWidth="1"/>
    <col min="15" max="19" width="13.7109375" style="118" bestFit="1" customWidth="1"/>
    <col min="20" max="16384" width="9.140625" style="118"/>
  </cols>
  <sheetData>
    <row r="2" spans="2:19">
      <c r="B2" s="484" t="s">
        <v>1020</v>
      </c>
      <c r="C2" s="482">
        <v>2020</v>
      </c>
      <c r="D2" s="482">
        <v>2021</v>
      </c>
      <c r="E2" s="482">
        <v>2022</v>
      </c>
      <c r="F2" s="482">
        <v>2023</v>
      </c>
      <c r="G2" s="482">
        <v>2024</v>
      </c>
      <c r="H2" s="482">
        <v>2025</v>
      </c>
      <c r="I2" s="482">
        <v>2026</v>
      </c>
      <c r="J2" s="482">
        <v>2027</v>
      </c>
      <c r="K2" s="482">
        <v>2028</v>
      </c>
      <c r="L2" s="482">
        <v>2029</v>
      </c>
      <c r="M2" s="482">
        <v>2030</v>
      </c>
      <c r="N2" s="482">
        <v>2031</v>
      </c>
      <c r="O2" s="482">
        <v>2032</v>
      </c>
      <c r="P2" s="482">
        <v>2033</v>
      </c>
      <c r="Q2" s="482">
        <v>2034</v>
      </c>
      <c r="R2" s="482">
        <v>2035</v>
      </c>
      <c r="S2" s="482">
        <v>2036</v>
      </c>
    </row>
    <row r="3" spans="2:19">
      <c r="B3" s="484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</row>
    <row r="4" spans="2:19">
      <c r="B4" s="133" t="s">
        <v>1021</v>
      </c>
      <c r="C4" s="119">
        <v>0</v>
      </c>
      <c r="D4" s="119">
        <f>(RZiS!I3+RPP!I19)*$C$11</f>
        <v>22248901.7075</v>
      </c>
      <c r="E4" s="119">
        <f>(RZiS!J3+RPP!J19)*$C$11</f>
        <v>21968611</v>
      </c>
      <c r="F4" s="119">
        <f>(RZiS!K3+RPP!K19)*$C$11</f>
        <v>24783672.919500001</v>
      </c>
      <c r="G4" s="119">
        <f>RZiS!L3*$C$11</f>
        <v>26658409.188598502</v>
      </c>
      <c r="H4" s="119">
        <f>RZiS!M3*$C$11</f>
        <v>29097534.016197316</v>
      </c>
      <c r="I4" s="119">
        <f>RZiS!N3*$C$11</f>
        <v>31727350.07678711</v>
      </c>
      <c r="J4" s="119">
        <f>RZiS!O3*$C$11</f>
        <v>34386287.097858645</v>
      </c>
      <c r="K4" s="119" t="e">
        <f>RZiS!#REF!*$C$11</f>
        <v>#REF!</v>
      </c>
      <c r="L4" s="119" t="e">
        <f>RZiS!#REF!*$C$11</f>
        <v>#REF!</v>
      </c>
      <c r="M4" s="119" t="e">
        <f>RZiS!#REF!*$C$11</f>
        <v>#REF!</v>
      </c>
      <c r="N4" s="119" t="e">
        <f>RZiS!#REF!*$C$11</f>
        <v>#REF!</v>
      </c>
      <c r="O4" s="119" t="e">
        <f>RZiS!#REF!*$C$11</f>
        <v>#REF!</v>
      </c>
      <c r="P4" s="119" t="e">
        <f>RZiS!#REF!*$C$11</f>
        <v>#REF!</v>
      </c>
      <c r="Q4" s="119" t="e">
        <f>RZiS!#REF!*$C$11</f>
        <v>#REF!</v>
      </c>
      <c r="R4" s="119" t="e">
        <f>RZiS!#REF!*$C$11</f>
        <v>#REF!</v>
      </c>
      <c r="S4" s="119" t="e">
        <f>RZiS!#REF!*$C$11</f>
        <v>#REF!</v>
      </c>
    </row>
    <row r="5" spans="2:19">
      <c r="B5" s="133" t="s">
        <v>1022</v>
      </c>
      <c r="C5" s="119">
        <v>0</v>
      </c>
      <c r="D5" s="119">
        <f>(RZiS!I6+RZiS!I7+RZiS!I11+RZiS!I12)*$C$11</f>
        <v>10823041.747499999</v>
      </c>
      <c r="E5" s="119">
        <f>(RZiS!J6+RZiS!J7+RZiS!J11+RZiS!J12)*$C$11</f>
        <v>10306289.65</v>
      </c>
      <c r="F5" s="119">
        <f>(RZiS!K6+RZiS!K7+RZiS!K11+RZiS!K12)*$C$11</f>
        <v>11573963.276950002</v>
      </c>
      <c r="G5" s="119">
        <f>(RZiS!L6+RZiS!L7+RZiS!L11+RZiS!L12)*$C$11</f>
        <v>14873973.96878485</v>
      </c>
      <c r="H5" s="119">
        <f>(RZiS!M6+RZiS!M7+RZiS!M11+RZiS!M12)*$C$11</f>
        <v>17381672.809006885</v>
      </c>
      <c r="I5" s="119">
        <f>(RZiS!N6+RZiS!N7+RZiS!N11+RZiS!N12)*$C$11</f>
        <v>20048526.724228725</v>
      </c>
      <c r="J5" s="119">
        <f>(RZiS!O6+RZiS!O7+RZiS!O11+RZiS!O12)*$C$11</f>
        <v>22691905.863232747</v>
      </c>
      <c r="K5" s="119" t="e">
        <f>(RZiS!#REF!+RZiS!#REF!+RZiS!#REF!+RZiS!#REF!)*$C$11</f>
        <v>#REF!</v>
      </c>
      <c r="L5" s="119" t="e">
        <f>(RZiS!#REF!+RZiS!#REF!+RZiS!#REF!+RZiS!#REF!)*$C$11</f>
        <v>#REF!</v>
      </c>
      <c r="M5" s="119" t="e">
        <f>(RZiS!#REF!+RZiS!#REF!+RZiS!#REF!+RZiS!#REF!)*$C$11</f>
        <v>#REF!</v>
      </c>
      <c r="N5" s="119" t="e">
        <f>(RZiS!#REF!+RZiS!#REF!+RZiS!#REF!+RZiS!#REF!)*$C$11</f>
        <v>#REF!</v>
      </c>
      <c r="O5" s="119" t="e">
        <f>(RZiS!#REF!+RZiS!#REF!+RZiS!#REF!+RZiS!#REF!)*$C$11</f>
        <v>#REF!</v>
      </c>
      <c r="P5" s="119" t="e">
        <f>(RZiS!#REF!+RZiS!#REF!+RZiS!#REF!+RZiS!#REF!)*$C$11</f>
        <v>#REF!</v>
      </c>
      <c r="Q5" s="119" t="e">
        <f>(RZiS!#REF!+RZiS!#REF!+RZiS!#REF!+RZiS!#REF!)*$C$11</f>
        <v>#REF!</v>
      </c>
      <c r="R5" s="119" t="e">
        <f>(RZiS!#REF!+RZiS!#REF!+RZiS!#REF!+RZiS!#REF!)*$C$11</f>
        <v>#REF!</v>
      </c>
      <c r="S5" s="119" t="e">
        <f>(RZiS!#REF!+RZiS!#REF!+RZiS!#REF!+RZiS!#REF!)*$C$11</f>
        <v>#REF!</v>
      </c>
    </row>
    <row r="6" spans="2:19">
      <c r="B6" s="133" t="s">
        <v>1023</v>
      </c>
      <c r="C6" s="119">
        <v>0</v>
      </c>
      <c r="D6" s="119">
        <f>IF(C7&lt;0,0,C7)</f>
        <v>0</v>
      </c>
      <c r="E6" s="119">
        <f t="shared" ref="E6:O6" si="0">IF(D7&lt;0,0,D7)</f>
        <v>0</v>
      </c>
      <c r="F6" s="119">
        <f>IF(E7&lt;0,0,E7)</f>
        <v>0</v>
      </c>
      <c r="G6" s="119">
        <f t="shared" ref="G6:I6" si="1">IF(F7&lt;0,0,F7)</f>
        <v>0</v>
      </c>
      <c r="H6" s="119">
        <f t="shared" si="1"/>
        <v>0</v>
      </c>
      <c r="I6" s="119">
        <f t="shared" si="1"/>
        <v>0</v>
      </c>
      <c r="J6" s="119">
        <f t="shared" si="0"/>
        <v>0</v>
      </c>
      <c r="K6" s="119">
        <f t="shared" si="0"/>
        <v>0</v>
      </c>
      <c r="L6" s="119" t="e">
        <f t="shared" si="0"/>
        <v>#REF!</v>
      </c>
      <c r="M6" s="119" t="e">
        <f t="shared" si="0"/>
        <v>#REF!</v>
      </c>
      <c r="N6" s="119" t="e">
        <f t="shared" si="0"/>
        <v>#REF!</v>
      </c>
      <c r="O6" s="119" t="e">
        <f t="shared" si="0"/>
        <v>#REF!</v>
      </c>
      <c r="P6" s="119" t="e">
        <f t="shared" ref="P6" si="2">IF(O7&lt;0,0,O7)</f>
        <v>#REF!</v>
      </c>
      <c r="Q6" s="119" t="e">
        <f t="shared" ref="Q6" si="3">IF(P7&lt;0,0,P7)</f>
        <v>#REF!</v>
      </c>
      <c r="R6" s="119" t="e">
        <f t="shared" ref="R6:S6" si="4">IF(Q7&lt;0,0,Q7)</f>
        <v>#REF!</v>
      </c>
      <c r="S6" s="119" t="e">
        <f t="shared" si="4"/>
        <v>#REF!</v>
      </c>
    </row>
    <row r="7" spans="2:19">
      <c r="B7" s="133" t="s">
        <v>1024</v>
      </c>
      <c r="C7" s="119">
        <f t="shared" ref="C7:O7" si="5">C5+C6-C4</f>
        <v>0</v>
      </c>
      <c r="D7" s="119">
        <f t="shared" si="5"/>
        <v>-11425859.960000001</v>
      </c>
      <c r="E7" s="119">
        <f t="shared" si="5"/>
        <v>-11662321.35</v>
      </c>
      <c r="F7" s="119">
        <f t="shared" si="5"/>
        <v>-13209709.642549999</v>
      </c>
      <c r="G7" s="119">
        <f t="shared" si="5"/>
        <v>-11784435.219813652</v>
      </c>
      <c r="H7" s="119">
        <f t="shared" si="5"/>
        <v>-11715861.207190432</v>
      </c>
      <c r="I7" s="119">
        <f t="shared" si="5"/>
        <v>-11678823.352558386</v>
      </c>
      <c r="J7" s="119">
        <f t="shared" si="5"/>
        <v>-11694381.234625898</v>
      </c>
      <c r="K7" s="119" t="e">
        <f t="shared" si="5"/>
        <v>#REF!</v>
      </c>
      <c r="L7" s="119" t="e">
        <f t="shared" si="5"/>
        <v>#REF!</v>
      </c>
      <c r="M7" s="119" t="e">
        <f t="shared" si="5"/>
        <v>#REF!</v>
      </c>
      <c r="N7" s="119" t="e">
        <f t="shared" si="5"/>
        <v>#REF!</v>
      </c>
      <c r="O7" s="119" t="e">
        <f t="shared" si="5"/>
        <v>#REF!</v>
      </c>
      <c r="P7" s="119" t="e">
        <f t="shared" ref="P7:R7" si="6">P5+P6-P4</f>
        <v>#REF!</v>
      </c>
      <c r="Q7" s="119" t="e">
        <f t="shared" si="6"/>
        <v>#REF!</v>
      </c>
      <c r="R7" s="119" t="e">
        <f t="shared" si="6"/>
        <v>#REF!</v>
      </c>
      <c r="S7" s="119" t="e">
        <f t="shared" ref="S7" si="7">S5+S6-S4</f>
        <v>#REF!</v>
      </c>
    </row>
    <row r="8" spans="2:19">
      <c r="B8" s="134" t="s">
        <v>1025</v>
      </c>
      <c r="C8" s="119">
        <f t="shared" ref="C8:O8" si="8">IF(C6&lt;0,0,-C6)</f>
        <v>0</v>
      </c>
      <c r="D8" s="119">
        <f t="shared" si="8"/>
        <v>0</v>
      </c>
      <c r="E8" s="119">
        <f t="shared" si="8"/>
        <v>0</v>
      </c>
      <c r="F8" s="119">
        <f t="shared" si="8"/>
        <v>0</v>
      </c>
      <c r="G8" s="119">
        <f t="shared" si="8"/>
        <v>0</v>
      </c>
      <c r="H8" s="119">
        <f t="shared" si="8"/>
        <v>0</v>
      </c>
      <c r="I8" s="119">
        <f t="shared" si="8"/>
        <v>0</v>
      </c>
      <c r="J8" s="119">
        <f t="shared" si="8"/>
        <v>0</v>
      </c>
      <c r="K8" s="119">
        <f t="shared" si="8"/>
        <v>0</v>
      </c>
      <c r="L8" s="119" t="e">
        <f t="shared" si="8"/>
        <v>#REF!</v>
      </c>
      <c r="M8" s="119" t="e">
        <f t="shared" si="8"/>
        <v>#REF!</v>
      </c>
      <c r="N8" s="119" t="e">
        <f t="shared" si="8"/>
        <v>#REF!</v>
      </c>
      <c r="O8" s="119" t="e">
        <f t="shared" si="8"/>
        <v>#REF!</v>
      </c>
      <c r="P8" s="119" t="e">
        <f t="shared" ref="P8:R8" si="9">IF(P6&lt;0,0,-P6)</f>
        <v>#REF!</v>
      </c>
      <c r="Q8" s="119" t="e">
        <f t="shared" si="9"/>
        <v>#REF!</v>
      </c>
      <c r="R8" s="119" t="e">
        <f t="shared" si="9"/>
        <v>#REF!</v>
      </c>
      <c r="S8" s="119" t="e">
        <f t="shared" ref="S8" si="10">IF(S6&lt;0,0,-S6)</f>
        <v>#REF!</v>
      </c>
    </row>
    <row r="9" spans="2:19">
      <c r="B9" s="134" t="s">
        <v>1026</v>
      </c>
      <c r="C9" s="119">
        <f>IF(C7&lt;0,-C7,)</f>
        <v>0</v>
      </c>
      <c r="D9" s="119">
        <f t="shared" ref="D9:O9" si="11">IF(D7&lt;0,-D7,)</f>
        <v>11425859.960000001</v>
      </c>
      <c r="E9" s="119">
        <f t="shared" si="11"/>
        <v>11662321.35</v>
      </c>
      <c r="F9" s="119">
        <f t="shared" si="11"/>
        <v>13209709.642549999</v>
      </c>
      <c r="G9" s="119">
        <f t="shared" si="11"/>
        <v>11784435.219813652</v>
      </c>
      <c r="H9" s="119">
        <f t="shared" si="11"/>
        <v>11715861.207190432</v>
      </c>
      <c r="I9" s="119">
        <f t="shared" si="11"/>
        <v>11678823.352558386</v>
      </c>
      <c r="J9" s="119">
        <f t="shared" si="11"/>
        <v>11694381.234625898</v>
      </c>
      <c r="K9" s="119" t="e">
        <f t="shared" si="11"/>
        <v>#REF!</v>
      </c>
      <c r="L9" s="119" t="e">
        <f t="shared" si="11"/>
        <v>#REF!</v>
      </c>
      <c r="M9" s="119" t="e">
        <f t="shared" si="11"/>
        <v>#REF!</v>
      </c>
      <c r="N9" s="119" t="e">
        <f t="shared" si="11"/>
        <v>#REF!</v>
      </c>
      <c r="O9" s="119" t="e">
        <f t="shared" si="11"/>
        <v>#REF!</v>
      </c>
      <c r="P9" s="119" t="e">
        <f t="shared" ref="P9:R9" si="12">IF(P7&lt;0,-P7,)</f>
        <v>#REF!</v>
      </c>
      <c r="Q9" s="119" t="e">
        <f t="shared" si="12"/>
        <v>#REF!</v>
      </c>
      <c r="R9" s="119" t="e">
        <f t="shared" si="12"/>
        <v>#REF!</v>
      </c>
      <c r="S9" s="119" t="e">
        <f t="shared" ref="S9" si="13">IF(S7&lt;0,-S7,)</f>
        <v>#REF!</v>
      </c>
    </row>
    <row r="10" spans="2:19">
      <c r="B10" s="120"/>
      <c r="C10" s="120"/>
      <c r="D10" s="120"/>
      <c r="E10" s="120"/>
      <c r="F10" s="120"/>
      <c r="G10" s="120"/>
      <c r="H10" s="120"/>
    </row>
    <row r="11" spans="2:19">
      <c r="B11" s="121" t="s">
        <v>1027</v>
      </c>
      <c r="C11" s="122">
        <v>0.23</v>
      </c>
      <c r="D11" s="123"/>
      <c r="E11" s="123"/>
      <c r="F11" s="123"/>
      <c r="G11" s="123"/>
      <c r="H11" s="123"/>
    </row>
    <row r="14" spans="2:19">
      <c r="B14" s="485" t="s">
        <v>1028</v>
      </c>
      <c r="C14" s="482">
        <v>2020</v>
      </c>
      <c r="D14" s="482">
        <v>2021</v>
      </c>
      <c r="E14" s="482">
        <v>2022</v>
      </c>
      <c r="F14" s="482">
        <v>2023</v>
      </c>
      <c r="G14" s="482">
        <v>2024</v>
      </c>
      <c r="H14" s="482">
        <v>2025</v>
      </c>
      <c r="I14" s="482">
        <v>2026</v>
      </c>
      <c r="J14" s="482">
        <v>2027</v>
      </c>
      <c r="K14" s="482">
        <v>2028</v>
      </c>
      <c r="L14" s="482">
        <v>2029</v>
      </c>
      <c r="M14" s="482">
        <v>2030</v>
      </c>
      <c r="N14" s="482">
        <v>2031</v>
      </c>
      <c r="O14" s="482">
        <v>2032</v>
      </c>
      <c r="P14" s="482">
        <v>2033</v>
      </c>
      <c r="Q14" s="482">
        <v>2034</v>
      </c>
      <c r="R14" s="482">
        <v>2035</v>
      </c>
      <c r="S14" s="482">
        <v>2036</v>
      </c>
    </row>
    <row r="15" spans="2:19">
      <c r="B15" s="486"/>
      <c r="C15" s="483"/>
      <c r="D15" s="483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83"/>
      <c r="R15" s="483"/>
      <c r="S15" s="483"/>
    </row>
    <row r="16" spans="2:19">
      <c r="B16" s="135" t="s">
        <v>255</v>
      </c>
      <c r="C16" s="124">
        <f>'Bilans i a. wskaźnikowa'!H12</f>
        <v>1658259.24</v>
      </c>
      <c r="D16" s="124">
        <f>'Bilans i a. wskaźnikowa'!I12</f>
        <v>1408679.38</v>
      </c>
      <c r="E16" s="124">
        <f>'Bilans i a. wskaźnikowa'!J12</f>
        <v>1867935.9407291175</v>
      </c>
      <c r="F16" s="124">
        <f>'Bilans i a. wskaźnikowa'!K12</f>
        <v>2044455.887128019</v>
      </c>
      <c r="G16" s="124">
        <f>'Bilans i a. wskaźnikowa'!L12</f>
        <v>2435277.9490640112</v>
      </c>
      <c r="H16" s="124">
        <f>'Bilans i a. wskaźnikowa'!M12</f>
        <v>2658094.9545965991</v>
      </c>
      <c r="I16" s="124">
        <f>'Bilans i a. wskaźnikowa'!N12</f>
        <v>2898331.8350923709</v>
      </c>
      <c r="J16" s="124">
        <f>'Bilans i a. wskaźnikowa'!O12</f>
        <v>3141228.9505787236</v>
      </c>
      <c r="K16" s="124" t="e">
        <f>'Bilans i a. wskaźnikowa'!#REF!</f>
        <v>#REF!</v>
      </c>
      <c r="L16" s="124" t="e">
        <f>'Bilans i a. wskaźnikowa'!#REF!</f>
        <v>#REF!</v>
      </c>
      <c r="M16" s="124" t="e">
        <f>'Bilans i a. wskaźnikowa'!#REF!</f>
        <v>#REF!</v>
      </c>
      <c r="N16" s="124" t="e">
        <f>'Bilans i a. wskaźnikowa'!#REF!</f>
        <v>#REF!</v>
      </c>
      <c r="O16" s="124" t="e">
        <f>'Bilans i a. wskaźnikowa'!#REF!</f>
        <v>#REF!</v>
      </c>
      <c r="P16" s="124" t="e">
        <f>'Bilans i a. wskaźnikowa'!#REF!</f>
        <v>#REF!</v>
      </c>
      <c r="Q16" s="124" t="e">
        <f>'Bilans i a. wskaźnikowa'!#REF!</f>
        <v>#REF!</v>
      </c>
      <c r="R16" s="125" t="e">
        <f>'Bilans i a. wskaźnikowa'!#REF!</f>
        <v>#REF!</v>
      </c>
      <c r="S16" s="125" t="e">
        <f>'Bilans i a. wskaźnikowa'!#REF!</f>
        <v>#REF!</v>
      </c>
    </row>
    <row r="17" spans="2:19">
      <c r="B17" s="135" t="s">
        <v>1029</v>
      </c>
      <c r="C17" s="124">
        <f>'Bilans i a. wskaźnikowa'!H13</f>
        <v>9628914.4800000004</v>
      </c>
      <c r="D17" s="124">
        <f>'Bilans i a. wskaźnikowa'!I13</f>
        <v>11360261.68</v>
      </c>
      <c r="E17" s="124">
        <f>'Bilans i a. wskaźnikowa'!J13</f>
        <v>10846431.603419874</v>
      </c>
      <c r="F17" s="124">
        <f>'Bilans i a. wskaźnikowa'!K13</f>
        <v>11871419.389943052</v>
      </c>
      <c r="G17" s="124">
        <f>'Bilans i a. wskaźnikowa'!L13</f>
        <v>14140782.418656785</v>
      </c>
      <c r="H17" s="124">
        <f>'Bilans i a. wskaźnikowa'!M13</f>
        <v>15434600.561930314</v>
      </c>
      <c r="I17" s="124">
        <f>'Bilans i a. wskaźnikowa'!N13</f>
        <v>16829569.648450084</v>
      </c>
      <c r="J17" s="124">
        <f>'Bilans i a. wskaźnikowa'!O13</f>
        <v>18239985.761950392</v>
      </c>
      <c r="K17" s="124" t="e">
        <f>'Bilans i a. wskaźnikowa'!#REF!</f>
        <v>#REF!</v>
      </c>
      <c r="L17" s="124" t="e">
        <f>'Bilans i a. wskaźnikowa'!#REF!</f>
        <v>#REF!</v>
      </c>
      <c r="M17" s="124" t="e">
        <f>'Bilans i a. wskaźnikowa'!#REF!</f>
        <v>#REF!</v>
      </c>
      <c r="N17" s="124" t="e">
        <f>'Bilans i a. wskaźnikowa'!#REF!</f>
        <v>#REF!</v>
      </c>
      <c r="O17" s="124" t="e">
        <f>'Bilans i a. wskaźnikowa'!#REF!</f>
        <v>#REF!</v>
      </c>
      <c r="P17" s="124" t="e">
        <f>'Bilans i a. wskaźnikowa'!#REF!</f>
        <v>#REF!</v>
      </c>
      <c r="Q17" s="124" t="e">
        <f>'Bilans i a. wskaźnikowa'!#REF!</f>
        <v>#REF!</v>
      </c>
      <c r="R17" s="125" t="e">
        <f>'Bilans i a. wskaźnikowa'!#REF!</f>
        <v>#REF!</v>
      </c>
      <c r="S17" s="125" t="e">
        <f>'Bilans i a. wskaźnikowa'!#REF!</f>
        <v>#REF!</v>
      </c>
    </row>
    <row r="18" spans="2:19">
      <c r="B18" s="135" t="s">
        <v>1030</v>
      </c>
      <c r="C18" s="124">
        <f>'Bilans i a. wskaźnikowa'!H33</f>
        <v>19238141.75</v>
      </c>
      <c r="D18" s="124">
        <f>'Bilans i a. wskaźnikowa'!I33</f>
        <v>22676644.749726027</v>
      </c>
      <c r="E18" s="124">
        <f>'Bilans i a. wskaźnikowa'!J33</f>
        <v>14700207.23</v>
      </c>
      <c r="F18" s="124">
        <f>'Bilans i a. wskaźnikowa'!K33</f>
        <v>16830890.92255</v>
      </c>
      <c r="G18" s="124">
        <f>'Bilans i a. wskaźnikowa'!L33</f>
        <v>16606142.367610499</v>
      </c>
      <c r="H18" s="124">
        <f>'Bilans i a. wskaźnikowa'!M33</f>
        <v>17563758.780391224</v>
      </c>
      <c r="I18" s="124">
        <f>'Bilans i a. wskaźnikowa'!N33</f>
        <v>18479736.023515642</v>
      </c>
      <c r="J18" s="124">
        <f>'Bilans i a. wskaźnikowa'!O33</f>
        <v>19511231.281332061</v>
      </c>
      <c r="K18" s="124" t="e">
        <f>'Bilans i a. wskaźnikowa'!#REF!</f>
        <v>#REF!</v>
      </c>
      <c r="L18" s="124" t="e">
        <f>'Bilans i a. wskaźnikowa'!#REF!</f>
        <v>#REF!</v>
      </c>
      <c r="M18" s="124" t="e">
        <f>'Bilans i a. wskaźnikowa'!#REF!</f>
        <v>#REF!</v>
      </c>
      <c r="N18" s="124" t="e">
        <f>'Bilans i a. wskaźnikowa'!#REF!</f>
        <v>#REF!</v>
      </c>
      <c r="O18" s="124" t="e">
        <f>'Bilans i a. wskaźnikowa'!#REF!</f>
        <v>#REF!</v>
      </c>
      <c r="P18" s="124" t="e">
        <f>'Bilans i a. wskaźnikowa'!#REF!</f>
        <v>#REF!</v>
      </c>
      <c r="Q18" s="124" t="e">
        <f>'Bilans i a. wskaźnikowa'!#REF!</f>
        <v>#REF!</v>
      </c>
      <c r="R18" s="124" t="e">
        <f>'Bilans i a. wskaźnikowa'!#REF!</f>
        <v>#REF!</v>
      </c>
      <c r="S18" s="125" t="e">
        <f>'Bilans i a. wskaźnikowa'!#REF!</f>
        <v>#REF!</v>
      </c>
    </row>
    <row r="19" spans="2:19">
      <c r="B19" s="135" t="s">
        <v>1031</v>
      </c>
      <c r="C19" s="126">
        <f t="shared" ref="C19:P19" si="14">C16+C17-C18</f>
        <v>-7950968.0299999993</v>
      </c>
      <c r="D19" s="126">
        <f t="shared" si="14"/>
        <v>-9907703.6897260286</v>
      </c>
      <c r="E19" s="126">
        <f t="shared" si="14"/>
        <v>-1985839.6858510096</v>
      </c>
      <c r="F19" s="126">
        <f t="shared" si="14"/>
        <v>-2915015.6454789285</v>
      </c>
      <c r="G19" s="126">
        <f t="shared" si="14"/>
        <v>-30081.999889703467</v>
      </c>
      <c r="H19" s="126">
        <f t="shared" si="14"/>
        <v>528936.73613568768</v>
      </c>
      <c r="I19" s="126">
        <f t="shared" si="14"/>
        <v>1248165.4600268118</v>
      </c>
      <c r="J19" s="126">
        <f t="shared" si="14"/>
        <v>1869983.4311970547</v>
      </c>
      <c r="K19" s="126" t="e">
        <f t="shared" si="14"/>
        <v>#REF!</v>
      </c>
      <c r="L19" s="126" t="e">
        <f t="shared" si="14"/>
        <v>#REF!</v>
      </c>
      <c r="M19" s="126" t="e">
        <f t="shared" si="14"/>
        <v>#REF!</v>
      </c>
      <c r="N19" s="126" t="e">
        <f t="shared" si="14"/>
        <v>#REF!</v>
      </c>
      <c r="O19" s="126" t="e">
        <f t="shared" si="14"/>
        <v>#REF!</v>
      </c>
      <c r="P19" s="126" t="e">
        <f t="shared" si="14"/>
        <v>#REF!</v>
      </c>
      <c r="Q19" s="126" t="e">
        <f t="shared" ref="Q19:R19" si="15">Q16+Q17-Q18</f>
        <v>#REF!</v>
      </c>
      <c r="R19" s="126" t="e">
        <f t="shared" si="15"/>
        <v>#REF!</v>
      </c>
      <c r="S19" s="126" t="e">
        <f t="shared" ref="S19" si="16">S16+S17-S18</f>
        <v>#REF!</v>
      </c>
    </row>
    <row r="20" spans="2:19">
      <c r="B20" s="135" t="s">
        <v>1032</v>
      </c>
      <c r="C20" s="126">
        <f>('Bilans i a. wskaźnikowa'!G12+'Bilans i a. wskaźnikowa'!G13-'Bilans i a. wskaźnikowa'!G33)-C19</f>
        <v>1005138.540000001</v>
      </c>
      <c r="D20" s="126">
        <f t="shared" ref="D20:P20" si="17">+C19-D19</f>
        <v>1956735.6597260293</v>
      </c>
      <c r="E20" s="126">
        <f t="shared" si="17"/>
        <v>-7921864.003875019</v>
      </c>
      <c r="F20" s="126">
        <f t="shared" si="17"/>
        <v>929175.9596279189</v>
      </c>
      <c r="G20" s="126">
        <f t="shared" si="17"/>
        <v>-2884933.645589225</v>
      </c>
      <c r="H20" s="126">
        <f t="shared" si="17"/>
        <v>-559018.73602539115</v>
      </c>
      <c r="I20" s="126">
        <f t="shared" si="17"/>
        <v>-719228.72389112413</v>
      </c>
      <c r="J20" s="126">
        <f t="shared" si="17"/>
        <v>-621817.97117024288</v>
      </c>
      <c r="K20" s="126" t="e">
        <f t="shared" si="17"/>
        <v>#REF!</v>
      </c>
      <c r="L20" s="126" t="e">
        <f t="shared" si="17"/>
        <v>#REF!</v>
      </c>
      <c r="M20" s="126" t="e">
        <f t="shared" si="17"/>
        <v>#REF!</v>
      </c>
      <c r="N20" s="126" t="e">
        <f t="shared" si="17"/>
        <v>#REF!</v>
      </c>
      <c r="O20" s="126" t="e">
        <f t="shared" si="17"/>
        <v>#REF!</v>
      </c>
      <c r="P20" s="126" t="e">
        <f t="shared" si="17"/>
        <v>#REF!</v>
      </c>
      <c r="Q20" s="126" t="e">
        <f t="shared" ref="Q20" si="18">+P19-Q19</f>
        <v>#REF!</v>
      </c>
      <c r="R20" s="126" t="e">
        <f t="shared" ref="R20:S20" si="19">+Q19-R19</f>
        <v>#REF!</v>
      </c>
      <c r="S20" s="126" t="e">
        <f t="shared" si="19"/>
        <v>#REF!</v>
      </c>
    </row>
    <row r="21" spans="2:19">
      <c r="B21" s="127"/>
      <c r="C21" s="127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</row>
    <row r="22" spans="2:19">
      <c r="B22" s="129" t="s">
        <v>1033</v>
      </c>
      <c r="C22" s="130">
        <f>'Bilans i a. wskaźnikowa'!G12-'Bilans i a. wskaźnikowa'!H12</f>
        <v>-3336.1899999999441</v>
      </c>
      <c r="D22" s="131">
        <f t="shared" ref="D22:P23" si="20">C16-D16</f>
        <v>249579.8600000001</v>
      </c>
      <c r="E22" s="131">
        <f t="shared" si="20"/>
        <v>-459256.5607291176</v>
      </c>
      <c r="F22" s="131">
        <f t="shared" si="20"/>
        <v>-176519.94639890152</v>
      </c>
      <c r="G22" s="131">
        <f t="shared" si="20"/>
        <v>-390822.06193599221</v>
      </c>
      <c r="H22" s="131">
        <f t="shared" si="20"/>
        <v>-222817.00553258788</v>
      </c>
      <c r="I22" s="131">
        <f t="shared" si="20"/>
        <v>-240236.88049577177</v>
      </c>
      <c r="J22" s="131">
        <f t="shared" si="20"/>
        <v>-242897.1154863527</v>
      </c>
      <c r="K22" s="131" t="e">
        <f t="shared" si="20"/>
        <v>#REF!</v>
      </c>
      <c r="L22" s="131" t="e">
        <f t="shared" si="20"/>
        <v>#REF!</v>
      </c>
      <c r="M22" s="131" t="e">
        <f t="shared" si="20"/>
        <v>#REF!</v>
      </c>
      <c r="N22" s="131" t="e">
        <f t="shared" si="20"/>
        <v>#REF!</v>
      </c>
      <c r="O22" s="131" t="e">
        <f t="shared" si="20"/>
        <v>#REF!</v>
      </c>
      <c r="P22" s="131" t="e">
        <f t="shared" si="20"/>
        <v>#REF!</v>
      </c>
      <c r="Q22" s="131" t="e">
        <f t="shared" ref="Q22:Q23" si="21">P16-Q16</f>
        <v>#REF!</v>
      </c>
      <c r="R22" s="131" t="e">
        <f t="shared" ref="R22:S23" si="22">Q16-R16</f>
        <v>#REF!</v>
      </c>
      <c r="S22" s="131" t="e">
        <f t="shared" si="22"/>
        <v>#REF!</v>
      </c>
    </row>
    <row r="23" spans="2:19">
      <c r="B23" s="129" t="s">
        <v>1034</v>
      </c>
      <c r="C23" s="130">
        <f>'Bilans i a. wskaźnikowa'!G13-'Bilans i a. wskaźnikowa'!H13</f>
        <v>-1993071</v>
      </c>
      <c r="D23" s="131">
        <f t="shared" si="20"/>
        <v>-1731347.1999999993</v>
      </c>
      <c r="E23" s="131">
        <f t="shared" si="20"/>
        <v>513830.07658012584</v>
      </c>
      <c r="F23" s="131">
        <f t="shared" si="20"/>
        <v>-1024987.7865231782</v>
      </c>
      <c r="G23" s="131">
        <f t="shared" si="20"/>
        <v>-2269363.028713733</v>
      </c>
      <c r="H23" s="131">
        <f t="shared" si="20"/>
        <v>-1293818.1432735287</v>
      </c>
      <c r="I23" s="131">
        <f t="shared" si="20"/>
        <v>-1394969.0865197703</v>
      </c>
      <c r="J23" s="131">
        <f t="shared" si="20"/>
        <v>-1410416.1135003082</v>
      </c>
      <c r="K23" s="131" t="e">
        <f t="shared" si="20"/>
        <v>#REF!</v>
      </c>
      <c r="L23" s="131" t="e">
        <f t="shared" si="20"/>
        <v>#REF!</v>
      </c>
      <c r="M23" s="131" t="e">
        <f t="shared" si="20"/>
        <v>#REF!</v>
      </c>
      <c r="N23" s="131" t="e">
        <f t="shared" si="20"/>
        <v>#REF!</v>
      </c>
      <c r="O23" s="131" t="e">
        <f t="shared" si="20"/>
        <v>#REF!</v>
      </c>
      <c r="P23" s="131" t="e">
        <f t="shared" si="20"/>
        <v>#REF!</v>
      </c>
      <c r="Q23" s="131" t="e">
        <f t="shared" si="21"/>
        <v>#REF!</v>
      </c>
      <c r="R23" s="131" t="e">
        <f t="shared" si="22"/>
        <v>#REF!</v>
      </c>
      <c r="S23" s="131" t="e">
        <f t="shared" si="22"/>
        <v>#REF!</v>
      </c>
    </row>
    <row r="24" spans="2:19">
      <c r="B24" s="129" t="s">
        <v>1035</v>
      </c>
      <c r="C24" s="130">
        <f>'Bilans i a. wskaźnikowa'!H33-'Bilans i a. wskaźnikowa'!G33</f>
        <v>3001545.7300000004</v>
      </c>
      <c r="D24" s="131">
        <f t="shared" ref="D24:P24" si="23">D18-C18</f>
        <v>3438502.9997260273</v>
      </c>
      <c r="E24" s="131">
        <f t="shared" si="23"/>
        <v>-7976437.5197260268</v>
      </c>
      <c r="F24" s="131">
        <f t="shared" si="23"/>
        <v>2130683.6925499998</v>
      </c>
      <c r="G24" s="131">
        <f t="shared" si="23"/>
        <v>-224748.55493950099</v>
      </c>
      <c r="H24" s="131">
        <f t="shared" si="23"/>
        <v>957616.41278072447</v>
      </c>
      <c r="I24" s="131">
        <f t="shared" si="23"/>
        <v>915977.24312441796</v>
      </c>
      <c r="J24" s="131">
        <f t="shared" si="23"/>
        <v>1031495.257816419</v>
      </c>
      <c r="K24" s="131" t="e">
        <f t="shared" si="23"/>
        <v>#REF!</v>
      </c>
      <c r="L24" s="131" t="e">
        <f t="shared" si="23"/>
        <v>#REF!</v>
      </c>
      <c r="M24" s="131" t="e">
        <f t="shared" si="23"/>
        <v>#REF!</v>
      </c>
      <c r="N24" s="131" t="e">
        <f t="shared" si="23"/>
        <v>#REF!</v>
      </c>
      <c r="O24" s="131" t="e">
        <f t="shared" si="23"/>
        <v>#REF!</v>
      </c>
      <c r="P24" s="131" t="e">
        <f t="shared" si="23"/>
        <v>#REF!</v>
      </c>
      <c r="Q24" s="131" t="e">
        <f t="shared" ref="Q24" si="24">Q18-P18</f>
        <v>#REF!</v>
      </c>
      <c r="R24" s="131" t="e">
        <f t="shared" ref="R24:S24" si="25">R18-Q18</f>
        <v>#REF!</v>
      </c>
      <c r="S24" s="131" t="e">
        <f t="shared" si="25"/>
        <v>#REF!</v>
      </c>
    </row>
    <row r="26" spans="2:19">
      <c r="B26" s="139" t="s">
        <v>1036</v>
      </c>
      <c r="C26" s="138">
        <v>2020</v>
      </c>
      <c r="D26" s="137">
        <v>2021</v>
      </c>
      <c r="E26" s="137">
        <v>2022</v>
      </c>
      <c r="F26" s="137">
        <v>2023</v>
      </c>
      <c r="G26" s="137">
        <v>2024</v>
      </c>
      <c r="H26" s="137">
        <v>2025</v>
      </c>
      <c r="I26" s="137">
        <v>2026</v>
      </c>
      <c r="J26" s="137">
        <v>2027</v>
      </c>
      <c r="K26" s="137">
        <v>2028</v>
      </c>
      <c r="L26" s="137">
        <v>2029</v>
      </c>
      <c r="M26" s="137">
        <v>2030</v>
      </c>
      <c r="N26" s="137">
        <v>2031</v>
      </c>
      <c r="O26" s="137">
        <v>2032</v>
      </c>
      <c r="P26" s="137">
        <v>2033</v>
      </c>
      <c r="Q26" s="137">
        <v>2034</v>
      </c>
      <c r="R26" s="137">
        <v>2035</v>
      </c>
      <c r="S26" s="137">
        <v>2036</v>
      </c>
    </row>
    <row r="27" spans="2:19">
      <c r="B27" s="136" t="s">
        <v>1037</v>
      </c>
      <c r="C27" s="132">
        <f>C16/RZiS!H3*365</f>
        <v>7.668934120471115</v>
      </c>
      <c r="D27" s="132">
        <f>C27</f>
        <v>7.668934120471115</v>
      </c>
      <c r="E27" s="132">
        <f t="shared" ref="E27:S27" si="26">D27</f>
        <v>7.668934120471115</v>
      </c>
      <c r="F27" s="132">
        <f t="shared" si="26"/>
        <v>7.668934120471115</v>
      </c>
      <c r="G27" s="132">
        <f t="shared" si="26"/>
        <v>7.668934120471115</v>
      </c>
      <c r="H27" s="132">
        <f t="shared" si="26"/>
        <v>7.668934120471115</v>
      </c>
      <c r="I27" s="132">
        <f t="shared" si="26"/>
        <v>7.668934120471115</v>
      </c>
      <c r="J27" s="132">
        <f t="shared" si="26"/>
        <v>7.668934120471115</v>
      </c>
      <c r="K27" s="132">
        <f t="shared" si="26"/>
        <v>7.668934120471115</v>
      </c>
      <c r="L27" s="132">
        <f t="shared" si="26"/>
        <v>7.668934120471115</v>
      </c>
      <c r="M27" s="132">
        <f t="shared" si="26"/>
        <v>7.668934120471115</v>
      </c>
      <c r="N27" s="132">
        <f t="shared" si="26"/>
        <v>7.668934120471115</v>
      </c>
      <c r="O27" s="132">
        <f t="shared" si="26"/>
        <v>7.668934120471115</v>
      </c>
      <c r="P27" s="132">
        <f t="shared" si="26"/>
        <v>7.668934120471115</v>
      </c>
      <c r="Q27" s="132">
        <f t="shared" si="26"/>
        <v>7.668934120471115</v>
      </c>
      <c r="R27" s="132">
        <f t="shared" si="26"/>
        <v>7.668934120471115</v>
      </c>
      <c r="S27" s="132">
        <f t="shared" si="26"/>
        <v>7.668934120471115</v>
      </c>
    </row>
    <row r="28" spans="2:19">
      <c r="B28" s="136" t="s">
        <v>1038</v>
      </c>
      <c r="C28" s="132">
        <f>C17/RZiS!H3*365</f>
        <v>44.530739837017514</v>
      </c>
      <c r="D28" s="132">
        <f>C28</f>
        <v>44.530739837017514</v>
      </c>
      <c r="E28" s="132">
        <f t="shared" ref="E28:S28" si="27">D28</f>
        <v>44.530739837017514</v>
      </c>
      <c r="F28" s="132">
        <f t="shared" si="27"/>
        <v>44.530739837017514</v>
      </c>
      <c r="G28" s="132">
        <f t="shared" si="27"/>
        <v>44.530739837017514</v>
      </c>
      <c r="H28" s="132">
        <f t="shared" si="27"/>
        <v>44.530739837017514</v>
      </c>
      <c r="I28" s="132">
        <f t="shared" si="27"/>
        <v>44.530739837017514</v>
      </c>
      <c r="J28" s="132">
        <f t="shared" si="27"/>
        <v>44.530739837017514</v>
      </c>
      <c r="K28" s="132">
        <f t="shared" si="27"/>
        <v>44.530739837017514</v>
      </c>
      <c r="L28" s="132">
        <f t="shared" si="27"/>
        <v>44.530739837017514</v>
      </c>
      <c r="M28" s="132">
        <f t="shared" si="27"/>
        <v>44.530739837017514</v>
      </c>
      <c r="N28" s="132">
        <f t="shared" si="27"/>
        <v>44.530739837017514</v>
      </c>
      <c r="O28" s="132">
        <f t="shared" si="27"/>
        <v>44.530739837017514</v>
      </c>
      <c r="P28" s="132">
        <f t="shared" si="27"/>
        <v>44.530739837017514</v>
      </c>
      <c r="Q28" s="132">
        <f t="shared" si="27"/>
        <v>44.530739837017514</v>
      </c>
      <c r="R28" s="132">
        <f t="shared" si="27"/>
        <v>44.530739837017514</v>
      </c>
      <c r="S28" s="132">
        <f t="shared" si="27"/>
        <v>44.530739837017514</v>
      </c>
    </row>
    <row r="29" spans="2:19">
      <c r="B29" s="136" t="s">
        <v>1039</v>
      </c>
      <c r="C29" s="132">
        <f>C18/RZiS!H3*365</f>
        <v>88.970432440367347</v>
      </c>
      <c r="D29" s="132">
        <v>30</v>
      </c>
      <c r="E29" s="132">
        <f t="shared" ref="E29:S29" si="28">D29</f>
        <v>30</v>
      </c>
      <c r="F29" s="132">
        <f t="shared" si="28"/>
        <v>30</v>
      </c>
      <c r="G29" s="132">
        <f t="shared" si="28"/>
        <v>30</v>
      </c>
      <c r="H29" s="132">
        <f t="shared" si="28"/>
        <v>30</v>
      </c>
      <c r="I29" s="132">
        <f t="shared" si="28"/>
        <v>30</v>
      </c>
      <c r="J29" s="132">
        <f t="shared" si="28"/>
        <v>30</v>
      </c>
      <c r="K29" s="132">
        <f t="shared" si="28"/>
        <v>30</v>
      </c>
      <c r="L29" s="132">
        <f t="shared" si="28"/>
        <v>30</v>
      </c>
      <c r="M29" s="132">
        <f t="shared" si="28"/>
        <v>30</v>
      </c>
      <c r="N29" s="132">
        <f t="shared" si="28"/>
        <v>30</v>
      </c>
      <c r="O29" s="132">
        <f t="shared" si="28"/>
        <v>30</v>
      </c>
      <c r="P29" s="132">
        <f t="shared" si="28"/>
        <v>30</v>
      </c>
      <c r="Q29" s="132">
        <f t="shared" si="28"/>
        <v>30</v>
      </c>
      <c r="R29" s="132">
        <f t="shared" si="28"/>
        <v>30</v>
      </c>
      <c r="S29" s="132">
        <f t="shared" si="28"/>
        <v>30</v>
      </c>
    </row>
  </sheetData>
  <mergeCells count="36">
    <mergeCell ref="S2:S3"/>
    <mergeCell ref="S14:S15"/>
    <mergeCell ref="P14:P15"/>
    <mergeCell ref="P2:P3"/>
    <mergeCell ref="Q2:Q3"/>
    <mergeCell ref="R2:R3"/>
    <mergeCell ref="Q14:Q15"/>
    <mergeCell ref="R14:R15"/>
    <mergeCell ref="J14:J15"/>
    <mergeCell ref="K14:K15"/>
    <mergeCell ref="L14:L15"/>
    <mergeCell ref="M14:M15"/>
    <mergeCell ref="N14:N15"/>
    <mergeCell ref="O14:O15"/>
    <mergeCell ref="N2:N3"/>
    <mergeCell ref="O2:O3"/>
    <mergeCell ref="B14:B15"/>
    <mergeCell ref="C14:C15"/>
    <mergeCell ref="D14:D15"/>
    <mergeCell ref="E14:E15"/>
    <mergeCell ref="F14:F15"/>
    <mergeCell ref="G14:G15"/>
    <mergeCell ref="H14:H15"/>
    <mergeCell ref="I14:I15"/>
    <mergeCell ref="H2:H3"/>
    <mergeCell ref="I2:I3"/>
    <mergeCell ref="J2:J3"/>
    <mergeCell ref="K2:K3"/>
    <mergeCell ref="L2:L3"/>
    <mergeCell ref="M2:M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3:R11"/>
  <sheetViews>
    <sheetView showGridLines="0" workbookViewId="0">
      <selection activeCell="E5" sqref="E5"/>
    </sheetView>
  </sheetViews>
  <sheetFormatPr defaultColWidth="9.140625" defaultRowHeight="12.75"/>
  <cols>
    <col min="1" max="1" width="6.85546875" style="140" customWidth="1"/>
    <col min="2" max="2" width="32.140625" style="140" bestFit="1" customWidth="1"/>
    <col min="3" max="3" width="17.85546875" style="140" bestFit="1" customWidth="1"/>
    <col min="4" max="18" width="15.42578125" style="140" bestFit="1" customWidth="1"/>
    <col min="19" max="16384" width="9.140625" style="140"/>
  </cols>
  <sheetData>
    <row r="3" spans="2:18">
      <c r="B3" s="171"/>
      <c r="C3" s="172" t="s">
        <v>323</v>
      </c>
      <c r="D3" s="172" t="s">
        <v>324</v>
      </c>
      <c r="E3" s="172" t="s">
        <v>361</v>
      </c>
      <c r="F3" s="172" t="s">
        <v>362</v>
      </c>
      <c r="G3" s="172" t="s">
        <v>363</v>
      </c>
      <c r="H3" s="172" t="s">
        <v>364</v>
      </c>
      <c r="I3" s="172" t="s">
        <v>365</v>
      </c>
      <c r="J3" s="172" t="s">
        <v>366</v>
      </c>
      <c r="K3" s="172" t="s">
        <v>367</v>
      </c>
      <c r="L3" s="172" t="s">
        <v>368</v>
      </c>
      <c r="M3" s="172" t="s">
        <v>369</v>
      </c>
      <c r="N3" s="172" t="s">
        <v>370</v>
      </c>
      <c r="O3" s="172" t="s">
        <v>371</v>
      </c>
      <c r="P3" s="172" t="s">
        <v>372</v>
      </c>
      <c r="Q3" s="172" t="s">
        <v>373</v>
      </c>
      <c r="R3" s="172" t="s">
        <v>1113</v>
      </c>
    </row>
    <row r="4" spans="2:18">
      <c r="B4" s="487" t="s">
        <v>4124</v>
      </c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173"/>
      <c r="O4" s="173"/>
      <c r="P4" s="173"/>
      <c r="Q4" s="173"/>
      <c r="R4" s="173"/>
    </row>
    <row r="5" spans="2:18">
      <c r="B5" s="174" t="s">
        <v>4088</v>
      </c>
      <c r="C5" s="175">
        <f>-'Projekt 1 - majątek'!P14</f>
        <v>-42000</v>
      </c>
      <c r="D5" s="175">
        <f>-'Projekt 1 - majątek'!U14</f>
        <v>-1512000</v>
      </c>
      <c r="E5" s="175">
        <f>-'Projekt 1 - majątek'!Z14</f>
        <v>-1550000</v>
      </c>
      <c r="F5" s="175">
        <v>0</v>
      </c>
      <c r="G5" s="175">
        <v>0</v>
      </c>
      <c r="H5" s="175">
        <v>0</v>
      </c>
      <c r="I5" s="175">
        <v>0</v>
      </c>
      <c r="J5" s="175">
        <v>0</v>
      </c>
      <c r="K5" s="175">
        <v>0</v>
      </c>
      <c r="L5" s="175">
        <v>0</v>
      </c>
      <c r="M5" s="175">
        <v>0</v>
      </c>
      <c r="N5" s="176">
        <v>0</v>
      </c>
      <c r="O5" s="176">
        <v>0</v>
      </c>
      <c r="P5" s="176">
        <v>0</v>
      </c>
      <c r="Q5" s="176">
        <v>0</v>
      </c>
      <c r="R5" s="176">
        <v>0</v>
      </c>
    </row>
    <row r="6" spans="2:18">
      <c r="B6" s="174" t="s">
        <v>4089</v>
      </c>
      <c r="C6" s="175">
        <f>'Przychody i koszty projekt 2-4'!E16</f>
        <v>0</v>
      </c>
      <c r="D6" s="175">
        <f>'Przychody i koszty projekt 2-4'!F16</f>
        <v>0</v>
      </c>
      <c r="E6" s="175">
        <f>'Przychody i koszty projekt 2-4'!G16</f>
        <v>0</v>
      </c>
      <c r="F6" s="175">
        <f>'Przychody i koszty projektu 1'!H16</f>
        <v>1725000</v>
      </c>
      <c r="G6" s="175">
        <f>'Przychody i koszty projektu 1'!I16</f>
        <v>2716875</v>
      </c>
      <c r="H6" s="175">
        <f>'Przychody i koszty projektu 1'!J16</f>
        <v>3423262.5</v>
      </c>
      <c r="I6" s="175">
        <f>'Przychody i koszty projektu 1'!K16</f>
        <v>3993806.25</v>
      </c>
      <c r="J6" s="175">
        <f>'Przychody i koszty projektu 1'!L16</f>
        <v>4193496.5625000005</v>
      </c>
      <c r="K6" s="175">
        <f>'Przychody i koszty projektu 1'!M16</f>
        <v>4403171.3906250009</v>
      </c>
      <c r="L6" s="175">
        <f>'Przychody i koszty projektu 1'!N16</f>
        <v>4623329.9601562517</v>
      </c>
      <c r="M6" s="175">
        <f>'Przychody i koszty projektu 1'!O16</f>
        <v>4854496.4581640642</v>
      </c>
      <c r="N6" s="175">
        <f>'Przychody i koszty projektu 1'!P16</f>
        <v>5097221.2810722673</v>
      </c>
      <c r="O6" s="175">
        <f>'Przychody i koszty projektu 1'!Q16</f>
        <v>5352082.345125881</v>
      </c>
      <c r="P6" s="175">
        <f>'Przychody i koszty projektu 1'!R16</f>
        <v>5619686.462382176</v>
      </c>
      <c r="Q6" s="175">
        <f>'Przychody i koszty projektu 1'!S16</f>
        <v>5900670.7855012845</v>
      </c>
      <c r="R6" s="175">
        <f>'Przychody i koszty projektu 1'!T16</f>
        <v>6195704.3247763487</v>
      </c>
    </row>
    <row r="7" spans="2:18">
      <c r="B7" s="174" t="s">
        <v>4090</v>
      </c>
      <c r="C7" s="175">
        <f>'Przychody i koszty projekt 2-4'!E4</f>
        <v>0</v>
      </c>
      <c r="D7" s="175">
        <f>'Przychody i koszty projekt 2-4'!F4</f>
        <v>0</v>
      </c>
      <c r="E7" s="175">
        <f>'Przychody i koszty projekt 2-4'!G4</f>
        <v>0</v>
      </c>
      <c r="F7" s="175">
        <f>'Przychody i koszty projektu 1'!H4</f>
        <v>1035249.0279999999</v>
      </c>
      <c r="G7" s="175">
        <f>'Przychody i koszty projektu 1'!I4</f>
        <v>1284811.340044</v>
      </c>
      <c r="H7" s="175">
        <f>'Przychody i koszty projektu 1'!J4</f>
        <v>1642329.627802212</v>
      </c>
      <c r="I7" s="175">
        <f>'Przychody i koszty projektu 1'!K4</f>
        <v>1845736.6901012231</v>
      </c>
      <c r="J7" s="175">
        <f>'Przychody i koszty projektu 1'!L4</f>
        <v>1979622.2358294567</v>
      </c>
      <c r="K7" s="175">
        <f>'Przychody i koszty projektu 1'!M4</f>
        <v>2123221.7001104099</v>
      </c>
      <c r="L7" s="175">
        <f>'Przychody i koszty projektu 1'!N4</f>
        <v>2277240.0181584512</v>
      </c>
      <c r="M7" s="175">
        <f>'Przychody i koszty projektu 1'!O4</f>
        <v>2442433.2927997983</v>
      </c>
      <c r="N7" s="175">
        <f>'Przychody i koszty projektu 1'!P4</f>
        <v>2619612.5092220679</v>
      </c>
      <c r="O7" s="175">
        <f>'Przychody i koszty projektu 1'!Q4</f>
        <v>2809647.5194665147</v>
      </c>
      <c r="P7" s="175">
        <f>'Przychody i koszty projektu 1'!R4</f>
        <v>3013471.3162537939</v>
      </c>
      <c r="Q7" s="175">
        <f>'Przychody i koszty projektu 1'!S4</f>
        <v>3232084.6171571789</v>
      </c>
      <c r="R7" s="175">
        <f>'Przychody i koszty projektu 1'!T4</f>
        <v>3466560.7816636916</v>
      </c>
    </row>
    <row r="8" spans="2:18">
      <c r="B8" s="174" t="s">
        <v>4091</v>
      </c>
      <c r="C8" s="175">
        <f>C5+C6-C7</f>
        <v>-42000</v>
      </c>
      <c r="D8" s="175">
        <f t="shared" ref="D8:R8" si="0">D5+D6-D7</f>
        <v>-1512000</v>
      </c>
      <c r="E8" s="175">
        <f t="shared" si="0"/>
        <v>-1550000</v>
      </c>
      <c r="F8" s="175">
        <f t="shared" si="0"/>
        <v>689750.97200000007</v>
      </c>
      <c r="G8" s="175">
        <f t="shared" si="0"/>
        <v>1432063.659956</v>
      </c>
      <c r="H8" s="175">
        <f t="shared" si="0"/>
        <v>1780932.872197788</v>
      </c>
      <c r="I8" s="175">
        <f t="shared" si="0"/>
        <v>2148069.5598987769</v>
      </c>
      <c r="J8" s="175">
        <f t="shared" si="0"/>
        <v>2213874.3266705438</v>
      </c>
      <c r="K8" s="175">
        <f t="shared" si="0"/>
        <v>2279949.6905145911</v>
      </c>
      <c r="L8" s="175">
        <f t="shared" si="0"/>
        <v>2346089.9419978005</v>
      </c>
      <c r="M8" s="175">
        <f t="shared" si="0"/>
        <v>2412063.1653642659</v>
      </c>
      <c r="N8" s="175">
        <f t="shared" si="0"/>
        <v>2477608.7718501994</v>
      </c>
      <c r="O8" s="175">
        <f t="shared" si="0"/>
        <v>2542434.8256593663</v>
      </c>
      <c r="P8" s="175">
        <f t="shared" si="0"/>
        <v>2606215.1461283821</v>
      </c>
      <c r="Q8" s="175">
        <f t="shared" si="0"/>
        <v>2668586.1683441056</v>
      </c>
      <c r="R8" s="175">
        <f t="shared" si="0"/>
        <v>2729143.543112657</v>
      </c>
    </row>
    <row r="9" spans="2:18">
      <c r="B9" s="174" t="s">
        <v>4092</v>
      </c>
      <c r="C9" s="177">
        <v>0.05</v>
      </c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</row>
    <row r="10" spans="2:18">
      <c r="B10" s="399" t="s">
        <v>4093</v>
      </c>
      <c r="C10" s="488">
        <f>IRR($C$2:R8)</f>
        <v>0.13474491220027529</v>
      </c>
      <c r="D10" s="489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489"/>
      <c r="R10" s="489"/>
    </row>
    <row r="11" spans="2:18">
      <c r="B11" s="399" t="s">
        <v>4094</v>
      </c>
      <c r="C11" s="490">
        <f>NPV(C9,F8:R8)+C8+D8+E8</f>
        <v>16508367.083954606</v>
      </c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491"/>
      <c r="Q11" s="491"/>
      <c r="R11" s="491"/>
    </row>
  </sheetData>
  <mergeCells count="3">
    <mergeCell ref="B4:M4"/>
    <mergeCell ref="C10:R10"/>
    <mergeCell ref="C11:R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3:R11"/>
  <sheetViews>
    <sheetView showGridLines="0" workbookViewId="0">
      <selection activeCell="C11" sqref="C11:R11"/>
    </sheetView>
  </sheetViews>
  <sheetFormatPr defaultColWidth="9.140625" defaultRowHeight="12.75"/>
  <cols>
    <col min="1" max="1" width="6.85546875" style="140" customWidth="1"/>
    <col min="2" max="2" width="32.140625" style="140" bestFit="1" customWidth="1"/>
    <col min="3" max="3" width="14.28515625" style="140" bestFit="1" customWidth="1"/>
    <col min="4" max="18" width="15.42578125" style="140" bestFit="1" customWidth="1"/>
    <col min="19" max="16384" width="9.140625" style="140"/>
  </cols>
  <sheetData>
    <row r="3" spans="2:18">
      <c r="B3" s="171"/>
      <c r="C3" s="172" t="s">
        <v>323</v>
      </c>
      <c r="D3" s="172" t="s">
        <v>324</v>
      </c>
      <c r="E3" s="172" t="s">
        <v>361</v>
      </c>
      <c r="F3" s="172" t="s">
        <v>362</v>
      </c>
      <c r="G3" s="172" t="s">
        <v>363</v>
      </c>
      <c r="H3" s="172" t="s">
        <v>364</v>
      </c>
      <c r="I3" s="172" t="s">
        <v>365</v>
      </c>
      <c r="J3" s="172" t="s">
        <v>366</v>
      </c>
      <c r="K3" s="172" t="s">
        <v>367</v>
      </c>
      <c r="L3" s="172" t="s">
        <v>368</v>
      </c>
      <c r="M3" s="172" t="s">
        <v>369</v>
      </c>
      <c r="N3" s="172" t="s">
        <v>370</v>
      </c>
      <c r="O3" s="172" t="s">
        <v>371</v>
      </c>
      <c r="P3" s="172" t="s">
        <v>372</v>
      </c>
      <c r="Q3" s="172" t="s">
        <v>373</v>
      </c>
      <c r="R3" s="172" t="s">
        <v>1113</v>
      </c>
    </row>
    <row r="4" spans="2:18">
      <c r="B4" s="487" t="s">
        <v>4124</v>
      </c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173"/>
      <c r="O4" s="173"/>
      <c r="P4" s="173"/>
      <c r="Q4" s="173"/>
      <c r="R4" s="173"/>
    </row>
    <row r="5" spans="2:18">
      <c r="B5" s="174" t="s">
        <v>4088</v>
      </c>
      <c r="C5" s="175">
        <f>-'Projekt 2-4 - majątek'!E18*1000000</f>
        <v>-776000.00000000012</v>
      </c>
      <c r="D5" s="175">
        <f>-'Projekt 2-4 - majątek'!F18*1000000</f>
        <v>-5100000</v>
      </c>
      <c r="E5" s="175">
        <f>-'Projekt 2-4 - majątek'!G18*1000000</f>
        <v>-8900000</v>
      </c>
      <c r="F5" s="175">
        <v>0</v>
      </c>
      <c r="G5" s="175">
        <v>0</v>
      </c>
      <c r="H5" s="175">
        <v>0</v>
      </c>
      <c r="I5" s="175">
        <v>0</v>
      </c>
      <c r="J5" s="175">
        <v>0</v>
      </c>
      <c r="K5" s="175">
        <v>0</v>
      </c>
      <c r="L5" s="175">
        <v>0</v>
      </c>
      <c r="M5" s="175">
        <v>0</v>
      </c>
      <c r="N5" s="176">
        <v>0</v>
      </c>
      <c r="O5" s="176">
        <v>0</v>
      </c>
      <c r="P5" s="176">
        <v>0</v>
      </c>
      <c r="Q5" s="176">
        <v>0</v>
      </c>
      <c r="R5" s="176">
        <v>0</v>
      </c>
    </row>
    <row r="6" spans="2:18">
      <c r="B6" s="174" t="s">
        <v>4089</v>
      </c>
      <c r="C6" s="175">
        <f>'Przychody i koszty projekt 2-4'!E16</f>
        <v>0</v>
      </c>
      <c r="D6" s="175">
        <f>'Przychody i koszty projekt 2-4'!F16</f>
        <v>0</v>
      </c>
      <c r="E6" s="175">
        <f>'Przychody i koszty projekt 2-4'!G16</f>
        <v>0</v>
      </c>
      <c r="F6" s="175">
        <f>'Przychody i koszty projekt 2-4'!H16</f>
        <v>4907500</v>
      </c>
      <c r="G6" s="175">
        <f>'Przychody i koszty projekt 2-4'!I16</f>
        <v>7800187.5</v>
      </c>
      <c r="H6" s="175">
        <f>'Przychody i koszty projekt 2-4'!J16</f>
        <v>9828236.25</v>
      </c>
      <c r="I6" s="175">
        <f>'Przychody i koszty projekt 2-4'!K16</f>
        <v>11466275.625</v>
      </c>
      <c r="J6" s="175">
        <f>'Przychody i koszty projekt 2-4'!L16</f>
        <v>12039589.40625</v>
      </c>
      <c r="K6" s="175">
        <f>'Przychody i koszty projekt 2-4'!M16</f>
        <v>12641568.876562502</v>
      </c>
      <c r="L6" s="175">
        <f>'Przychody i koszty projekt 2-4'!N16</f>
        <v>13273647.320390625</v>
      </c>
      <c r="M6" s="175">
        <f>'Przychody i koszty projekt 2-4'!O16</f>
        <v>13937329.686410157</v>
      </c>
      <c r="N6" s="175">
        <f>'Przychody i koszty projekt 2-4'!P16</f>
        <v>14634196.170730665</v>
      </c>
      <c r="O6" s="175">
        <f>'Przychody i koszty projekt 2-4'!Q16</f>
        <v>15365905.979267204</v>
      </c>
      <c r="P6" s="175">
        <f>'Przychody i koszty projekt 2-4'!R16</f>
        <v>16134201.278230561</v>
      </c>
      <c r="Q6" s="175">
        <f>'Przychody i koszty projekt 2-4'!S16</f>
        <v>16940911.34214209</v>
      </c>
      <c r="R6" s="175">
        <f>'Przychody i koszty projekt 2-4'!T16</f>
        <v>17787956.909249194</v>
      </c>
    </row>
    <row r="7" spans="2:18">
      <c r="B7" s="174" t="s">
        <v>4090</v>
      </c>
      <c r="C7" s="175">
        <f>'Przychody i koszty projekt 2-4'!E4</f>
        <v>0</v>
      </c>
      <c r="D7" s="175">
        <f>'Przychody i koszty projekt 2-4'!F4</f>
        <v>0</v>
      </c>
      <c r="E7" s="175">
        <f>'Przychody i koszty projekt 2-4'!G4</f>
        <v>0</v>
      </c>
      <c r="F7" s="175">
        <f>'Przychody i koszty projekt 2-4'!H4</f>
        <v>5019511.2709999997</v>
      </c>
      <c r="G7" s="175">
        <f>'Przychody i koszty projekt 2-4'!I4</f>
        <v>7101831.5722830016</v>
      </c>
      <c r="H7" s="175">
        <f>'Przychody i koszty projekt 2-4'!J4</f>
        <v>9316583.2176921554</v>
      </c>
      <c r="I7" s="175">
        <f>'Przychody i koszty projekt 2-4'!K4</f>
        <v>10802749.158235362</v>
      </c>
      <c r="J7" s="175">
        <f>'Przychody i koszty projekt 2-4'!L4</f>
        <v>11589899.446101306</v>
      </c>
      <c r="K7" s="175">
        <f>'Przychody i koszty projekt 2-4'!M4</f>
        <v>12434410.176933497</v>
      </c>
      <c r="L7" s="175">
        <f>'Przychody i koszty projekt 2-4'!N4</f>
        <v>13340461.556105115</v>
      </c>
      <c r="M7" s="175">
        <f>'Przychody i koszty projekt 2-4'!O4</f>
        <v>14312538.446494145</v>
      </c>
      <c r="N7" s="175">
        <f>'Przychody i koszty projekt 2-4'!P4</f>
        <v>15355452.573657103</v>
      </c>
      <c r="O7" s="175">
        <f>'Przychody i koszty projekt 2-4'!Q4</f>
        <v>16474366.349542784</v>
      </c>
      <c r="P7" s="175">
        <f>'Przychody i koszty projekt 2-4'!R4</f>
        <v>17674818.43272873</v>
      </c>
      <c r="Q7" s="175">
        <f>'Przychody i koszty projekt 2-4'!S4</f>
        <v>18962751.151764095</v>
      </c>
      <c r="R7" s="175">
        <f>'Przychody i koszty projekt 2-4'!T4</f>
        <v>20344539.927430287</v>
      </c>
    </row>
    <row r="8" spans="2:18">
      <c r="B8" s="174" t="s">
        <v>4091</v>
      </c>
      <c r="C8" s="175">
        <f>C5+C6-C7</f>
        <v>-776000.00000000012</v>
      </c>
      <c r="D8" s="175">
        <f t="shared" ref="D8:R8" si="0">D5+D6-D7</f>
        <v>-5100000</v>
      </c>
      <c r="E8" s="175">
        <f t="shared" si="0"/>
        <v>-8900000</v>
      </c>
      <c r="F8" s="175">
        <f t="shared" si="0"/>
        <v>-112011.27099999972</v>
      </c>
      <c r="G8" s="175">
        <f t="shared" si="0"/>
        <v>698355.92771699838</v>
      </c>
      <c r="H8" s="175">
        <f t="shared" si="0"/>
        <v>511653.03230784461</v>
      </c>
      <c r="I8" s="175">
        <f t="shared" si="0"/>
        <v>663526.4667646382</v>
      </c>
      <c r="J8" s="175">
        <f t="shared" si="0"/>
        <v>449689.96014869399</v>
      </c>
      <c r="K8" s="175">
        <f t="shared" si="0"/>
        <v>207158.69962900504</v>
      </c>
      <c r="L8" s="175">
        <f t="shared" si="0"/>
        <v>-66814.235714489594</v>
      </c>
      <c r="M8" s="175">
        <f t="shared" si="0"/>
        <v>-375208.76008398831</v>
      </c>
      <c r="N8" s="175">
        <f t="shared" si="0"/>
        <v>-721256.40292643756</v>
      </c>
      <c r="O8" s="175">
        <f t="shared" si="0"/>
        <v>-1108460.3702755794</v>
      </c>
      <c r="P8" s="175">
        <f t="shared" si="0"/>
        <v>-1540617.1544981692</v>
      </c>
      <c r="Q8" s="175">
        <f t="shared" si="0"/>
        <v>-2021839.8096220046</v>
      </c>
      <c r="R8" s="175">
        <f t="shared" si="0"/>
        <v>-2556583.018181093</v>
      </c>
    </row>
    <row r="9" spans="2:18">
      <c r="B9" s="174" t="s">
        <v>4092</v>
      </c>
      <c r="C9" s="177">
        <v>0.05</v>
      </c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</row>
    <row r="10" spans="2:18">
      <c r="B10" s="179" t="s">
        <v>4093</v>
      </c>
      <c r="C10" s="488">
        <f>IRR($C$2:R8)</f>
        <v>0.11465491551841978</v>
      </c>
      <c r="D10" s="489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489"/>
      <c r="R10" s="489"/>
    </row>
    <row r="11" spans="2:18">
      <c r="B11" s="179" t="s">
        <v>4094</v>
      </c>
      <c r="C11" s="490">
        <f>NPV(C9,F8:R8)+C8+D8+E8</f>
        <v>-17583729.202962719</v>
      </c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491"/>
      <c r="Q11" s="491"/>
      <c r="R11" s="491"/>
    </row>
  </sheetData>
  <mergeCells count="3">
    <mergeCell ref="B4:M4"/>
    <mergeCell ref="C10:R10"/>
    <mergeCell ref="C11:R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X114"/>
  <sheetViews>
    <sheetView showGridLines="0" topLeftCell="B1" zoomScaleNormal="100" workbookViewId="0">
      <selection activeCell="E3" sqref="E3:T29"/>
    </sheetView>
  </sheetViews>
  <sheetFormatPr defaultColWidth="8.85546875" defaultRowHeight="12.75"/>
  <cols>
    <col min="1" max="1" width="3.28515625" style="450" bestFit="1" customWidth="1"/>
    <col min="2" max="2" width="29.140625" style="450" customWidth="1"/>
    <col min="3" max="3" width="27" style="450" customWidth="1"/>
    <col min="4" max="4" width="8.7109375" style="450" customWidth="1"/>
    <col min="5" max="20" width="11" style="450" customWidth="1"/>
    <col min="21" max="21" width="28.28515625" style="450" customWidth="1"/>
    <col min="22" max="22" width="20" style="450" customWidth="1"/>
    <col min="23" max="24" width="9.42578125" style="450" customWidth="1"/>
    <col min="25" max="16384" width="8.85546875" style="450"/>
  </cols>
  <sheetData>
    <row r="1" spans="1:24" ht="13.7" customHeight="1">
      <c r="A1" s="454" t="s">
        <v>0</v>
      </c>
      <c r="B1" s="510" t="s">
        <v>322</v>
      </c>
      <c r="C1" s="510"/>
      <c r="D1" s="454" t="s">
        <v>2</v>
      </c>
      <c r="E1" s="454" t="s">
        <v>323</v>
      </c>
      <c r="F1" s="454" t="s">
        <v>324</v>
      </c>
      <c r="G1" s="454" t="s">
        <v>361</v>
      </c>
      <c r="H1" s="454" t="s">
        <v>362</v>
      </c>
      <c r="I1" s="454" t="s">
        <v>363</v>
      </c>
      <c r="J1" s="454" t="s">
        <v>364</v>
      </c>
      <c r="K1" s="454" t="s">
        <v>365</v>
      </c>
      <c r="L1" s="454" t="s">
        <v>366</v>
      </c>
      <c r="M1" s="454" t="s">
        <v>367</v>
      </c>
      <c r="N1" s="454" t="s">
        <v>368</v>
      </c>
      <c r="O1" s="454" t="s">
        <v>369</v>
      </c>
      <c r="P1" s="454" t="s">
        <v>370</v>
      </c>
      <c r="Q1" s="454" t="s">
        <v>371</v>
      </c>
      <c r="R1" s="454" t="s">
        <v>372</v>
      </c>
      <c r="S1" s="454" t="s">
        <v>373</v>
      </c>
      <c r="T1" s="454" t="s">
        <v>1113</v>
      </c>
    </row>
    <row r="2" spans="1:24" ht="13.7" customHeight="1">
      <c r="A2" s="455" t="s">
        <v>7</v>
      </c>
      <c r="B2" s="511" t="s">
        <v>8</v>
      </c>
      <c r="C2" s="511"/>
      <c r="D2" s="455" t="s">
        <v>9</v>
      </c>
      <c r="E2" s="455" t="s">
        <v>10</v>
      </c>
      <c r="F2" s="455" t="s">
        <v>11</v>
      </c>
      <c r="G2" s="455" t="s">
        <v>12</v>
      </c>
      <c r="H2" s="455" t="s">
        <v>13</v>
      </c>
      <c r="I2" s="455" t="s">
        <v>374</v>
      </c>
      <c r="J2" s="455" t="s">
        <v>375</v>
      </c>
      <c r="K2" s="455" t="s">
        <v>376</v>
      </c>
      <c r="L2" s="455" t="s">
        <v>377</v>
      </c>
      <c r="M2" s="455" t="s">
        <v>378</v>
      </c>
      <c r="N2" s="455" t="s">
        <v>379</v>
      </c>
      <c r="O2" s="455" t="s">
        <v>380</v>
      </c>
      <c r="P2" s="455" t="s">
        <v>381</v>
      </c>
      <c r="Q2" s="455" t="s">
        <v>382</v>
      </c>
      <c r="R2" s="455" t="s">
        <v>383</v>
      </c>
      <c r="S2" s="455" t="s">
        <v>384</v>
      </c>
      <c r="T2" s="455" t="s">
        <v>385</v>
      </c>
    </row>
    <row r="3" spans="1:24" ht="13.7" customHeight="1">
      <c r="A3" s="97" t="s">
        <v>325</v>
      </c>
      <c r="B3" s="505" t="s">
        <v>326</v>
      </c>
      <c r="C3" s="505"/>
      <c r="D3" s="449" t="s">
        <v>16</v>
      </c>
      <c r="E3" s="145">
        <f>SUM('Amortyzacja obecna i projektowa'!X262:X266)</f>
        <v>0</v>
      </c>
      <c r="F3" s="145">
        <f>SUM('Amortyzacja obecna i projektowa'!Y262:Y266)</f>
        <v>0</v>
      </c>
      <c r="G3" s="145">
        <f>SUM('Amortyzacja obecna i projektowa'!Z262:Z266)</f>
        <v>0</v>
      </c>
      <c r="H3" s="149">
        <f>'Amortyzacja obecna i projektowa'!AA268</f>
        <v>478400.00000000012</v>
      </c>
      <c r="I3" s="149">
        <f>'Amortyzacja obecna i projektowa'!AB268</f>
        <v>478400.00000000012</v>
      </c>
      <c r="J3" s="149">
        <f>'Amortyzacja obecna i projektowa'!AC268</f>
        <v>478400.00000000012</v>
      </c>
      <c r="K3" s="149">
        <f>'Amortyzacja obecna i projektowa'!AD268</f>
        <v>478400.00000000012</v>
      </c>
      <c r="L3" s="149">
        <f>'Amortyzacja obecna i projektowa'!AE268</f>
        <v>478400.00000000012</v>
      </c>
      <c r="M3" s="149">
        <f>SUM('Amortyzacja obecna i projektowa'!AF267:AF269)</f>
        <v>0</v>
      </c>
      <c r="N3" s="149">
        <f>SUM('Amortyzacja obecna i projektowa'!AG267:AG269)</f>
        <v>0</v>
      </c>
      <c r="O3" s="149">
        <f>SUM('Amortyzacja obecna i projektowa'!AH267:AH269)</f>
        <v>0</v>
      </c>
      <c r="P3" s="149">
        <f>SUM('Amortyzacja obecna i projektowa'!AI267:AI269)</f>
        <v>0</v>
      </c>
      <c r="Q3" s="149">
        <f>SUM('Amortyzacja obecna i projektowa'!AJ267:AJ269)</f>
        <v>0</v>
      </c>
      <c r="R3" s="149">
        <f>SUM('Amortyzacja obecna i projektowa'!AK267:AK269)</f>
        <v>0</v>
      </c>
      <c r="S3" s="149">
        <f>SUM('Amortyzacja obecna i projektowa'!AL267:AL269)</f>
        <v>0</v>
      </c>
      <c r="T3" s="149">
        <f>SUM('Amortyzacja obecna i projektowa'!AM267:AM269)</f>
        <v>0</v>
      </c>
    </row>
    <row r="4" spans="1:24" ht="13.7" customHeight="1">
      <c r="A4" s="97" t="s">
        <v>327</v>
      </c>
      <c r="B4" s="505" t="s">
        <v>328</v>
      </c>
      <c r="C4" s="505"/>
      <c r="D4" s="449" t="s">
        <v>16</v>
      </c>
      <c r="E4" s="145">
        <f>SUM(E5:E10)</f>
        <v>0</v>
      </c>
      <c r="F4" s="145">
        <f t="shared" ref="F4:T4" si="0">SUM(F5:F10)</f>
        <v>0</v>
      </c>
      <c r="G4" s="145">
        <f t="shared" si="0"/>
        <v>0</v>
      </c>
      <c r="H4" s="149">
        <f>SUM(H5:H10)</f>
        <v>167316.75700000022</v>
      </c>
      <c r="I4" s="149">
        <f t="shared" si="0"/>
        <v>-22994.913560999557</v>
      </c>
      <c r="J4" s="149">
        <f t="shared" si="0"/>
        <v>-16586.903587147128</v>
      </c>
      <c r="K4" s="149">
        <f t="shared" si="0"/>
        <v>-92983.820704200305</v>
      </c>
      <c r="L4" s="149">
        <f t="shared" si="0"/>
        <v>-86934.975346052088</v>
      </c>
      <c r="M4" s="149">
        <f t="shared" si="0"/>
        <v>-80123.652567033656</v>
      </c>
      <c r="N4" s="149">
        <f t="shared" si="0"/>
        <v>-72487.324375045486</v>
      </c>
      <c r="O4" s="149">
        <f t="shared" si="0"/>
        <v>-63958.838645082898</v>
      </c>
      <c r="P4" s="149">
        <f t="shared" si="0"/>
        <v>-54466.088756245561</v>
      </c>
      <c r="Q4" s="149">
        <f t="shared" si="0"/>
        <v>-43931.659923152067</v>
      </c>
      <c r="R4" s="149">
        <f t="shared" si="0"/>
        <v>-32272.450585497543</v>
      </c>
      <c r="S4" s="149">
        <f t="shared" si="0"/>
        <v>-19399.267104838043</v>
      </c>
      <c r="T4" s="149">
        <f t="shared" si="0"/>
        <v>-5216.389894948341</v>
      </c>
    </row>
    <row r="5" spans="1:24" ht="13.7" customHeight="1">
      <c r="A5" s="97" t="s">
        <v>285</v>
      </c>
      <c r="B5" s="507" t="s">
        <v>329</v>
      </c>
      <c r="C5" s="507"/>
      <c r="D5" s="449" t="s">
        <v>16</v>
      </c>
      <c r="E5" s="149">
        <v>0</v>
      </c>
      <c r="F5" s="149">
        <v>0</v>
      </c>
      <c r="G5" s="149">
        <v>0</v>
      </c>
      <c r="H5" s="149">
        <v>0</v>
      </c>
      <c r="I5" s="149">
        <v>0</v>
      </c>
      <c r="J5" s="149">
        <v>0</v>
      </c>
      <c r="K5" s="149">
        <v>0</v>
      </c>
      <c r="L5" s="149">
        <v>0</v>
      </c>
      <c r="M5" s="149">
        <v>0</v>
      </c>
      <c r="N5" s="149">
        <v>0</v>
      </c>
      <c r="O5" s="149">
        <v>0</v>
      </c>
      <c r="P5" s="149">
        <v>0</v>
      </c>
      <c r="Q5" s="149">
        <v>0</v>
      </c>
      <c r="R5" s="149">
        <v>0</v>
      </c>
      <c r="S5" s="149">
        <v>0</v>
      </c>
      <c r="T5" s="149">
        <v>0</v>
      </c>
      <c r="V5" s="422" t="s">
        <v>4187</v>
      </c>
      <c r="X5" s="411">
        <v>7.0000000000000007E-2</v>
      </c>
    </row>
    <row r="6" spans="1:24" ht="13.7" customHeight="1">
      <c r="A6" s="97" t="s">
        <v>286</v>
      </c>
      <c r="B6" s="507" t="s">
        <v>330</v>
      </c>
      <c r="C6" s="507"/>
      <c r="D6" s="449" t="s">
        <v>16</v>
      </c>
      <c r="E6" s="149">
        <v>0</v>
      </c>
      <c r="F6" s="149">
        <v>0</v>
      </c>
      <c r="G6" s="149">
        <v>0</v>
      </c>
      <c r="H6" s="149">
        <f>H44+H45</f>
        <v>287327.75699999998</v>
      </c>
      <c r="I6" s="149">
        <f t="shared" ref="I6:T6" si="1">I44+I45</f>
        <v>295085.606439</v>
      </c>
      <c r="J6" s="149">
        <f t="shared" si="1"/>
        <v>303052.917812853</v>
      </c>
      <c r="K6" s="149">
        <f t="shared" si="1"/>
        <v>311235.3465938</v>
      </c>
      <c r="L6" s="149">
        <f t="shared" si="1"/>
        <v>319638.70095183258</v>
      </c>
      <c r="M6" s="149">
        <f t="shared" si="1"/>
        <v>328268.94587753201</v>
      </c>
      <c r="N6" s="149">
        <f t="shared" si="1"/>
        <v>337132.20741622534</v>
      </c>
      <c r="O6" s="149">
        <f t="shared" si="1"/>
        <v>346234.77701646334</v>
      </c>
      <c r="P6" s="149">
        <f t="shared" si="1"/>
        <v>355583.11599590781</v>
      </c>
      <c r="Q6" s="149">
        <f t="shared" si="1"/>
        <v>365183.86012779735</v>
      </c>
      <c r="R6" s="149">
        <f t="shared" si="1"/>
        <v>375043.82435124787</v>
      </c>
      <c r="S6" s="149">
        <f t="shared" si="1"/>
        <v>385170.00760873151</v>
      </c>
      <c r="T6" s="149">
        <f t="shared" si="1"/>
        <v>395569.59781416721</v>
      </c>
      <c r="V6" s="386"/>
      <c r="W6" s="161"/>
    </row>
    <row r="7" spans="1:24" ht="13.7" customHeight="1">
      <c r="A7" s="97" t="s">
        <v>288</v>
      </c>
      <c r="B7" s="507" t="s">
        <v>331</v>
      </c>
      <c r="C7" s="507"/>
      <c r="D7" s="449" t="s">
        <v>16</v>
      </c>
      <c r="E7" s="149">
        <v>0</v>
      </c>
      <c r="F7" s="149">
        <v>0</v>
      </c>
      <c r="G7" s="149">
        <v>0</v>
      </c>
      <c r="H7" s="149">
        <f>H47+H48+H114</f>
        <v>1810000</v>
      </c>
      <c r="I7" s="149">
        <f t="shared" ref="I7:T7" si="2">I47+I48+I114</f>
        <v>2731552.5</v>
      </c>
      <c r="J7" s="149">
        <f t="shared" si="2"/>
        <v>3466963.3009999995</v>
      </c>
      <c r="K7" s="149">
        <f t="shared" si="2"/>
        <v>3929944.7890299987</v>
      </c>
      <c r="L7" s="149">
        <f t="shared" si="2"/>
        <v>4036053.2983338083</v>
      </c>
      <c r="M7" s="149">
        <f t="shared" si="2"/>
        <v>4145026.7373888213</v>
      </c>
      <c r="N7" s="149">
        <f t="shared" si="2"/>
        <v>4256942.4592983192</v>
      </c>
      <c r="O7" s="149">
        <f t="shared" si="2"/>
        <v>4371879.9056993732</v>
      </c>
      <c r="P7" s="149">
        <f t="shared" si="2"/>
        <v>4489920.6631532554</v>
      </c>
      <c r="Q7" s="149">
        <f t="shared" si="2"/>
        <v>4611148.5210583936</v>
      </c>
      <c r="R7" s="149">
        <f t="shared" si="2"/>
        <v>4735649.5311269695</v>
      </c>
      <c r="S7" s="149">
        <f t="shared" si="2"/>
        <v>4863512.0684673972</v>
      </c>
      <c r="T7" s="149">
        <f t="shared" si="2"/>
        <v>4994826.8943160158</v>
      </c>
      <c r="V7" s="422" t="s">
        <v>4188</v>
      </c>
      <c r="X7" s="411">
        <v>0.05</v>
      </c>
    </row>
    <row r="8" spans="1:24" ht="13.7" customHeight="1">
      <c r="A8" s="97" t="s">
        <v>290</v>
      </c>
      <c r="B8" s="507" t="s">
        <v>332</v>
      </c>
      <c r="C8" s="507"/>
      <c r="D8" s="449" t="s">
        <v>16</v>
      </c>
      <c r="E8" s="149">
        <v>0</v>
      </c>
      <c r="F8" s="149">
        <v>0</v>
      </c>
      <c r="G8" s="149">
        <v>0</v>
      </c>
      <c r="H8" s="149">
        <f>12*(H36+H42)</f>
        <v>162489</v>
      </c>
      <c r="I8" s="149">
        <f t="shared" ref="I8:T8" si="3">12*(I36+I42)</f>
        <v>173863.23</v>
      </c>
      <c r="J8" s="149">
        <f t="shared" si="3"/>
        <v>186033.65610000002</v>
      </c>
      <c r="K8" s="149">
        <f t="shared" si="3"/>
        <v>199056.01202699999</v>
      </c>
      <c r="L8" s="149">
        <f t="shared" si="3"/>
        <v>212989.93286889006</v>
      </c>
      <c r="M8" s="149">
        <f t="shared" si="3"/>
        <v>227899.22816971235</v>
      </c>
      <c r="N8" s="149">
        <f t="shared" si="3"/>
        <v>243852.17414159223</v>
      </c>
      <c r="O8" s="149">
        <f t="shared" si="3"/>
        <v>260921.82633150369</v>
      </c>
      <c r="P8" s="149">
        <f t="shared" si="3"/>
        <v>279186.35417470901</v>
      </c>
      <c r="Q8" s="149">
        <f t="shared" si="3"/>
        <v>298729.39896693866</v>
      </c>
      <c r="R8" s="149">
        <f t="shared" si="3"/>
        <v>319640.45689462434</v>
      </c>
      <c r="S8" s="149">
        <f t="shared" si="3"/>
        <v>342015.28887724807</v>
      </c>
      <c r="T8" s="149">
        <f t="shared" si="3"/>
        <v>365956.35909865546</v>
      </c>
      <c r="V8" s="386"/>
    </row>
    <row r="9" spans="1:24" ht="13.7" customHeight="1">
      <c r="A9" s="97" t="s">
        <v>292</v>
      </c>
      <c r="B9" s="507" t="s">
        <v>27</v>
      </c>
      <c r="C9" s="507"/>
      <c r="D9" s="449" t="s">
        <v>16</v>
      </c>
      <c r="E9" s="149">
        <v>0</v>
      </c>
      <c r="F9" s="149">
        <v>0</v>
      </c>
      <c r="G9" s="149">
        <v>0</v>
      </c>
      <c r="H9" s="149">
        <f>-H112</f>
        <v>-2092500</v>
      </c>
      <c r="I9" s="149">
        <f t="shared" ref="I9:T9" si="4">-I112</f>
        <v>-3223496.2499999995</v>
      </c>
      <c r="J9" s="149">
        <f t="shared" si="4"/>
        <v>-3972636.7784999995</v>
      </c>
      <c r="K9" s="149">
        <f t="shared" si="4"/>
        <v>-4533219.9683549991</v>
      </c>
      <c r="L9" s="149">
        <f t="shared" si="4"/>
        <v>-4655616.9075005837</v>
      </c>
      <c r="M9" s="149">
        <f t="shared" si="4"/>
        <v>-4781318.5640030988</v>
      </c>
      <c r="N9" s="149">
        <f t="shared" si="4"/>
        <v>-4910414.1652311822</v>
      </c>
      <c r="O9" s="149">
        <f t="shared" si="4"/>
        <v>-5042995.3476924235</v>
      </c>
      <c r="P9" s="149">
        <f t="shared" si="4"/>
        <v>-5179156.222080118</v>
      </c>
      <c r="Q9" s="149">
        <f t="shared" si="4"/>
        <v>-5318993.4400762813</v>
      </c>
      <c r="R9" s="149">
        <f t="shared" si="4"/>
        <v>-5462606.2629583394</v>
      </c>
      <c r="S9" s="149">
        <f t="shared" si="4"/>
        <v>-5610096.6320582144</v>
      </c>
      <c r="T9" s="149">
        <f t="shared" si="4"/>
        <v>-5761569.2411237862</v>
      </c>
      <c r="V9" s="422" t="s">
        <v>4189</v>
      </c>
    </row>
    <row r="10" spans="1:24" ht="13.7" customHeight="1" thickBot="1">
      <c r="A10" s="97" t="s">
        <v>294</v>
      </c>
      <c r="B10" s="507" t="s">
        <v>333</v>
      </c>
      <c r="C10" s="507"/>
      <c r="D10" s="449" t="s">
        <v>16</v>
      </c>
      <c r="E10" s="149">
        <v>0</v>
      </c>
      <c r="F10" s="149">
        <v>0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  <c r="L10" s="149">
        <v>0</v>
      </c>
      <c r="M10" s="149">
        <v>0</v>
      </c>
      <c r="N10" s="149">
        <v>0</v>
      </c>
      <c r="O10" s="149">
        <v>0</v>
      </c>
      <c r="P10" s="149">
        <v>0</v>
      </c>
      <c r="Q10" s="149">
        <v>0</v>
      </c>
      <c r="R10" s="149">
        <v>0</v>
      </c>
      <c r="S10" s="149">
        <v>0</v>
      </c>
      <c r="T10" s="149">
        <v>0</v>
      </c>
      <c r="V10" s="422"/>
    </row>
    <row r="11" spans="1:24" ht="13.7" customHeight="1">
      <c r="A11" s="97" t="s">
        <v>334</v>
      </c>
      <c r="B11" s="507" t="s">
        <v>48</v>
      </c>
      <c r="C11" s="507"/>
      <c r="D11" s="449" t="s">
        <v>16</v>
      </c>
      <c r="E11" s="145">
        <v>0</v>
      </c>
      <c r="F11" s="149">
        <f>'Pożyczka-projekt wnioskowany'!I27</f>
        <v>8664.7555555555518</v>
      </c>
      <c r="G11" s="149">
        <f>'Pożyczka-projekt wnioskowany'!I39</f>
        <v>30232.222222222208</v>
      </c>
      <c r="H11" s="149">
        <f>'Pożyczka-projekt wnioskowany'!I51</f>
        <v>27999.688888888879</v>
      </c>
      <c r="I11" s="149">
        <f>'Pożyczka-projekt wnioskowany'!I63</f>
        <v>25767.155555555531</v>
      </c>
      <c r="J11" s="149">
        <f>'Pożyczka-projekt wnioskowany'!I75</f>
        <v>23534.622222222191</v>
      </c>
      <c r="K11" s="149">
        <f>'Pożyczka-projekt wnioskowany'!I87</f>
        <v>21302.088888888858</v>
      </c>
      <c r="L11" s="149">
        <f>'Pożyczka-projekt wnioskowany'!I99</f>
        <v>19069.555555555511</v>
      </c>
      <c r="M11" s="149">
        <f>'Pożyczka-projekt wnioskowany'!I111</f>
        <v>16837.022222222171</v>
      </c>
      <c r="N11" s="149">
        <f>'Pożyczka-projekt wnioskowany'!I123</f>
        <v>14604.488888888838</v>
      </c>
      <c r="O11" s="149">
        <f>'Pożyczka-projekt wnioskowany'!I135</f>
        <v>12371.955555555496</v>
      </c>
      <c r="P11" s="149">
        <f>'Pożyczka-projekt wnioskowany'!I147</f>
        <v>10139.422222222154</v>
      </c>
      <c r="Q11" s="149">
        <f>'Pożyczka-projekt wnioskowany'!I159</f>
        <v>7906.8888888888187</v>
      </c>
      <c r="R11" s="149">
        <f>'Pożyczka-projekt wnioskowany'!I171</f>
        <v>5674.3555555554776</v>
      </c>
      <c r="S11" s="149">
        <f>'Pożyczka-projekt wnioskowany'!I183</f>
        <v>3441.8222222221452</v>
      </c>
      <c r="T11" s="149">
        <f>'Pożyczka-projekt wnioskowany'!I195</f>
        <v>1209.2888888888122</v>
      </c>
      <c r="V11" s="467" t="s">
        <v>4076</v>
      </c>
      <c r="W11" s="468"/>
      <c r="X11" s="469"/>
    </row>
    <row r="12" spans="1:24" ht="13.7" customHeight="1">
      <c r="A12" s="97" t="s">
        <v>17</v>
      </c>
      <c r="B12" s="507" t="s">
        <v>49</v>
      </c>
      <c r="C12" s="507"/>
      <c r="D12" s="449" t="s">
        <v>17</v>
      </c>
      <c r="E12" s="145">
        <v>0</v>
      </c>
      <c r="F12" s="145">
        <f>F11</f>
        <v>8664.7555555555518</v>
      </c>
      <c r="G12" s="145">
        <f t="shared" ref="G12:T12" si="5">G11</f>
        <v>30232.222222222208</v>
      </c>
      <c r="H12" s="145">
        <f t="shared" si="5"/>
        <v>27999.688888888879</v>
      </c>
      <c r="I12" s="145">
        <f t="shared" si="5"/>
        <v>25767.155555555531</v>
      </c>
      <c r="J12" s="145">
        <f t="shared" si="5"/>
        <v>23534.622222222191</v>
      </c>
      <c r="K12" s="145">
        <f t="shared" si="5"/>
        <v>21302.088888888858</v>
      </c>
      <c r="L12" s="145">
        <f t="shared" si="5"/>
        <v>19069.555555555511</v>
      </c>
      <c r="M12" s="145">
        <f t="shared" si="5"/>
        <v>16837.022222222171</v>
      </c>
      <c r="N12" s="145">
        <f t="shared" si="5"/>
        <v>14604.488888888838</v>
      </c>
      <c r="O12" s="145">
        <f t="shared" si="5"/>
        <v>12371.955555555496</v>
      </c>
      <c r="P12" s="145">
        <f t="shared" si="5"/>
        <v>10139.422222222154</v>
      </c>
      <c r="Q12" s="145">
        <f t="shared" si="5"/>
        <v>7906.8888888888187</v>
      </c>
      <c r="R12" s="145">
        <f t="shared" si="5"/>
        <v>5674.3555555554776</v>
      </c>
      <c r="S12" s="145">
        <f t="shared" si="5"/>
        <v>3441.8222222221452</v>
      </c>
      <c r="T12" s="145">
        <f t="shared" si="5"/>
        <v>1209.2888888888122</v>
      </c>
      <c r="V12" s="142">
        <v>2021</v>
      </c>
      <c r="W12" s="143">
        <v>2022</v>
      </c>
      <c r="X12" s="144">
        <v>2023</v>
      </c>
    </row>
    <row r="13" spans="1:24" ht="13.7" customHeight="1" thickBot="1">
      <c r="A13" s="97" t="s">
        <v>335</v>
      </c>
      <c r="B13" s="507" t="s">
        <v>336</v>
      </c>
      <c r="C13" s="507"/>
      <c r="D13" s="449" t="s">
        <v>16</v>
      </c>
      <c r="E13" s="145">
        <v>0</v>
      </c>
      <c r="F13" s="145">
        <v>0</v>
      </c>
      <c r="G13" s="145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49">
        <v>0</v>
      </c>
      <c r="Q13" s="149">
        <v>0</v>
      </c>
      <c r="R13" s="149">
        <v>0</v>
      </c>
      <c r="S13" s="149">
        <v>0</v>
      </c>
      <c r="T13" s="149">
        <v>0</v>
      </c>
      <c r="V13" s="146">
        <v>2.5999999999999999E-2</v>
      </c>
      <c r="W13" s="147">
        <v>2.7E-2</v>
      </c>
      <c r="X13" s="148">
        <f>W13</f>
        <v>2.7E-2</v>
      </c>
    </row>
    <row r="14" spans="1:24" ht="13.7" customHeight="1">
      <c r="A14" s="97" t="s">
        <v>337</v>
      </c>
      <c r="B14" s="508" t="s">
        <v>338</v>
      </c>
      <c r="C14" s="508"/>
      <c r="D14" s="449" t="s">
        <v>16</v>
      </c>
      <c r="E14" s="145">
        <v>0</v>
      </c>
      <c r="F14" s="145">
        <v>0</v>
      </c>
      <c r="G14" s="145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  <c r="M14" s="149">
        <v>0</v>
      </c>
      <c r="N14" s="149">
        <v>0</v>
      </c>
      <c r="O14" s="149">
        <v>0</v>
      </c>
      <c r="P14" s="149">
        <v>0</v>
      </c>
      <c r="Q14" s="149">
        <v>0</v>
      </c>
      <c r="R14" s="149">
        <v>0</v>
      </c>
      <c r="S14" s="149">
        <v>0</v>
      </c>
      <c r="T14" s="149">
        <v>0</v>
      </c>
    </row>
    <row r="15" spans="1:24" ht="13.7" customHeight="1">
      <c r="A15" s="97" t="s">
        <v>339</v>
      </c>
      <c r="B15" s="507" t="s">
        <v>340</v>
      </c>
      <c r="C15" s="507"/>
      <c r="D15" s="449" t="s">
        <v>16</v>
      </c>
      <c r="E15" s="145">
        <f>E3+E4+E11+E13</f>
        <v>0</v>
      </c>
      <c r="F15" s="145">
        <f t="shared" ref="F15:G15" si="6">F3+F4+F11+F13</f>
        <v>8664.7555555555518</v>
      </c>
      <c r="G15" s="145">
        <f t="shared" si="6"/>
        <v>30232.222222222208</v>
      </c>
      <c r="H15" s="149">
        <f>H3+H4+H11+H13</f>
        <v>673716.44588888926</v>
      </c>
      <c r="I15" s="149">
        <f t="shared" ref="I15:T15" si="7">I3+I4+I11+I13</f>
        <v>481172.2419945561</v>
      </c>
      <c r="J15" s="149">
        <f t="shared" si="7"/>
        <v>485347.7186350752</v>
      </c>
      <c r="K15" s="149">
        <f t="shared" si="7"/>
        <v>406718.26818468864</v>
      </c>
      <c r="L15" s="149">
        <f t="shared" si="7"/>
        <v>410534.58020950353</v>
      </c>
      <c r="M15" s="149">
        <f t="shared" si="7"/>
        <v>-63286.630344811485</v>
      </c>
      <c r="N15" s="149">
        <f t="shared" si="7"/>
        <v>-57882.835486156648</v>
      </c>
      <c r="O15" s="149">
        <f t="shared" si="7"/>
        <v>-51586.8830895274</v>
      </c>
      <c r="P15" s="149">
        <f t="shared" si="7"/>
        <v>-44326.666534023403</v>
      </c>
      <c r="Q15" s="149">
        <f t="shared" si="7"/>
        <v>-36024.771034263249</v>
      </c>
      <c r="R15" s="149">
        <f t="shared" si="7"/>
        <v>-26598.095029942066</v>
      </c>
      <c r="S15" s="149">
        <f t="shared" si="7"/>
        <v>-15957.444882615899</v>
      </c>
      <c r="T15" s="149">
        <f t="shared" si="7"/>
        <v>-4007.101006059529</v>
      </c>
    </row>
    <row r="16" spans="1:24" ht="13.7" customHeight="1">
      <c r="A16" s="97" t="s">
        <v>285</v>
      </c>
      <c r="B16" s="509" t="s">
        <v>4101</v>
      </c>
      <c r="C16" s="509"/>
      <c r="D16" s="449" t="s">
        <v>16</v>
      </c>
      <c r="E16" s="145">
        <v>0</v>
      </c>
      <c r="F16" s="145">
        <v>0</v>
      </c>
      <c r="G16" s="145">
        <v>0</v>
      </c>
      <c r="H16" s="149">
        <f>H17*H18</f>
        <v>495000</v>
      </c>
      <c r="I16" s="149">
        <f t="shared" ref="I16:T16" si="8">I17*I18</f>
        <v>850500</v>
      </c>
      <c r="J16" s="149">
        <f t="shared" si="8"/>
        <v>1071630</v>
      </c>
      <c r="K16" s="149">
        <f t="shared" si="8"/>
        <v>1250235.0000000002</v>
      </c>
      <c r="L16" s="149">
        <f t="shared" si="8"/>
        <v>1312746.7500000002</v>
      </c>
      <c r="M16" s="149">
        <f t="shared" si="8"/>
        <v>1378384.0875000004</v>
      </c>
      <c r="N16" s="149">
        <f t="shared" si="8"/>
        <v>1447303.2918750006</v>
      </c>
      <c r="O16" s="149">
        <f t="shared" si="8"/>
        <v>1519668.4564687507</v>
      </c>
      <c r="P16" s="149">
        <f t="shared" si="8"/>
        <v>1595651.8792921882</v>
      </c>
      <c r="Q16" s="149">
        <f t="shared" si="8"/>
        <v>1675434.4732567978</v>
      </c>
      <c r="R16" s="149">
        <f t="shared" si="8"/>
        <v>1759206.1969196375</v>
      </c>
      <c r="S16" s="149">
        <f t="shared" si="8"/>
        <v>1847166.5067656194</v>
      </c>
      <c r="T16" s="149">
        <f t="shared" si="8"/>
        <v>1939524.8321039004</v>
      </c>
    </row>
    <row r="17" spans="1:20" ht="13.7" customHeight="1">
      <c r="A17" s="97" t="s">
        <v>342</v>
      </c>
      <c r="B17" s="501" t="s">
        <v>343</v>
      </c>
      <c r="C17" s="502"/>
      <c r="D17" s="449" t="s">
        <v>17</v>
      </c>
      <c r="E17" s="149">
        <v>0</v>
      </c>
      <c r="F17" s="149">
        <v>0</v>
      </c>
      <c r="G17" s="149">
        <v>0</v>
      </c>
      <c r="H17" s="149">
        <f>H53</f>
        <v>5500</v>
      </c>
      <c r="I17" s="149">
        <f t="shared" ref="I17:T17" si="9">I53</f>
        <v>9000</v>
      </c>
      <c r="J17" s="149">
        <f t="shared" si="9"/>
        <v>10800</v>
      </c>
      <c r="K17" s="149">
        <f t="shared" si="9"/>
        <v>12000</v>
      </c>
      <c r="L17" s="149">
        <f t="shared" si="9"/>
        <v>12000</v>
      </c>
      <c r="M17" s="149">
        <f t="shared" si="9"/>
        <v>12000</v>
      </c>
      <c r="N17" s="149">
        <f t="shared" si="9"/>
        <v>12000</v>
      </c>
      <c r="O17" s="149">
        <f t="shared" si="9"/>
        <v>12000</v>
      </c>
      <c r="P17" s="149">
        <f t="shared" si="9"/>
        <v>12000</v>
      </c>
      <c r="Q17" s="149">
        <f t="shared" si="9"/>
        <v>12000</v>
      </c>
      <c r="R17" s="149">
        <f t="shared" si="9"/>
        <v>12000</v>
      </c>
      <c r="S17" s="149">
        <f t="shared" si="9"/>
        <v>12000</v>
      </c>
      <c r="T17" s="149">
        <f t="shared" si="9"/>
        <v>12000</v>
      </c>
    </row>
    <row r="18" spans="1:20" ht="13.7" customHeight="1">
      <c r="A18" s="97" t="s">
        <v>344</v>
      </c>
      <c r="B18" s="501" t="s">
        <v>345</v>
      </c>
      <c r="C18" s="502"/>
      <c r="D18" s="449" t="s">
        <v>17</v>
      </c>
      <c r="E18" s="149">
        <v>0</v>
      </c>
      <c r="F18" s="149">
        <v>0</v>
      </c>
      <c r="G18" s="149">
        <v>0</v>
      </c>
      <c r="H18" s="149">
        <f>H58</f>
        <v>90</v>
      </c>
      <c r="I18" s="149">
        <f t="shared" ref="I18:T18" si="10">I58</f>
        <v>94.5</v>
      </c>
      <c r="J18" s="149">
        <f t="shared" si="10"/>
        <v>99.225000000000009</v>
      </c>
      <c r="K18" s="149">
        <f t="shared" si="10"/>
        <v>104.18625000000002</v>
      </c>
      <c r="L18" s="149">
        <f t="shared" si="10"/>
        <v>109.39556250000003</v>
      </c>
      <c r="M18" s="149">
        <f t="shared" si="10"/>
        <v>114.86534062500003</v>
      </c>
      <c r="N18" s="149">
        <f t="shared" si="10"/>
        <v>120.60860765625004</v>
      </c>
      <c r="O18" s="149">
        <f t="shared" si="10"/>
        <v>126.63903803906256</v>
      </c>
      <c r="P18" s="149">
        <f t="shared" si="10"/>
        <v>132.97098994101569</v>
      </c>
      <c r="Q18" s="149">
        <f t="shared" si="10"/>
        <v>139.61953943806648</v>
      </c>
      <c r="R18" s="149">
        <f t="shared" si="10"/>
        <v>146.6005164099698</v>
      </c>
      <c r="S18" s="149">
        <f t="shared" si="10"/>
        <v>153.93054223046829</v>
      </c>
      <c r="T18" s="149">
        <f t="shared" si="10"/>
        <v>161.6270693419917</v>
      </c>
    </row>
    <row r="19" spans="1:20" ht="13.7" customHeight="1">
      <c r="A19" s="97" t="s">
        <v>286</v>
      </c>
      <c r="B19" s="503" t="s">
        <v>346</v>
      </c>
      <c r="C19" s="504"/>
      <c r="D19" s="449" t="s">
        <v>16</v>
      </c>
      <c r="E19" s="149">
        <f>E20*E21</f>
        <v>0</v>
      </c>
      <c r="F19" s="149">
        <f t="shared" ref="F19" si="11">F20*F21</f>
        <v>0</v>
      </c>
      <c r="G19" s="149">
        <v>0</v>
      </c>
      <c r="H19" s="149">
        <f>H20*H21</f>
        <v>2500000</v>
      </c>
      <c r="I19" s="149">
        <f t="shared" ref="I19:T19" si="12">I20*I21</f>
        <v>3937500</v>
      </c>
      <c r="J19" s="149">
        <f t="shared" si="12"/>
        <v>4961250</v>
      </c>
      <c r="K19" s="149">
        <f t="shared" si="12"/>
        <v>5788125</v>
      </c>
      <c r="L19" s="149">
        <f t="shared" si="12"/>
        <v>6077531.25</v>
      </c>
      <c r="M19" s="149">
        <f t="shared" si="12"/>
        <v>6381407.8125000009</v>
      </c>
      <c r="N19" s="149">
        <f t="shared" si="12"/>
        <v>6700478.2031250009</v>
      </c>
      <c r="O19" s="149">
        <f t="shared" si="12"/>
        <v>7035502.1132812509</v>
      </c>
      <c r="P19" s="149">
        <f t="shared" si="12"/>
        <v>7387277.2189453132</v>
      </c>
      <c r="Q19" s="149">
        <f t="shared" si="12"/>
        <v>7756641.0798925795</v>
      </c>
      <c r="R19" s="149">
        <f t="shared" si="12"/>
        <v>8144473.133887209</v>
      </c>
      <c r="S19" s="149">
        <f t="shared" si="12"/>
        <v>8551696.7905815691</v>
      </c>
      <c r="T19" s="149">
        <f t="shared" si="12"/>
        <v>8979281.6301106494</v>
      </c>
    </row>
    <row r="20" spans="1:20" ht="13.7" customHeight="1">
      <c r="A20" s="97" t="s">
        <v>347</v>
      </c>
      <c r="B20" s="501" t="s">
        <v>343</v>
      </c>
      <c r="C20" s="502"/>
      <c r="D20" s="449" t="s">
        <v>17</v>
      </c>
      <c r="E20" s="149">
        <v>0</v>
      </c>
      <c r="F20" s="149">
        <v>0</v>
      </c>
      <c r="G20" s="149">
        <v>0</v>
      </c>
      <c r="H20" s="149">
        <f>H54</f>
        <v>1000</v>
      </c>
      <c r="I20" s="149">
        <f t="shared" ref="I20:T20" si="13">I54</f>
        <v>1500</v>
      </c>
      <c r="J20" s="149">
        <f t="shared" si="13"/>
        <v>1800</v>
      </c>
      <c r="K20" s="149">
        <f t="shared" si="13"/>
        <v>2000</v>
      </c>
      <c r="L20" s="149">
        <f t="shared" si="13"/>
        <v>2000</v>
      </c>
      <c r="M20" s="149">
        <f t="shared" si="13"/>
        <v>2000</v>
      </c>
      <c r="N20" s="149">
        <f t="shared" si="13"/>
        <v>2000</v>
      </c>
      <c r="O20" s="149">
        <f t="shared" si="13"/>
        <v>2000</v>
      </c>
      <c r="P20" s="149">
        <f t="shared" si="13"/>
        <v>2000</v>
      </c>
      <c r="Q20" s="149">
        <f t="shared" si="13"/>
        <v>2000</v>
      </c>
      <c r="R20" s="149">
        <f t="shared" si="13"/>
        <v>2000</v>
      </c>
      <c r="S20" s="149">
        <f t="shared" si="13"/>
        <v>2000</v>
      </c>
      <c r="T20" s="149">
        <f t="shared" si="13"/>
        <v>2000</v>
      </c>
    </row>
    <row r="21" spans="1:20" ht="13.7" customHeight="1">
      <c r="A21" s="97" t="s">
        <v>348</v>
      </c>
      <c r="B21" s="501" t="s">
        <v>345</v>
      </c>
      <c r="C21" s="502"/>
      <c r="D21" s="449" t="s">
        <v>17</v>
      </c>
      <c r="E21" s="149">
        <v>0</v>
      </c>
      <c r="F21" s="149">
        <v>0</v>
      </c>
      <c r="G21" s="149">
        <v>0</v>
      </c>
      <c r="H21" s="149">
        <f>H59</f>
        <v>2500</v>
      </c>
      <c r="I21" s="149">
        <f t="shared" ref="I21:T21" si="14">I59</f>
        <v>2625</v>
      </c>
      <c r="J21" s="149">
        <f t="shared" si="14"/>
        <v>2756.25</v>
      </c>
      <c r="K21" s="149">
        <f t="shared" si="14"/>
        <v>2894.0625</v>
      </c>
      <c r="L21" s="149">
        <f t="shared" si="14"/>
        <v>3038.765625</v>
      </c>
      <c r="M21" s="149">
        <f t="shared" si="14"/>
        <v>3190.7039062500003</v>
      </c>
      <c r="N21" s="149">
        <f t="shared" si="14"/>
        <v>3350.2391015625003</v>
      </c>
      <c r="O21" s="149">
        <f t="shared" si="14"/>
        <v>3517.7510566406254</v>
      </c>
      <c r="P21" s="149">
        <f t="shared" si="14"/>
        <v>3693.6386094726568</v>
      </c>
      <c r="Q21" s="149">
        <f t="shared" si="14"/>
        <v>3878.32053994629</v>
      </c>
      <c r="R21" s="149">
        <f t="shared" si="14"/>
        <v>4072.2365669436044</v>
      </c>
      <c r="S21" s="149">
        <f t="shared" si="14"/>
        <v>4275.8483952907845</v>
      </c>
      <c r="T21" s="149">
        <f t="shared" si="14"/>
        <v>4489.6408150553243</v>
      </c>
    </row>
    <row r="22" spans="1:20" ht="13.7" customHeight="1">
      <c r="A22" s="97" t="s">
        <v>288</v>
      </c>
      <c r="B22" s="501" t="s">
        <v>349</v>
      </c>
      <c r="C22" s="502"/>
      <c r="D22" s="449" t="s">
        <v>16</v>
      </c>
      <c r="E22" s="145">
        <v>0</v>
      </c>
      <c r="F22" s="145">
        <v>0</v>
      </c>
      <c r="G22" s="149">
        <v>0</v>
      </c>
      <c r="H22" s="149">
        <f>H23</f>
        <v>143520.00000000003</v>
      </c>
      <c r="I22" s="149">
        <f t="shared" ref="I22:L22" si="15">I23</f>
        <v>143520.00000000003</v>
      </c>
      <c r="J22" s="149">
        <f t="shared" si="15"/>
        <v>143520.00000000003</v>
      </c>
      <c r="K22" s="149">
        <f t="shared" si="15"/>
        <v>143520.00000000003</v>
      </c>
      <c r="L22" s="149">
        <f t="shared" si="15"/>
        <v>143520.00000000003</v>
      </c>
      <c r="M22" s="149">
        <f t="shared" ref="M22:P22" si="16">M23</f>
        <v>0</v>
      </c>
      <c r="N22" s="149">
        <f t="shared" si="16"/>
        <v>0</v>
      </c>
      <c r="O22" s="149">
        <f t="shared" si="16"/>
        <v>0</v>
      </c>
      <c r="P22" s="149">
        <f t="shared" si="16"/>
        <v>0</v>
      </c>
      <c r="Q22" s="149">
        <v>0</v>
      </c>
      <c r="R22" s="149">
        <v>0</v>
      </c>
      <c r="S22" s="149">
        <v>0</v>
      </c>
      <c r="T22" s="149">
        <v>0</v>
      </c>
    </row>
    <row r="23" spans="1:20" ht="13.7" customHeight="1">
      <c r="A23" s="97" t="s">
        <v>350</v>
      </c>
      <c r="B23" s="505" t="s">
        <v>40</v>
      </c>
      <c r="C23" s="505"/>
      <c r="D23" s="449" t="s">
        <v>16</v>
      </c>
      <c r="E23" s="145">
        <v>0</v>
      </c>
      <c r="F23" s="145">
        <v>0</v>
      </c>
      <c r="G23" s="149">
        <v>0</v>
      </c>
      <c r="H23" s="149">
        <f>'Amortyzacja obecna i projektowa'!AA268*0.3</f>
        <v>143520.00000000003</v>
      </c>
      <c r="I23" s="149">
        <f>'Amortyzacja obecna i projektowa'!AB268*0.3</f>
        <v>143520.00000000003</v>
      </c>
      <c r="J23" s="149">
        <f>'Amortyzacja obecna i projektowa'!AC268*0.3</f>
        <v>143520.00000000003</v>
      </c>
      <c r="K23" s="149">
        <f>'Amortyzacja obecna i projektowa'!AD268*0.3</f>
        <v>143520.00000000003</v>
      </c>
      <c r="L23" s="149">
        <f>'Amortyzacja obecna i projektowa'!AE268*0.3</f>
        <v>143520.00000000003</v>
      </c>
      <c r="M23" s="149">
        <f>'Amortyzacja obecna i projektowa'!AF274</f>
        <v>0</v>
      </c>
      <c r="N23" s="149">
        <f>'Amortyzacja obecna i projektowa'!AG274</f>
        <v>0</v>
      </c>
      <c r="O23" s="149">
        <f>'Amortyzacja obecna i projektowa'!AH274</f>
        <v>0</v>
      </c>
      <c r="P23" s="149">
        <f>'Amortyzacja obecna i projektowa'!AI274</f>
        <v>0</v>
      </c>
      <c r="Q23" s="149">
        <v>0</v>
      </c>
      <c r="R23" s="149">
        <v>0</v>
      </c>
      <c r="S23" s="149">
        <v>0</v>
      </c>
      <c r="T23" s="149">
        <v>0</v>
      </c>
    </row>
    <row r="24" spans="1:20" ht="13.7" customHeight="1">
      <c r="A24" s="97" t="s">
        <v>351</v>
      </c>
      <c r="B24" s="506" t="s">
        <v>338</v>
      </c>
      <c r="C24" s="506"/>
      <c r="D24" s="449" t="s">
        <v>16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5">
        <v>0</v>
      </c>
      <c r="S24" s="145">
        <v>0</v>
      </c>
      <c r="T24" s="145">
        <v>0</v>
      </c>
    </row>
    <row r="25" spans="1:20" ht="13.7" customHeight="1">
      <c r="A25" s="97" t="s">
        <v>352</v>
      </c>
      <c r="B25" s="505" t="s">
        <v>353</v>
      </c>
      <c r="C25" s="505"/>
      <c r="D25" s="449" t="s">
        <v>16</v>
      </c>
      <c r="E25" s="145">
        <f t="shared" ref="E25:T25" si="17">E16+E19+E22</f>
        <v>0</v>
      </c>
      <c r="F25" s="145">
        <f t="shared" si="17"/>
        <v>0</v>
      </c>
      <c r="G25" s="145">
        <f t="shared" si="17"/>
        <v>0</v>
      </c>
      <c r="H25" s="145">
        <f>H16+H19+H22</f>
        <v>3138520</v>
      </c>
      <c r="I25" s="145">
        <f t="shared" si="17"/>
        <v>4931520</v>
      </c>
      <c r="J25" s="145">
        <f t="shared" si="17"/>
        <v>6176400</v>
      </c>
      <c r="K25" s="145">
        <f t="shared" si="17"/>
        <v>7181880</v>
      </c>
      <c r="L25" s="145">
        <f t="shared" si="17"/>
        <v>7533798</v>
      </c>
      <c r="M25" s="145">
        <f t="shared" si="17"/>
        <v>7759791.9000000013</v>
      </c>
      <c r="N25" s="145">
        <f t="shared" si="17"/>
        <v>8147781.495000001</v>
      </c>
      <c r="O25" s="145">
        <f t="shared" si="17"/>
        <v>8555170.5697500017</v>
      </c>
      <c r="P25" s="145">
        <f t="shared" si="17"/>
        <v>8982929.0982375015</v>
      </c>
      <c r="Q25" s="145">
        <f t="shared" si="17"/>
        <v>9432075.5531493779</v>
      </c>
      <c r="R25" s="145">
        <f t="shared" si="17"/>
        <v>9903679.3308068458</v>
      </c>
      <c r="S25" s="145">
        <f t="shared" si="17"/>
        <v>10398863.297347188</v>
      </c>
      <c r="T25" s="145">
        <f t="shared" si="17"/>
        <v>10918806.46221455</v>
      </c>
    </row>
    <row r="26" spans="1:20" s="114" customFormat="1" ht="13.7" customHeight="1">
      <c r="A26" s="451" t="s">
        <v>354</v>
      </c>
      <c r="B26" s="500" t="s">
        <v>355</v>
      </c>
      <c r="C26" s="500"/>
      <c r="D26" s="80" t="s">
        <v>16</v>
      </c>
      <c r="E26" s="229">
        <f t="shared" ref="E26:T26" si="18">E25-E15</f>
        <v>0</v>
      </c>
      <c r="F26" s="229">
        <f t="shared" si="18"/>
        <v>-8664.7555555555518</v>
      </c>
      <c r="G26" s="229">
        <f t="shared" si="18"/>
        <v>-30232.222222222208</v>
      </c>
      <c r="H26" s="229">
        <f>H25-H15</f>
        <v>2464803.554111111</v>
      </c>
      <c r="I26" s="229">
        <f t="shared" si="18"/>
        <v>4450347.758005444</v>
      </c>
      <c r="J26" s="229">
        <f t="shared" si="18"/>
        <v>5691052.2813649252</v>
      </c>
      <c r="K26" s="229">
        <f t="shared" si="18"/>
        <v>6775161.7318153111</v>
      </c>
      <c r="L26" s="229">
        <f t="shared" si="18"/>
        <v>7123263.4197904961</v>
      </c>
      <c r="M26" s="229">
        <f t="shared" si="18"/>
        <v>7823078.5303448131</v>
      </c>
      <c r="N26" s="229">
        <f t="shared" si="18"/>
        <v>8205664.3304861579</v>
      </c>
      <c r="O26" s="229">
        <f t="shared" si="18"/>
        <v>8606757.4528395291</v>
      </c>
      <c r="P26" s="229">
        <f t="shared" si="18"/>
        <v>9027255.7647715248</v>
      </c>
      <c r="Q26" s="229">
        <f t="shared" si="18"/>
        <v>9468100.324183641</v>
      </c>
      <c r="R26" s="229">
        <f t="shared" si="18"/>
        <v>9930277.4258367885</v>
      </c>
      <c r="S26" s="229">
        <f t="shared" si="18"/>
        <v>10414820.742229804</v>
      </c>
      <c r="T26" s="229">
        <f t="shared" si="18"/>
        <v>10922813.563220609</v>
      </c>
    </row>
    <row r="27" spans="1:20" ht="13.7" customHeight="1">
      <c r="A27" s="97" t="s">
        <v>356</v>
      </c>
      <c r="B27" s="505" t="s">
        <v>357</v>
      </c>
      <c r="C27" s="505"/>
      <c r="D27" s="449" t="s">
        <v>16</v>
      </c>
      <c r="E27" s="145">
        <f t="shared" ref="E27:T27" si="19">IF(E26&gt;0,E26*19%,0)</f>
        <v>0</v>
      </c>
      <c r="F27" s="145">
        <f t="shared" si="19"/>
        <v>0</v>
      </c>
      <c r="G27" s="145">
        <f t="shared" si="19"/>
        <v>0</v>
      </c>
      <c r="H27" s="145">
        <f t="shared" si="19"/>
        <v>468312.67528111109</v>
      </c>
      <c r="I27" s="145">
        <f t="shared" si="19"/>
        <v>845566.07402103441</v>
      </c>
      <c r="J27" s="145">
        <f t="shared" si="19"/>
        <v>1081299.9334593357</v>
      </c>
      <c r="K27" s="145">
        <f t="shared" si="19"/>
        <v>1287280.7290449091</v>
      </c>
      <c r="L27" s="145">
        <f t="shared" si="19"/>
        <v>1353420.0497601943</v>
      </c>
      <c r="M27" s="145">
        <f t="shared" si="19"/>
        <v>1486384.9207655145</v>
      </c>
      <c r="N27" s="145">
        <f t="shared" si="19"/>
        <v>1559076.22279237</v>
      </c>
      <c r="O27" s="145">
        <f t="shared" si="19"/>
        <v>1635283.9160395106</v>
      </c>
      <c r="P27" s="145">
        <f t="shared" si="19"/>
        <v>1715178.5953065897</v>
      </c>
      <c r="Q27" s="145">
        <f t="shared" si="19"/>
        <v>1798939.0615948918</v>
      </c>
      <c r="R27" s="145">
        <f t="shared" si="19"/>
        <v>1886752.7109089899</v>
      </c>
      <c r="S27" s="145">
        <f t="shared" si="19"/>
        <v>1978815.9410236629</v>
      </c>
      <c r="T27" s="145">
        <f t="shared" si="19"/>
        <v>2075334.5770119156</v>
      </c>
    </row>
    <row r="28" spans="1:20" s="114" customFormat="1" ht="13.7" customHeight="1">
      <c r="A28" s="451" t="s">
        <v>20</v>
      </c>
      <c r="B28" s="500" t="s">
        <v>358</v>
      </c>
      <c r="C28" s="500"/>
      <c r="D28" s="80" t="s">
        <v>16</v>
      </c>
      <c r="E28" s="229">
        <f>E26-E27</f>
        <v>0</v>
      </c>
      <c r="F28" s="229">
        <f t="shared" ref="F28:T28" si="20">F26-F27</f>
        <v>-8664.7555555555518</v>
      </c>
      <c r="G28" s="229">
        <f>G26-G27</f>
        <v>-30232.222222222208</v>
      </c>
      <c r="H28" s="229">
        <f>H26-H27</f>
        <v>1996490.8788299998</v>
      </c>
      <c r="I28" s="229">
        <f t="shared" si="20"/>
        <v>3604781.6839844096</v>
      </c>
      <c r="J28" s="229">
        <f t="shared" si="20"/>
        <v>4609752.3479055893</v>
      </c>
      <c r="K28" s="229">
        <f t="shared" si="20"/>
        <v>5487881.0027704015</v>
      </c>
      <c r="L28" s="229">
        <f t="shared" si="20"/>
        <v>5769843.3700303016</v>
      </c>
      <c r="M28" s="229">
        <f>M26-M27</f>
        <v>6336693.6095792986</v>
      </c>
      <c r="N28" s="229">
        <f t="shared" si="20"/>
        <v>6646588.1076937877</v>
      </c>
      <c r="O28" s="229">
        <f t="shared" si="20"/>
        <v>6971473.5368000185</v>
      </c>
      <c r="P28" s="229">
        <f t="shared" si="20"/>
        <v>7312077.1694649346</v>
      </c>
      <c r="Q28" s="229">
        <f t="shared" si="20"/>
        <v>7669161.2625887487</v>
      </c>
      <c r="R28" s="229">
        <f t="shared" si="20"/>
        <v>8043524.7149277981</v>
      </c>
      <c r="S28" s="229">
        <f t="shared" si="20"/>
        <v>8436004.8012061417</v>
      </c>
      <c r="T28" s="229">
        <f t="shared" si="20"/>
        <v>8847478.9862086941</v>
      </c>
    </row>
    <row r="29" spans="1:20" s="114" customFormat="1" ht="13.7" customHeight="1">
      <c r="A29" s="451" t="s">
        <v>359</v>
      </c>
      <c r="B29" s="500" t="s">
        <v>360</v>
      </c>
      <c r="C29" s="500"/>
      <c r="D29" s="80" t="s">
        <v>16</v>
      </c>
      <c r="E29" s="229">
        <f t="shared" ref="E29:T29" si="21">E3+E28</f>
        <v>0</v>
      </c>
      <c r="F29" s="229">
        <f t="shared" si="21"/>
        <v>-8664.7555555555518</v>
      </c>
      <c r="G29" s="229">
        <f>G3+G28</f>
        <v>-30232.222222222208</v>
      </c>
      <c r="H29" s="229">
        <f t="shared" si="21"/>
        <v>2474890.8788299998</v>
      </c>
      <c r="I29" s="229">
        <f t="shared" si="21"/>
        <v>4083181.6839844096</v>
      </c>
      <c r="J29" s="229">
        <f t="shared" si="21"/>
        <v>5088152.3479055893</v>
      </c>
      <c r="K29" s="229">
        <f t="shared" si="21"/>
        <v>5966281.0027704015</v>
      </c>
      <c r="L29" s="229">
        <f t="shared" si="21"/>
        <v>6248243.3700303016</v>
      </c>
      <c r="M29" s="229">
        <f>M3+M28</f>
        <v>6336693.6095792986</v>
      </c>
      <c r="N29" s="229">
        <f t="shared" si="21"/>
        <v>6646588.1076937877</v>
      </c>
      <c r="O29" s="229">
        <f t="shared" si="21"/>
        <v>6971473.5368000185</v>
      </c>
      <c r="P29" s="229">
        <f t="shared" si="21"/>
        <v>7312077.1694649346</v>
      </c>
      <c r="Q29" s="229">
        <f t="shared" si="21"/>
        <v>7669161.2625887487</v>
      </c>
      <c r="R29" s="229">
        <f t="shared" si="21"/>
        <v>8043524.7149277981</v>
      </c>
      <c r="S29" s="229">
        <f t="shared" si="21"/>
        <v>8436004.8012061417</v>
      </c>
      <c r="T29" s="229">
        <f t="shared" si="21"/>
        <v>8847478.9862086941</v>
      </c>
    </row>
    <row r="30" spans="1:20" ht="15.2" customHeight="1">
      <c r="A30" s="460"/>
      <c r="B30" s="460"/>
    </row>
    <row r="31" spans="1:20" ht="15.2" customHeight="1">
      <c r="A31" s="460"/>
      <c r="B31" s="460"/>
      <c r="H31" s="150"/>
    </row>
    <row r="32" spans="1:20" ht="15.2" customHeight="1">
      <c r="A32" s="460"/>
      <c r="B32" s="460"/>
      <c r="C32" s="453" t="s">
        <v>4095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</row>
    <row r="33" spans="3:21">
      <c r="C33" s="168" t="s">
        <v>4070</v>
      </c>
      <c r="D33" s="95"/>
      <c r="E33" s="152"/>
      <c r="F33" s="152"/>
      <c r="G33" s="152"/>
      <c r="H33" s="156">
        <f>4026*1</f>
        <v>4026</v>
      </c>
      <c r="I33" s="156">
        <f>H33*(1+7%)</f>
        <v>4307.8200000000006</v>
      </c>
      <c r="J33" s="156">
        <f t="shared" ref="J33:T34" si="22">I33*(1+7%)</f>
        <v>4609.367400000001</v>
      </c>
      <c r="K33" s="156">
        <f t="shared" si="22"/>
        <v>4932.023118000001</v>
      </c>
      <c r="L33" s="156">
        <f t="shared" si="22"/>
        <v>5277.264736260001</v>
      </c>
      <c r="M33" s="156">
        <f t="shared" si="22"/>
        <v>5646.6732677982018</v>
      </c>
      <c r="N33" s="156">
        <f t="shared" si="22"/>
        <v>6041.9403965440761</v>
      </c>
      <c r="O33" s="156">
        <f t="shared" si="22"/>
        <v>6464.876224302162</v>
      </c>
      <c r="P33" s="156">
        <f t="shared" si="22"/>
        <v>6917.4175600033141</v>
      </c>
      <c r="Q33" s="156">
        <f t="shared" si="22"/>
        <v>7401.6367892035469</v>
      </c>
      <c r="R33" s="156">
        <f t="shared" si="22"/>
        <v>7919.7513644477958</v>
      </c>
      <c r="S33" s="156">
        <f t="shared" si="22"/>
        <v>8474.1339599591429</v>
      </c>
      <c r="T33" s="156">
        <f t="shared" si="22"/>
        <v>9067.3233371562837</v>
      </c>
    </row>
    <row r="34" spans="3:21">
      <c r="C34" s="168" t="s">
        <v>4071</v>
      </c>
      <c r="D34" s="95"/>
      <c r="E34" s="152"/>
      <c r="F34" s="152"/>
      <c r="G34" s="152"/>
      <c r="H34" s="156">
        <f>6728*1*U34</f>
        <v>6728</v>
      </c>
      <c r="I34" s="156">
        <f>H34*(1+7%)</f>
        <v>7198.96</v>
      </c>
      <c r="J34" s="156">
        <f t="shared" si="22"/>
        <v>7702.8872000000001</v>
      </c>
      <c r="K34" s="156">
        <f t="shared" si="22"/>
        <v>8242.089304000001</v>
      </c>
      <c r="L34" s="156">
        <f t="shared" si="22"/>
        <v>8819.0355552800011</v>
      </c>
      <c r="M34" s="156">
        <f t="shared" si="22"/>
        <v>9436.3680441496017</v>
      </c>
      <c r="N34" s="156">
        <f t="shared" si="22"/>
        <v>10096.913807240075</v>
      </c>
      <c r="O34" s="156">
        <f t="shared" si="22"/>
        <v>10803.697773746881</v>
      </c>
      <c r="P34" s="156">
        <f t="shared" si="22"/>
        <v>11559.956617909163</v>
      </c>
      <c r="Q34" s="156">
        <f t="shared" si="22"/>
        <v>12369.153581162805</v>
      </c>
      <c r="R34" s="156">
        <f t="shared" si="22"/>
        <v>13234.994331844202</v>
      </c>
      <c r="S34" s="156">
        <f t="shared" si="22"/>
        <v>14161.443935073297</v>
      </c>
      <c r="T34" s="156">
        <f t="shared" si="22"/>
        <v>15152.74501052843</v>
      </c>
      <c r="U34" s="391">
        <v>1</v>
      </c>
    </row>
    <row r="35" spans="3:21">
      <c r="C35" s="168" t="s">
        <v>4072</v>
      </c>
      <c r="D35" s="95"/>
      <c r="E35" s="152"/>
      <c r="F35" s="152"/>
      <c r="G35" s="152"/>
      <c r="H35" s="156">
        <f>H33*25%</f>
        <v>1006.5</v>
      </c>
      <c r="I35" s="156">
        <f t="shared" ref="I35:T35" si="23">I33*25%</f>
        <v>1076.9550000000002</v>
      </c>
      <c r="J35" s="156">
        <f t="shared" si="23"/>
        <v>1152.3418500000002</v>
      </c>
      <c r="K35" s="156">
        <f t="shared" si="23"/>
        <v>1233.0057795000002</v>
      </c>
      <c r="L35" s="156">
        <f t="shared" si="23"/>
        <v>1319.3161840650002</v>
      </c>
      <c r="M35" s="156">
        <f t="shared" si="23"/>
        <v>1411.6683169495504</v>
      </c>
      <c r="N35" s="156">
        <f t="shared" si="23"/>
        <v>1510.485099136019</v>
      </c>
      <c r="O35" s="156">
        <f t="shared" si="23"/>
        <v>1616.2190560755405</v>
      </c>
      <c r="P35" s="156">
        <f t="shared" si="23"/>
        <v>1729.3543900008285</v>
      </c>
      <c r="Q35" s="156">
        <f t="shared" si="23"/>
        <v>1850.4091973008867</v>
      </c>
      <c r="R35" s="156">
        <f t="shared" si="23"/>
        <v>1979.937841111949</v>
      </c>
      <c r="S35" s="156">
        <f t="shared" si="23"/>
        <v>2118.5334899897857</v>
      </c>
      <c r="T35" s="156">
        <f t="shared" si="23"/>
        <v>2266.8308342890709</v>
      </c>
    </row>
    <row r="36" spans="3:21">
      <c r="C36" s="169" t="s">
        <v>4073</v>
      </c>
      <c r="D36" s="95"/>
      <c r="E36" s="152"/>
      <c r="F36" s="152"/>
      <c r="G36" s="152"/>
      <c r="H36" s="225">
        <f>H34+H35</f>
        <v>7734.5</v>
      </c>
      <c r="I36" s="225">
        <f t="shared" ref="I36:T36" si="24">I34+I35</f>
        <v>8275.9150000000009</v>
      </c>
      <c r="J36" s="225">
        <f t="shared" si="24"/>
        <v>8855.2290499999999</v>
      </c>
      <c r="K36" s="225">
        <f t="shared" si="24"/>
        <v>9475.0950835000003</v>
      </c>
      <c r="L36" s="225">
        <f t="shared" si="24"/>
        <v>10138.351739345002</v>
      </c>
      <c r="M36" s="225">
        <f t="shared" si="24"/>
        <v>10848.036361099152</v>
      </c>
      <c r="N36" s="225">
        <f t="shared" si="24"/>
        <v>11607.398906376093</v>
      </c>
      <c r="O36" s="225">
        <f t="shared" si="24"/>
        <v>12419.916829822421</v>
      </c>
      <c r="P36" s="225">
        <f t="shared" si="24"/>
        <v>13289.311007909992</v>
      </c>
      <c r="Q36" s="225">
        <f t="shared" si="24"/>
        <v>14219.562778463693</v>
      </c>
      <c r="R36" s="225">
        <f t="shared" si="24"/>
        <v>15214.932172956151</v>
      </c>
      <c r="S36" s="225">
        <f t="shared" si="24"/>
        <v>16279.977425063084</v>
      </c>
      <c r="T36" s="225">
        <f t="shared" si="24"/>
        <v>17419.5758448175</v>
      </c>
    </row>
    <row r="37" spans="3:21">
      <c r="E37" s="151"/>
      <c r="F37" s="151"/>
      <c r="G37" s="151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</row>
    <row r="38" spans="3:21" ht="25.5">
      <c r="C38" s="453" t="s">
        <v>4096</v>
      </c>
      <c r="E38" s="151"/>
      <c r="F38" s="151"/>
      <c r="G38" s="151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</row>
    <row r="39" spans="3:21">
      <c r="C39" s="168" t="s">
        <v>4070</v>
      </c>
      <c r="D39" s="95"/>
      <c r="E39" s="152"/>
      <c r="F39" s="152"/>
      <c r="G39" s="152"/>
      <c r="H39" s="156">
        <f>3041*1</f>
        <v>3041</v>
      </c>
      <c r="I39" s="156">
        <f t="shared" ref="I39:T40" si="25">H39*(1+$X$5)</f>
        <v>3253.8700000000003</v>
      </c>
      <c r="J39" s="156">
        <f t="shared" si="25"/>
        <v>3481.6409000000008</v>
      </c>
      <c r="K39" s="156">
        <f t="shared" si="25"/>
        <v>3725.3557630000009</v>
      </c>
      <c r="L39" s="156">
        <f t="shared" si="25"/>
        <v>3986.1306664100011</v>
      </c>
      <c r="M39" s="156">
        <f t="shared" si="25"/>
        <v>4265.1598130587017</v>
      </c>
      <c r="N39" s="156">
        <f t="shared" si="25"/>
        <v>4563.7209999728111</v>
      </c>
      <c r="O39" s="156">
        <f t="shared" si="25"/>
        <v>4883.1814699709084</v>
      </c>
      <c r="P39" s="156">
        <f t="shared" si="25"/>
        <v>5225.004172868872</v>
      </c>
      <c r="Q39" s="156">
        <f t="shared" si="25"/>
        <v>5590.7544649696938</v>
      </c>
      <c r="R39" s="156">
        <f t="shared" si="25"/>
        <v>5982.1072775175726</v>
      </c>
      <c r="S39" s="156">
        <f t="shared" si="25"/>
        <v>6400.8547869438034</v>
      </c>
      <c r="T39" s="156">
        <f t="shared" si="25"/>
        <v>6848.9146220298699</v>
      </c>
    </row>
    <row r="40" spans="3:21">
      <c r="C40" s="168" t="s">
        <v>4071</v>
      </c>
      <c r="D40" s="95"/>
      <c r="E40" s="152"/>
      <c r="F40" s="152"/>
      <c r="G40" s="152"/>
      <c r="H40" s="156">
        <f>1*5046*U40</f>
        <v>5046</v>
      </c>
      <c r="I40" s="156">
        <f t="shared" si="25"/>
        <v>5399.22</v>
      </c>
      <c r="J40" s="156">
        <f t="shared" si="25"/>
        <v>5777.1654000000008</v>
      </c>
      <c r="K40" s="156">
        <f t="shared" si="25"/>
        <v>6181.5669780000007</v>
      </c>
      <c r="L40" s="156">
        <f t="shared" si="25"/>
        <v>6614.2766664600013</v>
      </c>
      <c r="M40" s="156">
        <f t="shared" si="25"/>
        <v>7077.2760331122017</v>
      </c>
      <c r="N40" s="156">
        <f t="shared" si="25"/>
        <v>7572.685355430056</v>
      </c>
      <c r="O40" s="156">
        <f t="shared" si="25"/>
        <v>8102.7733303101604</v>
      </c>
      <c r="P40" s="156">
        <f t="shared" si="25"/>
        <v>8669.9674634318726</v>
      </c>
      <c r="Q40" s="156">
        <f t="shared" si="25"/>
        <v>9276.8651858721041</v>
      </c>
      <c r="R40" s="156">
        <f t="shared" si="25"/>
        <v>9926.2457488831515</v>
      </c>
      <c r="S40" s="156">
        <f t="shared" si="25"/>
        <v>10621.082951304972</v>
      </c>
      <c r="T40" s="156">
        <f t="shared" si="25"/>
        <v>11364.55875789632</v>
      </c>
      <c r="U40" s="391">
        <v>1</v>
      </c>
    </row>
    <row r="41" spans="3:21">
      <c r="C41" s="168" t="s">
        <v>4072</v>
      </c>
      <c r="D41" s="95"/>
      <c r="E41" s="152"/>
      <c r="F41" s="152"/>
      <c r="G41" s="152"/>
      <c r="H41" s="156">
        <f>H39*25%</f>
        <v>760.25</v>
      </c>
      <c r="I41" s="156">
        <f t="shared" ref="I41:T41" si="26">I39*25%</f>
        <v>813.46750000000009</v>
      </c>
      <c r="J41" s="156">
        <f t="shared" si="26"/>
        <v>870.4102250000002</v>
      </c>
      <c r="K41" s="156">
        <f t="shared" si="26"/>
        <v>931.33894075000023</v>
      </c>
      <c r="L41" s="156">
        <f t="shared" si="26"/>
        <v>996.53266660250029</v>
      </c>
      <c r="M41" s="156">
        <f t="shared" si="26"/>
        <v>1066.2899532646754</v>
      </c>
      <c r="N41" s="156">
        <f t="shared" si="26"/>
        <v>1140.9302499932028</v>
      </c>
      <c r="O41" s="156">
        <f t="shared" si="26"/>
        <v>1220.7953674927271</v>
      </c>
      <c r="P41" s="156">
        <f t="shared" si="26"/>
        <v>1306.251043217218</v>
      </c>
      <c r="Q41" s="156">
        <f t="shared" si="26"/>
        <v>1397.6886162424234</v>
      </c>
      <c r="R41" s="156">
        <f t="shared" si="26"/>
        <v>1495.5268193793931</v>
      </c>
      <c r="S41" s="156">
        <f t="shared" si="26"/>
        <v>1600.2136967359509</v>
      </c>
      <c r="T41" s="156">
        <f t="shared" si="26"/>
        <v>1712.2286555074675</v>
      </c>
    </row>
    <row r="42" spans="3:21">
      <c r="C42" s="169" t="s">
        <v>4073</v>
      </c>
      <c r="D42" s="95"/>
      <c r="E42" s="152"/>
      <c r="F42" s="152"/>
      <c r="G42" s="152"/>
      <c r="H42" s="225">
        <f>H40+H41</f>
        <v>5806.25</v>
      </c>
      <c r="I42" s="225">
        <f t="shared" ref="I42:T42" si="27">I40+I41</f>
        <v>6212.6875</v>
      </c>
      <c r="J42" s="225">
        <f>J40+J41</f>
        <v>6647.5756250000013</v>
      </c>
      <c r="K42" s="225">
        <f t="shared" si="27"/>
        <v>7112.9059187500006</v>
      </c>
      <c r="L42" s="225">
        <f t="shared" si="27"/>
        <v>7610.8093330625015</v>
      </c>
      <c r="M42" s="225">
        <f t="shared" si="27"/>
        <v>8143.5659863768769</v>
      </c>
      <c r="N42" s="225">
        <f t="shared" si="27"/>
        <v>8713.6156054232597</v>
      </c>
      <c r="O42" s="225">
        <f t="shared" si="27"/>
        <v>9323.568697802888</v>
      </c>
      <c r="P42" s="225">
        <f t="shared" si="27"/>
        <v>9976.2185066490911</v>
      </c>
      <c r="Q42" s="225">
        <f t="shared" si="27"/>
        <v>10674.553802114528</v>
      </c>
      <c r="R42" s="225">
        <f t="shared" si="27"/>
        <v>11421.772568262544</v>
      </c>
      <c r="S42" s="225">
        <f t="shared" si="27"/>
        <v>12221.296648040923</v>
      </c>
      <c r="T42" s="225">
        <f t="shared" si="27"/>
        <v>13076.787413403788</v>
      </c>
    </row>
    <row r="43" spans="3:21">
      <c r="E43" s="151"/>
      <c r="F43" s="151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5"/>
    </row>
    <row r="44" spans="3:21">
      <c r="C44" s="168" t="s">
        <v>2691</v>
      </c>
      <c r="D44" s="95"/>
      <c r="E44" s="152"/>
      <c r="F44" s="152"/>
      <c r="G44" s="156"/>
      <c r="H44" s="156">
        <f>Analityka!$I$897*(20%/3)*U44</f>
        <v>119014.54199999999</v>
      </c>
      <c r="I44" s="156">
        <f t="shared" ref="I44:T45" si="28">H44*(1+$X$13)</f>
        <v>122227.93463399998</v>
      </c>
      <c r="J44" s="156">
        <f t="shared" si="28"/>
        <v>125528.08886911796</v>
      </c>
      <c r="K44" s="156">
        <f t="shared" si="28"/>
        <v>128917.34726858413</v>
      </c>
      <c r="L44" s="156">
        <f t="shared" si="28"/>
        <v>132398.1156448359</v>
      </c>
      <c r="M44" s="156">
        <f t="shared" si="28"/>
        <v>135972.86476724644</v>
      </c>
      <c r="N44" s="156">
        <f t="shared" si="28"/>
        <v>139644.13211596207</v>
      </c>
      <c r="O44" s="156">
        <f t="shared" si="28"/>
        <v>143414.52368309302</v>
      </c>
      <c r="P44" s="156">
        <f t="shared" si="28"/>
        <v>147286.71582253653</v>
      </c>
      <c r="Q44" s="156">
        <f t="shared" si="28"/>
        <v>151263.45714974499</v>
      </c>
      <c r="R44" s="156">
        <f t="shared" si="28"/>
        <v>155347.5704927881</v>
      </c>
      <c r="S44" s="156">
        <f t="shared" si="28"/>
        <v>159541.95489609338</v>
      </c>
      <c r="T44" s="156">
        <f t="shared" si="28"/>
        <v>163849.58767828788</v>
      </c>
      <c r="U44" s="392">
        <v>1</v>
      </c>
    </row>
    <row r="45" spans="3:21">
      <c r="C45" s="168" t="s">
        <v>2658</v>
      </c>
      <c r="D45" s="95"/>
      <c r="E45" s="152"/>
      <c r="F45" s="152"/>
      <c r="G45" s="156"/>
      <c r="H45" s="156">
        <f>Analityka!$I$890*(30%/3)*U45</f>
        <v>168313.21500000003</v>
      </c>
      <c r="I45" s="156">
        <f>H45*(1+$X$13)</f>
        <v>172857.67180500002</v>
      </c>
      <c r="J45" s="156">
        <f t="shared" si="28"/>
        <v>177524.82894373502</v>
      </c>
      <c r="K45" s="156">
        <f t="shared" si="28"/>
        <v>182317.99932521585</v>
      </c>
      <c r="L45" s="156">
        <f t="shared" si="28"/>
        <v>187240.58530699665</v>
      </c>
      <c r="M45" s="156">
        <f t="shared" si="28"/>
        <v>192296.08111028554</v>
      </c>
      <c r="N45" s="156">
        <f t="shared" si="28"/>
        <v>197488.07530026324</v>
      </c>
      <c r="O45" s="156">
        <f t="shared" si="28"/>
        <v>202820.25333337032</v>
      </c>
      <c r="P45" s="156">
        <f t="shared" si="28"/>
        <v>208296.40017337131</v>
      </c>
      <c r="Q45" s="156">
        <f t="shared" si="28"/>
        <v>213920.40297805233</v>
      </c>
      <c r="R45" s="156">
        <f t="shared" si="28"/>
        <v>219696.25385845974</v>
      </c>
      <c r="S45" s="156">
        <f t="shared" si="28"/>
        <v>225628.05271263813</v>
      </c>
      <c r="T45" s="156">
        <f t="shared" si="28"/>
        <v>231720.01013587933</v>
      </c>
      <c r="U45" s="392">
        <v>1</v>
      </c>
    </row>
    <row r="46" spans="3:21" ht="25.5">
      <c r="C46" s="170" t="s">
        <v>4157</v>
      </c>
      <c r="D46" s="95"/>
      <c r="E46" s="152"/>
      <c r="F46" s="152"/>
      <c r="G46" s="156"/>
      <c r="H46" s="156">
        <v>260</v>
      </c>
      <c r="I46" s="156">
        <f t="shared" ref="I46:T46" si="29">H46*(1+$X$13)</f>
        <v>267.02</v>
      </c>
      <c r="J46" s="156">
        <f t="shared" si="29"/>
        <v>274.22953999999999</v>
      </c>
      <c r="K46" s="156">
        <f t="shared" si="29"/>
        <v>281.63373757999994</v>
      </c>
      <c r="L46" s="156">
        <f t="shared" si="29"/>
        <v>289.23784849465994</v>
      </c>
      <c r="M46" s="156">
        <f t="shared" si="29"/>
        <v>297.04727040401576</v>
      </c>
      <c r="N46" s="156">
        <f t="shared" si="29"/>
        <v>305.06754670492415</v>
      </c>
      <c r="O46" s="156">
        <f t="shared" si="29"/>
        <v>313.30437046595711</v>
      </c>
      <c r="P46" s="156">
        <f t="shared" si="29"/>
        <v>321.76358846853793</v>
      </c>
      <c r="Q46" s="156">
        <f t="shared" si="29"/>
        <v>330.45120535718843</v>
      </c>
      <c r="R46" s="156">
        <f t="shared" si="29"/>
        <v>339.37338790183247</v>
      </c>
      <c r="S46" s="156">
        <f t="shared" si="29"/>
        <v>348.53646937518192</v>
      </c>
      <c r="T46" s="156">
        <f t="shared" si="29"/>
        <v>357.9469540483118</v>
      </c>
      <c r="U46" s="155"/>
    </row>
    <row r="47" spans="3:21" ht="25.5">
      <c r="C47" s="170" t="s">
        <v>4158</v>
      </c>
      <c r="D47" s="95"/>
      <c r="E47" s="152"/>
      <c r="F47" s="152"/>
      <c r="G47" s="156"/>
      <c r="H47" s="156">
        <f>H46*(H52+H69+H90)</f>
        <v>715000</v>
      </c>
      <c r="I47" s="156">
        <f t="shared" ref="I47:T47" si="30">I46*(I52+I69+I90)</f>
        <v>1101457.5</v>
      </c>
      <c r="J47" s="156">
        <f t="shared" si="30"/>
        <v>1357436.223</v>
      </c>
      <c r="K47" s="156">
        <f t="shared" si="30"/>
        <v>1548985.5566899998</v>
      </c>
      <c r="L47" s="156">
        <f t="shared" si="30"/>
        <v>1590808.1667206297</v>
      </c>
      <c r="M47" s="156">
        <f t="shared" si="30"/>
        <v>1633759.9872220866</v>
      </c>
      <c r="N47" s="156">
        <f t="shared" si="30"/>
        <v>1677871.5068770829</v>
      </c>
      <c r="O47" s="156">
        <f t="shared" si="30"/>
        <v>1723174.037562764</v>
      </c>
      <c r="P47" s="156">
        <f t="shared" si="30"/>
        <v>1769699.7365769586</v>
      </c>
      <c r="Q47" s="156">
        <f t="shared" si="30"/>
        <v>1817481.6294645364</v>
      </c>
      <c r="R47" s="156">
        <f t="shared" si="30"/>
        <v>1866553.6334600786</v>
      </c>
      <c r="S47" s="156">
        <f t="shared" si="30"/>
        <v>1916950.5815635007</v>
      </c>
      <c r="T47" s="156">
        <f t="shared" si="30"/>
        <v>1968708.2472657149</v>
      </c>
      <c r="U47" s="155"/>
    </row>
    <row r="48" spans="3:21" ht="25.5">
      <c r="C48" s="170" t="s">
        <v>4160</v>
      </c>
      <c r="D48" s="95"/>
      <c r="E48" s="152"/>
      <c r="F48" s="152"/>
      <c r="G48" s="156"/>
      <c r="H48" s="156">
        <f>105000</f>
        <v>105000</v>
      </c>
      <c r="I48" s="156">
        <f>H48</f>
        <v>105000</v>
      </c>
      <c r="J48" s="156">
        <f>230000</f>
        <v>230000</v>
      </c>
      <c r="K48" s="156">
        <f t="shared" ref="K48:T48" si="31">J48*(1+$X$13)</f>
        <v>236209.99999999997</v>
      </c>
      <c r="L48" s="156">
        <f t="shared" si="31"/>
        <v>242587.66999999995</v>
      </c>
      <c r="M48" s="156">
        <f t="shared" si="31"/>
        <v>249137.53708999994</v>
      </c>
      <c r="N48" s="156">
        <f t="shared" si="31"/>
        <v>255864.25059142991</v>
      </c>
      <c r="O48" s="156">
        <f t="shared" si="31"/>
        <v>262772.58535739849</v>
      </c>
      <c r="P48" s="156">
        <f t="shared" si="31"/>
        <v>269867.44516204821</v>
      </c>
      <c r="Q48" s="156">
        <f t="shared" si="31"/>
        <v>277153.86618142348</v>
      </c>
      <c r="R48" s="156">
        <f t="shared" si="31"/>
        <v>284637.02056832187</v>
      </c>
      <c r="S48" s="156">
        <f t="shared" si="31"/>
        <v>292322.22012366651</v>
      </c>
      <c r="T48" s="156">
        <f t="shared" si="31"/>
        <v>300214.9200670055</v>
      </c>
      <c r="U48" s="155"/>
    </row>
    <row r="49" spans="2:22"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</row>
    <row r="50" spans="2:22">
      <c r="B50" s="233" t="s">
        <v>4130</v>
      </c>
      <c r="C50" s="233" t="s">
        <v>4128</v>
      </c>
      <c r="D50" s="158"/>
      <c r="E50" s="159"/>
      <c r="F50" s="159"/>
      <c r="G50" s="160"/>
      <c r="H50" s="496" t="s">
        <v>4129</v>
      </c>
      <c r="I50" s="497"/>
      <c r="J50" s="497"/>
      <c r="K50" s="497"/>
      <c r="L50" s="497"/>
      <c r="M50" s="497"/>
      <c r="N50" s="497"/>
      <c r="O50" s="497"/>
      <c r="P50" s="497"/>
      <c r="Q50" s="497"/>
      <c r="R50" s="497"/>
      <c r="S50" s="497"/>
      <c r="T50" s="497"/>
      <c r="U50" s="155"/>
    </row>
    <row r="51" spans="2:22" ht="25.5">
      <c r="B51" s="499" t="s">
        <v>4144</v>
      </c>
      <c r="C51" s="170" t="s">
        <v>4125</v>
      </c>
      <c r="D51" s="95"/>
      <c r="E51" s="95"/>
      <c r="F51" s="95"/>
      <c r="G51" s="164"/>
      <c r="H51" s="162">
        <f>15500*50%</f>
        <v>7750</v>
      </c>
      <c r="I51" s="162">
        <f>15500*75%</f>
        <v>11625</v>
      </c>
      <c r="J51" s="162">
        <f>15500*90%</f>
        <v>13950</v>
      </c>
      <c r="K51" s="162">
        <v>15500</v>
      </c>
      <c r="L51" s="162">
        <f>K51</f>
        <v>15500</v>
      </c>
      <c r="M51" s="162">
        <f t="shared" ref="M51:T51" si="32">L51</f>
        <v>15500</v>
      </c>
      <c r="N51" s="162">
        <f t="shared" si="32"/>
        <v>15500</v>
      </c>
      <c r="O51" s="162">
        <f t="shared" si="32"/>
        <v>15500</v>
      </c>
      <c r="P51" s="162">
        <f t="shared" si="32"/>
        <v>15500</v>
      </c>
      <c r="Q51" s="162">
        <f t="shared" si="32"/>
        <v>15500</v>
      </c>
      <c r="R51" s="162">
        <f t="shared" si="32"/>
        <v>15500</v>
      </c>
      <c r="S51" s="162">
        <f t="shared" si="32"/>
        <v>15500</v>
      </c>
      <c r="T51" s="162">
        <f t="shared" si="32"/>
        <v>15500</v>
      </c>
      <c r="U51" s="155" t="s">
        <v>4186</v>
      </c>
    </row>
    <row r="52" spans="2:22" ht="25.5">
      <c r="B52" s="499"/>
      <c r="C52" s="170" t="s">
        <v>4126</v>
      </c>
      <c r="D52" s="95"/>
      <c r="E52" s="95"/>
      <c r="F52" s="95"/>
      <c r="G52" s="95"/>
      <c r="H52" s="96">
        <f>K52*50%</f>
        <v>2750</v>
      </c>
      <c r="I52" s="96">
        <f>K52*75%</f>
        <v>4125</v>
      </c>
      <c r="J52" s="96">
        <f>K52*90%</f>
        <v>4950</v>
      </c>
      <c r="K52" s="96">
        <v>5500</v>
      </c>
      <c r="L52" s="96">
        <v>5500</v>
      </c>
      <c r="M52" s="96">
        <v>5500</v>
      </c>
      <c r="N52" s="96">
        <v>5500</v>
      </c>
      <c r="O52" s="96">
        <v>5500</v>
      </c>
      <c r="P52" s="96">
        <v>5500</v>
      </c>
      <c r="Q52" s="96">
        <v>5500</v>
      </c>
      <c r="R52" s="96">
        <v>5500</v>
      </c>
      <c r="S52" s="96">
        <v>5500</v>
      </c>
      <c r="T52" s="96">
        <v>5500</v>
      </c>
      <c r="U52" s="227" t="s">
        <v>4183</v>
      </c>
    </row>
    <row r="53" spans="2:22">
      <c r="B53" s="499"/>
      <c r="C53" s="170" t="s">
        <v>4127</v>
      </c>
      <c r="D53" s="95"/>
      <c r="E53" s="95"/>
      <c r="F53" s="95"/>
      <c r="G53" s="95"/>
      <c r="H53" s="96">
        <f>11000*50%</f>
        <v>5500</v>
      </c>
      <c r="I53" s="96">
        <f>12000*75%</f>
        <v>9000</v>
      </c>
      <c r="J53" s="96">
        <f>12000*90%</f>
        <v>10800</v>
      </c>
      <c r="K53" s="96">
        <v>12000</v>
      </c>
      <c r="L53" s="96">
        <v>12000</v>
      </c>
      <c r="M53" s="96">
        <v>12000</v>
      </c>
      <c r="N53" s="96">
        <v>12000</v>
      </c>
      <c r="O53" s="96">
        <v>12000</v>
      </c>
      <c r="P53" s="96">
        <v>12000</v>
      </c>
      <c r="Q53" s="96">
        <v>12000</v>
      </c>
      <c r="R53" s="96">
        <v>12000</v>
      </c>
      <c r="S53" s="96">
        <v>12000</v>
      </c>
      <c r="T53" s="96">
        <v>12000</v>
      </c>
      <c r="U53" s="227" t="s">
        <v>4181</v>
      </c>
    </row>
    <row r="54" spans="2:22">
      <c r="B54" s="499"/>
      <c r="C54" s="170" t="s">
        <v>4097</v>
      </c>
      <c r="D54" s="95"/>
      <c r="E54" s="95"/>
      <c r="F54" s="95"/>
      <c r="G54" s="95"/>
      <c r="H54" s="96">
        <f>2000*50%</f>
        <v>1000</v>
      </c>
      <c r="I54" s="96">
        <f>2000*75%</f>
        <v>1500</v>
      </c>
      <c r="J54" s="96">
        <f>2000*90%</f>
        <v>1800</v>
      </c>
      <c r="K54" s="96">
        <v>2000</v>
      </c>
      <c r="L54" s="96">
        <v>2000</v>
      </c>
      <c r="M54" s="96">
        <v>2000</v>
      </c>
      <c r="N54" s="96">
        <v>2000</v>
      </c>
      <c r="O54" s="96">
        <v>2000</v>
      </c>
      <c r="P54" s="96">
        <v>2000</v>
      </c>
      <c r="Q54" s="96">
        <v>2000</v>
      </c>
      <c r="R54" s="96">
        <v>2000</v>
      </c>
      <c r="S54" s="96">
        <v>2000</v>
      </c>
      <c r="T54" s="96">
        <v>2000</v>
      </c>
      <c r="U54" s="227" t="s">
        <v>4181</v>
      </c>
    </row>
    <row r="55" spans="2:22">
      <c r="B55" s="452"/>
      <c r="C55" s="170"/>
      <c r="D55" s="95"/>
      <c r="E55" s="95"/>
      <c r="F55" s="95"/>
      <c r="G55" s="95"/>
      <c r="H55" s="496" t="s">
        <v>4131</v>
      </c>
      <c r="I55" s="497"/>
      <c r="J55" s="497"/>
      <c r="K55" s="497"/>
      <c r="L55" s="497"/>
      <c r="M55" s="497"/>
      <c r="N55" s="497"/>
      <c r="O55" s="497"/>
      <c r="P55" s="497"/>
      <c r="Q55" s="497"/>
      <c r="R55" s="497"/>
      <c r="S55" s="497"/>
      <c r="T55" s="497"/>
    </row>
    <row r="56" spans="2:22" ht="25.5">
      <c r="B56" s="499" t="s">
        <v>4143</v>
      </c>
      <c r="C56" s="170" t="s">
        <v>4125</v>
      </c>
      <c r="D56" s="95"/>
      <c r="E56" s="95"/>
      <c r="F56" s="95"/>
      <c r="G56" s="95"/>
      <c r="H56" s="96">
        <f>270*(1-V56)</f>
        <v>270</v>
      </c>
      <c r="I56" s="96">
        <f t="shared" ref="I56:T57" si="33">H56*(1+$X$13)</f>
        <v>277.28999999999996</v>
      </c>
      <c r="J56" s="96">
        <f t="shared" si="33"/>
        <v>284.77682999999996</v>
      </c>
      <c r="K56" s="96">
        <f t="shared" si="33"/>
        <v>292.46580440999992</v>
      </c>
      <c r="L56" s="96">
        <f t="shared" si="33"/>
        <v>300.36238112906989</v>
      </c>
      <c r="M56" s="96">
        <f t="shared" si="33"/>
        <v>308.47216541955476</v>
      </c>
      <c r="N56" s="96">
        <f t="shared" si="33"/>
        <v>316.80091388588272</v>
      </c>
      <c r="O56" s="96">
        <f t="shared" si="33"/>
        <v>325.35453856080153</v>
      </c>
      <c r="P56" s="96">
        <f t="shared" si="33"/>
        <v>334.13911110194312</v>
      </c>
      <c r="Q56" s="96">
        <f t="shared" si="33"/>
        <v>343.16086710169554</v>
      </c>
      <c r="R56" s="96">
        <f t="shared" si="33"/>
        <v>352.42621051344128</v>
      </c>
      <c r="S56" s="96">
        <f t="shared" si="33"/>
        <v>361.94171819730417</v>
      </c>
      <c r="T56" s="96">
        <f t="shared" si="33"/>
        <v>371.71414458863137</v>
      </c>
      <c r="U56" s="436"/>
      <c r="V56" s="226"/>
    </row>
    <row r="57" spans="2:22" ht="25.5">
      <c r="B57" s="499"/>
      <c r="C57" s="170" t="s">
        <v>4126</v>
      </c>
      <c r="D57" s="95"/>
      <c r="E57" s="95"/>
      <c r="F57" s="95"/>
      <c r="G57" s="95"/>
      <c r="H57" s="389">
        <f>360</f>
        <v>360</v>
      </c>
      <c r="I57" s="96">
        <f t="shared" si="33"/>
        <v>369.71999999999997</v>
      </c>
      <c r="J57" s="96">
        <f t="shared" si="33"/>
        <v>379.70243999999991</v>
      </c>
      <c r="K57" s="96">
        <f t="shared" si="33"/>
        <v>389.95440587999985</v>
      </c>
      <c r="L57" s="96">
        <f t="shared" si="33"/>
        <v>400.48317483875979</v>
      </c>
      <c r="M57" s="96">
        <f t="shared" si="33"/>
        <v>411.29622055940627</v>
      </c>
      <c r="N57" s="96">
        <f t="shared" si="33"/>
        <v>422.40121851451022</v>
      </c>
      <c r="O57" s="96">
        <f t="shared" si="33"/>
        <v>433.80605141440196</v>
      </c>
      <c r="P57" s="96">
        <f t="shared" si="33"/>
        <v>445.51881480259078</v>
      </c>
      <c r="Q57" s="96">
        <f t="shared" si="33"/>
        <v>457.54782280226067</v>
      </c>
      <c r="R57" s="96">
        <f t="shared" si="33"/>
        <v>469.90161401792164</v>
      </c>
      <c r="S57" s="96">
        <f t="shared" si="33"/>
        <v>482.58895759640546</v>
      </c>
      <c r="T57" s="96">
        <f t="shared" si="33"/>
        <v>495.61885945150834</v>
      </c>
      <c r="U57" s="436"/>
    </row>
    <row r="58" spans="2:22">
      <c r="B58" s="499"/>
      <c r="C58" s="170" t="s">
        <v>4127</v>
      </c>
      <c r="D58" s="95"/>
      <c r="E58" s="95"/>
      <c r="F58" s="95"/>
      <c r="G58" s="95"/>
      <c r="H58" s="96">
        <v>90</v>
      </c>
      <c r="I58" s="96">
        <f>H58*(1+$X$7)</f>
        <v>94.5</v>
      </c>
      <c r="J58" s="96">
        <f t="shared" ref="J58:T59" si="34">I58*(1+$X$7)</f>
        <v>99.225000000000009</v>
      </c>
      <c r="K58" s="96">
        <f t="shared" si="34"/>
        <v>104.18625000000002</v>
      </c>
      <c r="L58" s="96">
        <f t="shared" si="34"/>
        <v>109.39556250000003</v>
      </c>
      <c r="M58" s="96">
        <f t="shared" si="34"/>
        <v>114.86534062500003</v>
      </c>
      <c r="N58" s="96">
        <f t="shared" si="34"/>
        <v>120.60860765625004</v>
      </c>
      <c r="O58" s="96">
        <f t="shared" si="34"/>
        <v>126.63903803906256</v>
      </c>
      <c r="P58" s="96">
        <f t="shared" si="34"/>
        <v>132.97098994101569</v>
      </c>
      <c r="Q58" s="96">
        <f t="shared" si="34"/>
        <v>139.61953943806648</v>
      </c>
      <c r="R58" s="96">
        <f t="shared" si="34"/>
        <v>146.6005164099698</v>
      </c>
      <c r="S58" s="96">
        <f t="shared" si="34"/>
        <v>153.93054223046829</v>
      </c>
      <c r="T58" s="96">
        <f t="shared" si="34"/>
        <v>161.6270693419917</v>
      </c>
    </row>
    <row r="59" spans="2:22">
      <c r="B59" s="499"/>
      <c r="C59" s="170" t="s">
        <v>4097</v>
      </c>
      <c r="D59" s="95"/>
      <c r="E59" s="95"/>
      <c r="F59" s="95"/>
      <c r="G59" s="95"/>
      <c r="H59" s="96">
        <v>2500</v>
      </c>
      <c r="I59" s="96">
        <f>H59*(1+$X$7)</f>
        <v>2625</v>
      </c>
      <c r="J59" s="96">
        <f>I59*(1+$X$7)</f>
        <v>2756.25</v>
      </c>
      <c r="K59" s="96">
        <f t="shared" si="34"/>
        <v>2894.0625</v>
      </c>
      <c r="L59" s="96">
        <f t="shared" si="34"/>
        <v>3038.765625</v>
      </c>
      <c r="M59" s="96">
        <f t="shared" si="34"/>
        <v>3190.7039062500003</v>
      </c>
      <c r="N59" s="96">
        <f t="shared" si="34"/>
        <v>3350.2391015625003</v>
      </c>
      <c r="O59" s="96">
        <f t="shared" si="34"/>
        <v>3517.7510566406254</v>
      </c>
      <c r="P59" s="96">
        <f t="shared" si="34"/>
        <v>3693.6386094726568</v>
      </c>
      <c r="Q59" s="96">
        <f t="shared" si="34"/>
        <v>3878.32053994629</v>
      </c>
      <c r="R59" s="96">
        <f t="shared" si="34"/>
        <v>4072.2365669436044</v>
      </c>
      <c r="S59" s="96">
        <f t="shared" si="34"/>
        <v>4275.8483952907845</v>
      </c>
      <c r="T59" s="96">
        <f t="shared" si="34"/>
        <v>4489.6408150553243</v>
      </c>
    </row>
    <row r="60" spans="2:22">
      <c r="B60" s="170"/>
      <c r="C60" s="170"/>
      <c r="D60" s="95"/>
      <c r="E60" s="95"/>
      <c r="F60" s="95"/>
      <c r="G60" s="95"/>
      <c r="H60" s="496" t="s">
        <v>4132</v>
      </c>
      <c r="I60" s="497"/>
      <c r="J60" s="497"/>
      <c r="K60" s="497"/>
      <c r="L60" s="497"/>
      <c r="M60" s="497"/>
      <c r="N60" s="497"/>
      <c r="O60" s="497"/>
      <c r="P60" s="497"/>
      <c r="Q60" s="497"/>
      <c r="R60" s="497"/>
      <c r="S60" s="497"/>
      <c r="T60" s="497"/>
    </row>
    <row r="61" spans="2:22" ht="25.5">
      <c r="B61" s="499" t="s">
        <v>4133</v>
      </c>
      <c r="C61" s="170" t="s">
        <v>4125</v>
      </c>
      <c r="D61" s="95"/>
      <c r="E61" s="95"/>
      <c r="F61" s="95"/>
      <c r="G61" s="95"/>
      <c r="H61" s="390">
        <f>H51*H56</f>
        <v>2092500</v>
      </c>
      <c r="I61" s="96">
        <f t="shared" ref="I61:T61" si="35">I51*I56</f>
        <v>3223496.2499999995</v>
      </c>
      <c r="J61" s="96">
        <f t="shared" si="35"/>
        <v>3972636.7784999995</v>
      </c>
      <c r="K61" s="96">
        <f t="shared" si="35"/>
        <v>4533219.9683549991</v>
      </c>
      <c r="L61" s="96">
        <f t="shared" si="35"/>
        <v>4655616.9075005837</v>
      </c>
      <c r="M61" s="96">
        <f t="shared" si="35"/>
        <v>4781318.5640030988</v>
      </c>
      <c r="N61" s="96">
        <f t="shared" si="35"/>
        <v>4910414.1652311822</v>
      </c>
      <c r="O61" s="96">
        <f t="shared" si="35"/>
        <v>5042995.3476924235</v>
      </c>
      <c r="P61" s="96">
        <f t="shared" si="35"/>
        <v>5179156.222080118</v>
      </c>
      <c r="Q61" s="96">
        <f t="shared" si="35"/>
        <v>5318993.4400762813</v>
      </c>
      <c r="R61" s="96">
        <f t="shared" si="35"/>
        <v>5462606.2629583394</v>
      </c>
      <c r="S61" s="96">
        <f t="shared" si="35"/>
        <v>5610096.6320582144</v>
      </c>
      <c r="T61" s="96">
        <f t="shared" si="35"/>
        <v>5761569.2411237862</v>
      </c>
    </row>
    <row r="62" spans="2:22" ht="25.5">
      <c r="B62" s="499"/>
      <c r="C62" s="170" t="s">
        <v>4126</v>
      </c>
      <c r="D62" s="95"/>
      <c r="E62" s="95"/>
      <c r="F62" s="95"/>
      <c r="G62" s="95"/>
      <c r="H62" s="390">
        <f t="shared" ref="H62:T64" si="36">H52*H57</f>
        <v>990000</v>
      </c>
      <c r="I62" s="96">
        <f t="shared" si="36"/>
        <v>1525094.9999999998</v>
      </c>
      <c r="J62" s="96">
        <f t="shared" si="36"/>
        <v>1879527.0779999995</v>
      </c>
      <c r="K62" s="96">
        <f t="shared" si="36"/>
        <v>2144749.2323399992</v>
      </c>
      <c r="L62" s="96">
        <f t="shared" si="36"/>
        <v>2202657.4616131787</v>
      </c>
      <c r="M62" s="96">
        <f t="shared" si="36"/>
        <v>2262129.2130767344</v>
      </c>
      <c r="N62" s="96">
        <f t="shared" si="36"/>
        <v>2323206.7018298064</v>
      </c>
      <c r="O62" s="96">
        <f t="shared" si="36"/>
        <v>2385933.2827792107</v>
      </c>
      <c r="P62" s="96">
        <f t="shared" si="36"/>
        <v>2450353.4814142492</v>
      </c>
      <c r="Q62" s="96">
        <f t="shared" si="36"/>
        <v>2516513.0254124338</v>
      </c>
      <c r="R62" s="96">
        <f t="shared" si="36"/>
        <v>2584458.8770985692</v>
      </c>
      <c r="S62" s="96">
        <f t="shared" si="36"/>
        <v>2654239.2667802302</v>
      </c>
      <c r="T62" s="96">
        <f t="shared" si="36"/>
        <v>2725903.7269832958</v>
      </c>
    </row>
    <row r="63" spans="2:22">
      <c r="B63" s="499"/>
      <c r="C63" s="170" t="s">
        <v>4127</v>
      </c>
      <c r="D63" s="95"/>
      <c r="E63" s="95"/>
      <c r="F63" s="95"/>
      <c r="G63" s="95"/>
      <c r="H63" s="96">
        <f>H53*H58</f>
        <v>495000</v>
      </c>
      <c r="I63" s="96">
        <f t="shared" si="36"/>
        <v>850500</v>
      </c>
      <c r="J63" s="96">
        <f t="shared" si="36"/>
        <v>1071630</v>
      </c>
      <c r="K63" s="96">
        <f t="shared" si="36"/>
        <v>1250235.0000000002</v>
      </c>
      <c r="L63" s="96">
        <f t="shared" si="36"/>
        <v>1312746.7500000002</v>
      </c>
      <c r="M63" s="96">
        <f t="shared" si="36"/>
        <v>1378384.0875000004</v>
      </c>
      <c r="N63" s="96">
        <f t="shared" si="36"/>
        <v>1447303.2918750006</v>
      </c>
      <c r="O63" s="96">
        <f t="shared" si="36"/>
        <v>1519668.4564687507</v>
      </c>
      <c r="P63" s="96">
        <f t="shared" si="36"/>
        <v>1595651.8792921882</v>
      </c>
      <c r="Q63" s="96">
        <f t="shared" si="36"/>
        <v>1675434.4732567978</v>
      </c>
      <c r="R63" s="96">
        <f t="shared" si="36"/>
        <v>1759206.1969196375</v>
      </c>
      <c r="S63" s="96">
        <f t="shared" si="36"/>
        <v>1847166.5067656194</v>
      </c>
      <c r="T63" s="96">
        <f t="shared" si="36"/>
        <v>1939524.8321039004</v>
      </c>
    </row>
    <row r="64" spans="2:22">
      <c r="B64" s="499"/>
      <c r="C64" s="170" t="s">
        <v>4097</v>
      </c>
      <c r="D64" s="95"/>
      <c r="E64" s="95"/>
      <c r="F64" s="95"/>
      <c r="G64" s="95"/>
      <c r="H64" s="96">
        <f t="shared" si="36"/>
        <v>2500000</v>
      </c>
      <c r="I64" s="96">
        <f t="shared" si="36"/>
        <v>3937500</v>
      </c>
      <c r="J64" s="96">
        <f t="shared" si="36"/>
        <v>4961250</v>
      </c>
      <c r="K64" s="96">
        <f t="shared" si="36"/>
        <v>5788125</v>
      </c>
      <c r="L64" s="96">
        <f t="shared" si="36"/>
        <v>6077531.25</v>
      </c>
      <c r="M64" s="96">
        <f t="shared" si="36"/>
        <v>6381407.8125000009</v>
      </c>
      <c r="N64" s="96">
        <f t="shared" si="36"/>
        <v>6700478.2031250009</v>
      </c>
      <c r="O64" s="96">
        <f t="shared" si="36"/>
        <v>7035502.1132812509</v>
      </c>
      <c r="P64" s="96">
        <f t="shared" si="36"/>
        <v>7387277.2189453132</v>
      </c>
      <c r="Q64" s="96">
        <f t="shared" si="36"/>
        <v>7756641.0798925795</v>
      </c>
      <c r="R64" s="96">
        <f t="shared" si="36"/>
        <v>8144473.133887209</v>
      </c>
      <c r="S64" s="96">
        <f t="shared" si="36"/>
        <v>8551696.7905815691</v>
      </c>
      <c r="T64" s="96">
        <f t="shared" si="36"/>
        <v>8979281.6301106494</v>
      </c>
    </row>
    <row r="65" spans="2:22">
      <c r="C65" s="22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</row>
    <row r="66" spans="2:22">
      <c r="C66" s="227"/>
    </row>
    <row r="67" spans="2:22" hidden="1">
      <c r="B67" s="233" t="s">
        <v>4130</v>
      </c>
      <c r="C67" s="233" t="s">
        <v>4128</v>
      </c>
      <c r="D67" s="158"/>
      <c r="E67" s="159"/>
      <c r="F67" s="159"/>
      <c r="G67" s="160"/>
      <c r="H67" s="496" t="s">
        <v>4129</v>
      </c>
      <c r="I67" s="497"/>
      <c r="J67" s="497"/>
      <c r="K67" s="497"/>
      <c r="L67" s="497"/>
      <c r="M67" s="497"/>
      <c r="N67" s="497"/>
      <c r="O67" s="497"/>
      <c r="P67" s="497"/>
      <c r="Q67" s="497"/>
      <c r="R67" s="497"/>
      <c r="S67" s="497"/>
      <c r="T67" s="497"/>
    </row>
    <row r="68" spans="2:22" ht="38.25" hidden="1">
      <c r="B68" s="499" t="s">
        <v>4140</v>
      </c>
      <c r="C68" s="170" t="s">
        <v>4137</v>
      </c>
      <c r="D68" s="95"/>
      <c r="E68" s="95"/>
      <c r="F68" s="95"/>
      <c r="G68" s="95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227" t="s">
        <v>4181</v>
      </c>
    </row>
    <row r="69" spans="2:22" ht="25.5" hidden="1">
      <c r="B69" s="499"/>
      <c r="C69" s="170" t="s">
        <v>4126</v>
      </c>
      <c r="D69" s="95"/>
      <c r="E69" s="95"/>
      <c r="F69" s="95"/>
      <c r="G69" s="95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227" t="s">
        <v>4183</v>
      </c>
    </row>
    <row r="70" spans="2:22" hidden="1">
      <c r="B70" s="499"/>
      <c r="C70" s="170" t="s">
        <v>4148</v>
      </c>
      <c r="D70" s="95"/>
      <c r="E70" s="95"/>
      <c r="F70" s="95"/>
      <c r="G70" s="95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227" t="s">
        <v>4181</v>
      </c>
    </row>
    <row r="71" spans="2:22" ht="25.5" hidden="1">
      <c r="B71" s="499"/>
      <c r="C71" s="170" t="s">
        <v>4125</v>
      </c>
      <c r="D71" s="95"/>
      <c r="E71" s="95"/>
      <c r="F71" s="95"/>
      <c r="G71" s="95"/>
      <c r="H71" s="162"/>
      <c r="I71" s="162"/>
      <c r="J71" s="162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155" t="s">
        <v>4186</v>
      </c>
    </row>
    <row r="72" spans="2:22" hidden="1">
      <c r="B72" s="170"/>
      <c r="C72" s="170"/>
      <c r="D72" s="95"/>
      <c r="E72" s="95"/>
      <c r="F72" s="95"/>
      <c r="G72" s="95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</row>
    <row r="73" spans="2:22" hidden="1">
      <c r="B73" s="170"/>
      <c r="C73" s="170"/>
      <c r="D73" s="95"/>
      <c r="E73" s="95"/>
      <c r="F73" s="95"/>
      <c r="G73" s="95"/>
      <c r="H73" s="496" t="s">
        <v>4131</v>
      </c>
      <c r="I73" s="497"/>
      <c r="J73" s="497"/>
      <c r="K73" s="497"/>
      <c r="L73" s="497"/>
      <c r="M73" s="497"/>
      <c r="N73" s="497"/>
      <c r="O73" s="497"/>
      <c r="P73" s="497"/>
      <c r="Q73" s="497"/>
      <c r="R73" s="497"/>
      <c r="S73" s="497"/>
      <c r="T73" s="497"/>
    </row>
    <row r="74" spans="2:22" ht="38.25" hidden="1">
      <c r="B74" s="499" t="s">
        <v>4141</v>
      </c>
      <c r="C74" s="170" t="s">
        <v>4137</v>
      </c>
      <c r="D74" s="95"/>
      <c r="E74" s="95"/>
      <c r="F74" s="95"/>
      <c r="G74" s="95"/>
      <c r="H74" s="96">
        <v>30</v>
      </c>
      <c r="I74" s="96">
        <f>H74*(1+$X$7)</f>
        <v>31.5</v>
      </c>
      <c r="J74" s="96">
        <f t="shared" ref="J74:T74" si="37">I74*(1+$X$7)</f>
        <v>33.075000000000003</v>
      </c>
      <c r="K74" s="96">
        <f t="shared" si="37"/>
        <v>34.728750000000005</v>
      </c>
      <c r="L74" s="96">
        <f t="shared" si="37"/>
        <v>36.465187500000006</v>
      </c>
      <c r="M74" s="96">
        <f t="shared" si="37"/>
        <v>38.288446875000005</v>
      </c>
      <c r="N74" s="96">
        <f t="shared" si="37"/>
        <v>40.20286921875001</v>
      </c>
      <c r="O74" s="96">
        <f t="shared" si="37"/>
        <v>42.213012679687509</v>
      </c>
      <c r="P74" s="96">
        <f t="shared" si="37"/>
        <v>44.323663313671886</v>
      </c>
      <c r="Q74" s="96">
        <f t="shared" si="37"/>
        <v>46.539846479355482</v>
      </c>
      <c r="R74" s="96">
        <f t="shared" si="37"/>
        <v>48.866838803323262</v>
      </c>
      <c r="S74" s="96">
        <f t="shared" si="37"/>
        <v>51.310180743489425</v>
      </c>
      <c r="T74" s="96">
        <f t="shared" si="37"/>
        <v>53.875689780663897</v>
      </c>
    </row>
    <row r="75" spans="2:22" ht="25.5" hidden="1">
      <c r="B75" s="499"/>
      <c r="C75" s="170" t="s">
        <v>4126</v>
      </c>
      <c r="D75" s="95"/>
      <c r="E75" s="95"/>
      <c r="F75" s="95"/>
      <c r="G75" s="95"/>
      <c r="H75" s="389">
        <f>360</f>
        <v>360</v>
      </c>
      <c r="I75" s="96">
        <f t="shared" ref="I75:T75" si="38">H75*(1+$X$13)</f>
        <v>369.71999999999997</v>
      </c>
      <c r="J75" s="96">
        <f t="shared" si="38"/>
        <v>379.70243999999991</v>
      </c>
      <c r="K75" s="96">
        <f t="shared" si="38"/>
        <v>389.95440587999985</v>
      </c>
      <c r="L75" s="96">
        <f t="shared" si="38"/>
        <v>400.48317483875979</v>
      </c>
      <c r="M75" s="96">
        <f t="shared" si="38"/>
        <v>411.29622055940627</v>
      </c>
      <c r="N75" s="96">
        <f t="shared" si="38"/>
        <v>422.40121851451022</v>
      </c>
      <c r="O75" s="96">
        <f t="shared" si="38"/>
        <v>433.80605141440196</v>
      </c>
      <c r="P75" s="96">
        <f t="shared" si="38"/>
        <v>445.51881480259078</v>
      </c>
      <c r="Q75" s="96">
        <f t="shared" si="38"/>
        <v>457.54782280226067</v>
      </c>
      <c r="R75" s="96">
        <f t="shared" si="38"/>
        <v>469.90161401792164</v>
      </c>
      <c r="S75" s="96">
        <f t="shared" si="38"/>
        <v>482.58895759640546</v>
      </c>
      <c r="T75" s="96">
        <f t="shared" si="38"/>
        <v>495.61885945150834</v>
      </c>
      <c r="U75" s="436"/>
    </row>
    <row r="76" spans="2:22" hidden="1">
      <c r="B76" s="499"/>
      <c r="C76" s="170" t="s">
        <v>4148</v>
      </c>
      <c r="D76" s="95"/>
      <c r="E76" s="95"/>
      <c r="F76" s="95"/>
      <c r="G76" s="95"/>
      <c r="H76" s="96">
        <v>2500</v>
      </c>
      <c r="I76" s="96">
        <f>H76*(1+$X$7)</f>
        <v>2625</v>
      </c>
      <c r="J76" s="96">
        <f t="shared" ref="J76:T76" si="39">I76*(1+$X$7)</f>
        <v>2756.25</v>
      </c>
      <c r="K76" s="96">
        <f t="shared" si="39"/>
        <v>2894.0625</v>
      </c>
      <c r="L76" s="96">
        <f t="shared" si="39"/>
        <v>3038.765625</v>
      </c>
      <c r="M76" s="96">
        <f t="shared" si="39"/>
        <v>3190.7039062500003</v>
      </c>
      <c r="N76" s="96">
        <f t="shared" si="39"/>
        <v>3350.2391015625003</v>
      </c>
      <c r="O76" s="96">
        <f t="shared" si="39"/>
        <v>3517.7510566406254</v>
      </c>
      <c r="P76" s="96">
        <f t="shared" si="39"/>
        <v>3693.6386094726568</v>
      </c>
      <c r="Q76" s="96">
        <f t="shared" si="39"/>
        <v>3878.32053994629</v>
      </c>
      <c r="R76" s="96">
        <f t="shared" si="39"/>
        <v>4072.2365669436044</v>
      </c>
      <c r="S76" s="96">
        <f t="shared" si="39"/>
        <v>4275.8483952907845</v>
      </c>
      <c r="T76" s="96">
        <f t="shared" si="39"/>
        <v>4489.6408150553243</v>
      </c>
      <c r="U76" s="436"/>
      <c r="V76" s="226"/>
    </row>
    <row r="77" spans="2:22" ht="25.5" hidden="1">
      <c r="B77" s="499"/>
      <c r="C77" s="170" t="s">
        <v>4125</v>
      </c>
      <c r="D77" s="95"/>
      <c r="E77" s="95"/>
      <c r="F77" s="95"/>
      <c r="G77" s="95"/>
      <c r="H77" s="96">
        <f>270</f>
        <v>270</v>
      </c>
      <c r="I77" s="96">
        <f t="shared" ref="I77:T77" si="40">H77*(1+$X$13)</f>
        <v>277.28999999999996</v>
      </c>
      <c r="J77" s="96">
        <f t="shared" si="40"/>
        <v>284.77682999999996</v>
      </c>
      <c r="K77" s="96">
        <f t="shared" si="40"/>
        <v>292.46580440999992</v>
      </c>
      <c r="L77" s="96">
        <f t="shared" si="40"/>
        <v>300.36238112906989</v>
      </c>
      <c r="M77" s="96">
        <f t="shared" si="40"/>
        <v>308.47216541955476</v>
      </c>
      <c r="N77" s="96">
        <f t="shared" si="40"/>
        <v>316.80091388588272</v>
      </c>
      <c r="O77" s="96">
        <f t="shared" si="40"/>
        <v>325.35453856080153</v>
      </c>
      <c r="P77" s="96">
        <f t="shared" si="40"/>
        <v>334.13911110194312</v>
      </c>
      <c r="Q77" s="96">
        <f t="shared" si="40"/>
        <v>343.16086710169554</v>
      </c>
      <c r="R77" s="96">
        <f t="shared" si="40"/>
        <v>352.42621051344128</v>
      </c>
      <c r="S77" s="96">
        <f t="shared" si="40"/>
        <v>361.94171819730417</v>
      </c>
      <c r="T77" s="96">
        <f t="shared" si="40"/>
        <v>371.71414458863137</v>
      </c>
      <c r="U77" s="436"/>
    </row>
    <row r="78" spans="2:22" hidden="1">
      <c r="B78" s="170"/>
      <c r="C78" s="170"/>
      <c r="D78" s="95"/>
      <c r="E78" s="95"/>
      <c r="F78" s="95"/>
      <c r="G78" s="95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</row>
    <row r="79" spans="2:22" hidden="1">
      <c r="B79" s="170"/>
      <c r="C79" s="170"/>
      <c r="D79" s="95"/>
      <c r="E79" s="95"/>
      <c r="F79" s="95"/>
      <c r="G79" s="95"/>
      <c r="H79" s="496" t="s">
        <v>4132</v>
      </c>
      <c r="I79" s="497"/>
      <c r="J79" s="497"/>
      <c r="K79" s="497"/>
      <c r="L79" s="497"/>
      <c r="M79" s="497"/>
      <c r="N79" s="497"/>
      <c r="O79" s="497"/>
      <c r="P79" s="497"/>
      <c r="Q79" s="497"/>
      <c r="R79" s="497"/>
      <c r="S79" s="497"/>
      <c r="T79" s="497"/>
    </row>
    <row r="80" spans="2:22" ht="38.25" hidden="1">
      <c r="B80" s="499" t="s">
        <v>4134</v>
      </c>
      <c r="C80" s="170" t="s">
        <v>4137</v>
      </c>
      <c r="D80" s="95"/>
      <c r="E80" s="95"/>
      <c r="F80" s="95"/>
      <c r="G80" s="95"/>
      <c r="H80" s="96">
        <f>H68*H74</f>
        <v>0</v>
      </c>
      <c r="I80" s="96">
        <f t="shared" ref="I80:T80" si="41">I68*I74</f>
        <v>0</v>
      </c>
      <c r="J80" s="96">
        <f t="shared" si="41"/>
        <v>0</v>
      </c>
      <c r="K80" s="96">
        <f t="shared" si="41"/>
        <v>0</v>
      </c>
      <c r="L80" s="96">
        <f t="shared" si="41"/>
        <v>0</v>
      </c>
      <c r="M80" s="96">
        <f t="shared" si="41"/>
        <v>0</v>
      </c>
      <c r="N80" s="96">
        <f t="shared" si="41"/>
        <v>0</v>
      </c>
      <c r="O80" s="96">
        <f t="shared" si="41"/>
        <v>0</v>
      </c>
      <c r="P80" s="96">
        <f t="shared" si="41"/>
        <v>0</v>
      </c>
      <c r="Q80" s="96">
        <f t="shared" si="41"/>
        <v>0</v>
      </c>
      <c r="R80" s="96">
        <f t="shared" si="41"/>
        <v>0</v>
      </c>
      <c r="S80" s="96">
        <f t="shared" si="41"/>
        <v>0</v>
      </c>
      <c r="T80" s="96">
        <f t="shared" si="41"/>
        <v>0</v>
      </c>
    </row>
    <row r="81" spans="1:21" ht="25.5" hidden="1">
      <c r="B81" s="499"/>
      <c r="C81" s="170" t="s">
        <v>4126</v>
      </c>
      <c r="D81" s="95"/>
      <c r="E81" s="95"/>
      <c r="F81" s="95"/>
      <c r="G81" s="95"/>
      <c r="H81" s="390">
        <f t="shared" ref="H81:T83" si="42">H69*H75</f>
        <v>0</v>
      </c>
      <c r="I81" s="96">
        <f t="shared" si="42"/>
        <v>0</v>
      </c>
      <c r="J81" s="96">
        <f t="shared" si="42"/>
        <v>0</v>
      </c>
      <c r="K81" s="96">
        <f t="shared" si="42"/>
        <v>0</v>
      </c>
      <c r="L81" s="96">
        <f t="shared" si="42"/>
        <v>0</v>
      </c>
      <c r="M81" s="96">
        <f t="shared" si="42"/>
        <v>0</v>
      </c>
      <c r="N81" s="96">
        <f t="shared" si="42"/>
        <v>0</v>
      </c>
      <c r="O81" s="96">
        <f t="shared" si="42"/>
        <v>0</v>
      </c>
      <c r="P81" s="96">
        <f t="shared" si="42"/>
        <v>0</v>
      </c>
      <c r="Q81" s="96">
        <f t="shared" si="42"/>
        <v>0</v>
      </c>
      <c r="R81" s="96">
        <f t="shared" si="42"/>
        <v>0</v>
      </c>
      <c r="S81" s="96">
        <f t="shared" si="42"/>
        <v>0</v>
      </c>
      <c r="T81" s="96">
        <f t="shared" si="42"/>
        <v>0</v>
      </c>
    </row>
    <row r="82" spans="1:21" hidden="1">
      <c r="B82" s="499"/>
      <c r="C82" s="170" t="s">
        <v>4148</v>
      </c>
      <c r="D82" s="95"/>
      <c r="E82" s="95"/>
      <c r="F82" s="95"/>
      <c r="G82" s="95"/>
      <c r="H82" s="390">
        <f t="shared" si="42"/>
        <v>0</v>
      </c>
      <c r="I82" s="96">
        <f t="shared" si="42"/>
        <v>0</v>
      </c>
      <c r="J82" s="96">
        <f t="shared" si="42"/>
        <v>0</v>
      </c>
      <c r="K82" s="96">
        <f t="shared" si="42"/>
        <v>0</v>
      </c>
      <c r="L82" s="96">
        <f t="shared" si="42"/>
        <v>0</v>
      </c>
      <c r="M82" s="96">
        <f t="shared" si="42"/>
        <v>0</v>
      </c>
      <c r="N82" s="96">
        <f t="shared" si="42"/>
        <v>0</v>
      </c>
      <c r="O82" s="96">
        <f t="shared" si="42"/>
        <v>0</v>
      </c>
      <c r="P82" s="96">
        <f t="shared" si="42"/>
        <v>0</v>
      </c>
      <c r="Q82" s="96">
        <f t="shared" si="42"/>
        <v>0</v>
      </c>
      <c r="R82" s="96">
        <f t="shared" si="42"/>
        <v>0</v>
      </c>
      <c r="S82" s="96">
        <f t="shared" si="42"/>
        <v>0</v>
      </c>
      <c r="T82" s="96">
        <f t="shared" si="42"/>
        <v>0</v>
      </c>
    </row>
    <row r="83" spans="1:21" ht="25.5" hidden="1">
      <c r="B83" s="499"/>
      <c r="C83" s="170" t="s">
        <v>4125</v>
      </c>
      <c r="D83" s="95"/>
      <c r="E83" s="95"/>
      <c r="F83" s="95"/>
      <c r="G83" s="95"/>
      <c r="H83" s="390">
        <f t="shared" si="42"/>
        <v>0</v>
      </c>
      <c r="I83" s="96">
        <f>I71*I77</f>
        <v>0</v>
      </c>
      <c r="J83" s="96">
        <f t="shared" si="42"/>
        <v>0</v>
      </c>
      <c r="K83" s="96">
        <f t="shared" si="42"/>
        <v>0</v>
      </c>
      <c r="L83" s="96">
        <f t="shared" si="42"/>
        <v>0</v>
      </c>
      <c r="M83" s="96">
        <f t="shared" si="42"/>
        <v>0</v>
      </c>
      <c r="N83" s="96">
        <f t="shared" si="42"/>
        <v>0</v>
      </c>
      <c r="O83" s="96">
        <f t="shared" si="42"/>
        <v>0</v>
      </c>
      <c r="P83" s="96">
        <f t="shared" si="42"/>
        <v>0</v>
      </c>
      <c r="Q83" s="96">
        <f t="shared" si="42"/>
        <v>0</v>
      </c>
      <c r="R83" s="96">
        <f t="shared" si="42"/>
        <v>0</v>
      </c>
      <c r="S83" s="96">
        <f t="shared" si="42"/>
        <v>0</v>
      </c>
      <c r="T83" s="96">
        <f t="shared" si="42"/>
        <v>0</v>
      </c>
    </row>
    <row r="84" spans="1:21" hidden="1"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</row>
    <row r="85" spans="1:21" hidden="1"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</row>
    <row r="86" spans="1:21" hidden="1">
      <c r="B86" s="233" t="s">
        <v>4130</v>
      </c>
      <c r="C86" s="233" t="s">
        <v>4128</v>
      </c>
      <c r="D86" s="100"/>
      <c r="E86" s="100"/>
      <c r="F86" s="100"/>
      <c r="G86" s="230"/>
      <c r="H86" s="496" t="s">
        <v>4129</v>
      </c>
      <c r="I86" s="497"/>
      <c r="J86" s="497"/>
      <c r="K86" s="497"/>
      <c r="L86" s="497"/>
      <c r="M86" s="497"/>
      <c r="N86" s="497"/>
      <c r="O86" s="497"/>
      <c r="P86" s="497"/>
      <c r="Q86" s="497"/>
      <c r="R86" s="497"/>
      <c r="S86" s="497"/>
      <c r="T86" s="497"/>
    </row>
    <row r="87" spans="1:21" ht="12.75" hidden="1" customHeight="1">
      <c r="A87" s="161"/>
      <c r="B87" s="492" t="s">
        <v>4139</v>
      </c>
      <c r="C87" s="170" t="s">
        <v>4098</v>
      </c>
      <c r="D87" s="95"/>
      <c r="E87" s="95"/>
      <c r="F87" s="95"/>
      <c r="G87" s="95"/>
      <c r="H87" s="162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227" t="s">
        <v>4181</v>
      </c>
    </row>
    <row r="88" spans="1:21" hidden="1">
      <c r="A88" s="161"/>
      <c r="B88" s="493"/>
      <c r="C88" s="170"/>
      <c r="D88" s="95"/>
      <c r="E88" s="95"/>
      <c r="F88" s="95"/>
      <c r="G88" s="95"/>
      <c r="H88" s="162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227"/>
    </row>
    <row r="89" spans="1:21" hidden="1">
      <c r="A89" s="161"/>
      <c r="B89" s="493"/>
      <c r="C89" s="170" t="s">
        <v>4099</v>
      </c>
      <c r="D89" s="95"/>
      <c r="E89" s="95"/>
      <c r="F89" s="95"/>
      <c r="G89" s="95"/>
      <c r="H89" s="162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227" t="s">
        <v>4181</v>
      </c>
    </row>
    <row r="90" spans="1:21" hidden="1">
      <c r="A90" s="161"/>
      <c r="B90" s="493"/>
      <c r="C90" s="170" t="s">
        <v>4182</v>
      </c>
      <c r="D90" s="95"/>
      <c r="E90" s="95"/>
      <c r="F90" s="95"/>
      <c r="G90" s="95"/>
      <c r="H90" s="162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227" t="s">
        <v>4183</v>
      </c>
    </row>
    <row r="91" spans="1:21" hidden="1">
      <c r="A91" s="161"/>
      <c r="B91" s="493"/>
      <c r="C91" s="170" t="s">
        <v>4100</v>
      </c>
      <c r="D91" s="95"/>
      <c r="E91" s="95"/>
      <c r="F91" s="95"/>
      <c r="G91" s="95"/>
      <c r="H91" s="162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227" t="s">
        <v>4181</v>
      </c>
    </row>
    <row r="92" spans="1:21" hidden="1">
      <c r="A92" s="161"/>
      <c r="B92" s="494"/>
      <c r="C92" s="170"/>
      <c r="D92" s="95"/>
      <c r="E92" s="95"/>
      <c r="F92" s="95"/>
      <c r="G92" s="95"/>
      <c r="H92" s="96"/>
      <c r="I92" s="96"/>
      <c r="J92" s="96"/>
      <c r="K92" s="162"/>
      <c r="L92" s="96"/>
      <c r="M92" s="96"/>
      <c r="N92" s="96"/>
      <c r="O92" s="96"/>
      <c r="P92" s="96"/>
      <c r="Q92" s="96"/>
      <c r="R92" s="96"/>
      <c r="S92" s="96"/>
      <c r="T92" s="96"/>
      <c r="U92" s="155"/>
    </row>
    <row r="93" spans="1:21" ht="25.5" hidden="1">
      <c r="A93" s="161"/>
      <c r="B93" s="494"/>
      <c r="C93" s="170" t="s">
        <v>4138</v>
      </c>
      <c r="D93" s="95"/>
      <c r="E93" s="95"/>
      <c r="F93" s="95"/>
      <c r="G93" s="95"/>
      <c r="H93" s="390"/>
      <c r="I93" s="390"/>
      <c r="J93" s="390"/>
      <c r="K93" s="162"/>
      <c r="L93" s="96"/>
      <c r="M93" s="96"/>
      <c r="N93" s="96"/>
      <c r="O93" s="96"/>
      <c r="P93" s="96"/>
      <c r="Q93" s="96"/>
      <c r="R93" s="96"/>
      <c r="S93" s="96"/>
      <c r="T93" s="96"/>
      <c r="U93" s="155" t="s">
        <v>4186</v>
      </c>
    </row>
    <row r="94" spans="1:21" hidden="1">
      <c r="A94" s="161"/>
      <c r="B94" s="495"/>
      <c r="C94" s="170"/>
      <c r="D94" s="95"/>
      <c r="E94" s="95"/>
      <c r="F94" s="95"/>
      <c r="G94" s="95"/>
      <c r="H94" s="496" t="s">
        <v>4131</v>
      </c>
      <c r="I94" s="497"/>
      <c r="J94" s="497"/>
      <c r="K94" s="497"/>
      <c r="L94" s="497"/>
      <c r="M94" s="497"/>
      <c r="N94" s="497"/>
      <c r="O94" s="497"/>
      <c r="P94" s="497"/>
      <c r="Q94" s="497"/>
      <c r="R94" s="497"/>
      <c r="S94" s="497"/>
      <c r="T94" s="497"/>
    </row>
    <row r="95" spans="1:21" hidden="1">
      <c r="A95" s="161"/>
      <c r="B95" s="492" t="s">
        <v>4142</v>
      </c>
      <c r="C95" s="170" t="s">
        <v>4098</v>
      </c>
      <c r="D95" s="95"/>
      <c r="E95" s="95"/>
      <c r="F95" s="95"/>
      <c r="G95" s="95"/>
      <c r="H95" s="96">
        <v>80</v>
      </c>
      <c r="I95" s="96">
        <f>H95*(1+$X$7)</f>
        <v>84</v>
      </c>
      <c r="J95" s="96">
        <f t="shared" ref="J95:T95" si="43">I95*(1+$X$7)</f>
        <v>88.2</v>
      </c>
      <c r="K95" s="96">
        <f t="shared" si="43"/>
        <v>92.610000000000014</v>
      </c>
      <c r="L95" s="96">
        <f t="shared" si="43"/>
        <v>97.240500000000011</v>
      </c>
      <c r="M95" s="96">
        <f t="shared" si="43"/>
        <v>102.10252500000001</v>
      </c>
      <c r="N95" s="96">
        <f t="shared" si="43"/>
        <v>107.20765125000003</v>
      </c>
      <c r="O95" s="96">
        <f t="shared" si="43"/>
        <v>112.56803381250003</v>
      </c>
      <c r="P95" s="96">
        <f t="shared" si="43"/>
        <v>118.19643550312504</v>
      </c>
      <c r="Q95" s="96">
        <f t="shared" si="43"/>
        <v>124.1062572782813</v>
      </c>
      <c r="R95" s="96">
        <f t="shared" si="43"/>
        <v>130.31157014219536</v>
      </c>
      <c r="S95" s="96">
        <f t="shared" si="43"/>
        <v>136.82714864930514</v>
      </c>
      <c r="T95" s="96">
        <f t="shared" si="43"/>
        <v>143.6685060817704</v>
      </c>
    </row>
    <row r="96" spans="1:21" hidden="1">
      <c r="A96" s="161"/>
      <c r="B96" s="493"/>
      <c r="C96" s="170"/>
      <c r="D96" s="95"/>
      <c r="E96" s="95"/>
      <c r="F96" s="95"/>
      <c r="G96" s="95"/>
      <c r="H96" s="96"/>
      <c r="I96" s="96">
        <f t="shared" ref="I96:T96" si="44">H96*(1+$X$13)</f>
        <v>0</v>
      </c>
      <c r="J96" s="96">
        <f t="shared" si="44"/>
        <v>0</v>
      </c>
      <c r="K96" s="96">
        <f t="shared" si="44"/>
        <v>0</v>
      </c>
      <c r="L96" s="96">
        <f t="shared" si="44"/>
        <v>0</v>
      </c>
      <c r="M96" s="96">
        <f t="shared" si="44"/>
        <v>0</v>
      </c>
      <c r="N96" s="96">
        <f t="shared" si="44"/>
        <v>0</v>
      </c>
      <c r="O96" s="96">
        <f t="shared" si="44"/>
        <v>0</v>
      </c>
      <c r="P96" s="96">
        <f t="shared" si="44"/>
        <v>0</v>
      </c>
      <c r="Q96" s="96">
        <f t="shared" si="44"/>
        <v>0</v>
      </c>
      <c r="R96" s="96">
        <f t="shared" si="44"/>
        <v>0</v>
      </c>
      <c r="S96" s="96">
        <f t="shared" si="44"/>
        <v>0</v>
      </c>
      <c r="T96" s="96">
        <f t="shared" si="44"/>
        <v>0</v>
      </c>
    </row>
    <row r="97" spans="1:21" hidden="1">
      <c r="A97" s="161"/>
      <c r="B97" s="493"/>
      <c r="C97" s="170" t="s">
        <v>4099</v>
      </c>
      <c r="D97" s="95"/>
      <c r="E97" s="95"/>
      <c r="F97" s="95"/>
      <c r="G97" s="95"/>
      <c r="H97" s="96">
        <v>2500</v>
      </c>
      <c r="I97" s="96">
        <f>H97*(1+$X$7)</f>
        <v>2625</v>
      </c>
      <c r="J97" s="96">
        <f t="shared" ref="J97:T97" si="45">I97*(1+$X$7)</f>
        <v>2756.25</v>
      </c>
      <c r="K97" s="96">
        <f t="shared" si="45"/>
        <v>2894.0625</v>
      </c>
      <c r="L97" s="96">
        <f t="shared" si="45"/>
        <v>3038.765625</v>
      </c>
      <c r="M97" s="96">
        <f t="shared" si="45"/>
        <v>3190.7039062500003</v>
      </c>
      <c r="N97" s="96">
        <f t="shared" si="45"/>
        <v>3350.2391015625003</v>
      </c>
      <c r="O97" s="96">
        <f t="shared" si="45"/>
        <v>3517.7510566406254</v>
      </c>
      <c r="P97" s="96">
        <f t="shared" si="45"/>
        <v>3693.6386094726568</v>
      </c>
      <c r="Q97" s="96">
        <f t="shared" si="45"/>
        <v>3878.32053994629</v>
      </c>
      <c r="R97" s="96">
        <f t="shared" si="45"/>
        <v>4072.2365669436044</v>
      </c>
      <c r="S97" s="96">
        <f t="shared" si="45"/>
        <v>4275.8483952907845</v>
      </c>
      <c r="T97" s="96">
        <f t="shared" si="45"/>
        <v>4489.6408150553243</v>
      </c>
    </row>
    <row r="98" spans="1:21" hidden="1">
      <c r="A98" s="161"/>
      <c r="B98" s="493"/>
      <c r="C98" s="170" t="s">
        <v>4182</v>
      </c>
      <c r="D98" s="95"/>
      <c r="E98" s="95"/>
      <c r="F98" s="95"/>
      <c r="G98" s="95"/>
      <c r="H98" s="389">
        <f>360</f>
        <v>360</v>
      </c>
      <c r="I98" s="96">
        <f t="shared" ref="I98:T98" si="46">H98*(1+$X$13)</f>
        <v>369.71999999999997</v>
      </c>
      <c r="J98" s="96">
        <f t="shared" si="46"/>
        <v>379.70243999999991</v>
      </c>
      <c r="K98" s="96">
        <f t="shared" si="46"/>
        <v>389.95440587999985</v>
      </c>
      <c r="L98" s="96">
        <f t="shared" si="46"/>
        <v>400.48317483875979</v>
      </c>
      <c r="M98" s="96">
        <f t="shared" si="46"/>
        <v>411.29622055940627</v>
      </c>
      <c r="N98" s="96">
        <f t="shared" si="46"/>
        <v>422.40121851451022</v>
      </c>
      <c r="O98" s="96">
        <f t="shared" si="46"/>
        <v>433.80605141440196</v>
      </c>
      <c r="P98" s="96">
        <f t="shared" si="46"/>
        <v>445.51881480259078</v>
      </c>
      <c r="Q98" s="96">
        <f t="shared" si="46"/>
        <v>457.54782280226067</v>
      </c>
      <c r="R98" s="96">
        <f t="shared" si="46"/>
        <v>469.90161401792164</v>
      </c>
      <c r="S98" s="96">
        <f t="shared" si="46"/>
        <v>482.58895759640546</v>
      </c>
      <c r="T98" s="96">
        <f t="shared" si="46"/>
        <v>495.61885945150834</v>
      </c>
      <c r="U98" s="436"/>
    </row>
    <row r="99" spans="1:21" hidden="1">
      <c r="A99" s="161"/>
      <c r="B99" s="493"/>
      <c r="C99" s="170" t="s">
        <v>4100</v>
      </c>
      <c r="D99" s="95"/>
      <c r="E99" s="95"/>
      <c r="F99" s="95"/>
      <c r="G99" s="95"/>
      <c r="H99" s="96">
        <v>30</v>
      </c>
      <c r="I99" s="96">
        <f>H99*(1+$X$7)</f>
        <v>31.5</v>
      </c>
      <c r="J99" s="96">
        <f t="shared" ref="J99:T99" si="47">I99*(1+$X$7)</f>
        <v>33.075000000000003</v>
      </c>
      <c r="K99" s="96">
        <f t="shared" si="47"/>
        <v>34.728750000000005</v>
      </c>
      <c r="L99" s="96">
        <f t="shared" si="47"/>
        <v>36.465187500000006</v>
      </c>
      <c r="M99" s="96">
        <f t="shared" si="47"/>
        <v>38.288446875000005</v>
      </c>
      <c r="N99" s="96">
        <f t="shared" si="47"/>
        <v>40.20286921875001</v>
      </c>
      <c r="O99" s="96">
        <f t="shared" si="47"/>
        <v>42.213012679687509</v>
      </c>
      <c r="P99" s="96">
        <f t="shared" si="47"/>
        <v>44.323663313671886</v>
      </c>
      <c r="Q99" s="96">
        <f t="shared" si="47"/>
        <v>46.539846479355482</v>
      </c>
      <c r="R99" s="96">
        <f t="shared" si="47"/>
        <v>48.866838803323262</v>
      </c>
      <c r="S99" s="96">
        <f t="shared" si="47"/>
        <v>51.310180743489425</v>
      </c>
      <c r="T99" s="96">
        <f t="shared" si="47"/>
        <v>53.875689780663897</v>
      </c>
    </row>
    <row r="100" spans="1:21" hidden="1">
      <c r="A100" s="161"/>
      <c r="B100" s="494"/>
      <c r="C100" s="170"/>
      <c r="D100" s="95"/>
      <c r="E100" s="95"/>
      <c r="F100" s="95"/>
      <c r="G100" s="95"/>
      <c r="H100" s="96"/>
      <c r="I100" s="96">
        <f t="shared" ref="I100:T101" si="48">H100*(1+$X$13)</f>
        <v>0</v>
      </c>
      <c r="J100" s="96">
        <f t="shared" si="48"/>
        <v>0</v>
      </c>
      <c r="K100" s="96">
        <f t="shared" si="48"/>
        <v>0</v>
      </c>
      <c r="L100" s="96">
        <f t="shared" si="48"/>
        <v>0</v>
      </c>
      <c r="M100" s="96">
        <f t="shared" si="48"/>
        <v>0</v>
      </c>
      <c r="N100" s="96">
        <f t="shared" si="48"/>
        <v>0</v>
      </c>
      <c r="O100" s="96">
        <f t="shared" si="48"/>
        <v>0</v>
      </c>
      <c r="P100" s="96">
        <f t="shared" si="48"/>
        <v>0</v>
      </c>
      <c r="Q100" s="96">
        <f t="shared" si="48"/>
        <v>0</v>
      </c>
      <c r="R100" s="96">
        <f t="shared" si="48"/>
        <v>0</v>
      </c>
      <c r="S100" s="96">
        <f t="shared" si="48"/>
        <v>0</v>
      </c>
      <c r="T100" s="96">
        <f t="shared" si="48"/>
        <v>0</v>
      </c>
      <c r="U100" s="388">
        <v>1</v>
      </c>
    </row>
    <row r="101" spans="1:21" ht="25.5" hidden="1">
      <c r="A101" s="161"/>
      <c r="B101" s="494"/>
      <c r="C101" s="170" t="s">
        <v>4138</v>
      </c>
      <c r="D101" s="95"/>
      <c r="E101" s="95"/>
      <c r="F101" s="95"/>
      <c r="G101" s="95"/>
      <c r="H101" s="96">
        <v>67.5</v>
      </c>
      <c r="I101" s="96">
        <f t="shared" si="48"/>
        <v>69.322499999999991</v>
      </c>
      <c r="J101" s="96">
        <f t="shared" si="48"/>
        <v>71.19420749999999</v>
      </c>
      <c r="K101" s="96">
        <f t="shared" si="48"/>
        <v>73.11645110249998</v>
      </c>
      <c r="L101" s="96">
        <f t="shared" si="48"/>
        <v>75.090595282267472</v>
      </c>
      <c r="M101" s="96">
        <f t="shared" si="48"/>
        <v>77.118041354888689</v>
      </c>
      <c r="N101" s="96">
        <f t="shared" si="48"/>
        <v>79.20022847147068</v>
      </c>
      <c r="O101" s="96">
        <f t="shared" si="48"/>
        <v>81.338634640200382</v>
      </c>
      <c r="P101" s="96">
        <f t="shared" si="48"/>
        <v>83.534777775485779</v>
      </c>
      <c r="Q101" s="96">
        <f t="shared" si="48"/>
        <v>85.790216775423886</v>
      </c>
      <c r="R101" s="96">
        <f t="shared" si="48"/>
        <v>88.106552628360319</v>
      </c>
      <c r="S101" s="96">
        <f t="shared" si="48"/>
        <v>90.485429549326042</v>
      </c>
      <c r="T101" s="96">
        <f t="shared" si="48"/>
        <v>92.928536147157843</v>
      </c>
    </row>
    <row r="102" spans="1:21" hidden="1">
      <c r="A102" s="161"/>
      <c r="B102" s="495"/>
      <c r="C102" s="170"/>
      <c r="D102" s="95"/>
      <c r="E102" s="95"/>
      <c r="F102" s="95"/>
      <c r="G102" s="95"/>
      <c r="H102" s="496" t="s">
        <v>4132</v>
      </c>
      <c r="I102" s="497"/>
      <c r="J102" s="497"/>
      <c r="K102" s="497"/>
      <c r="L102" s="497"/>
      <c r="M102" s="497"/>
      <c r="N102" s="497"/>
      <c r="O102" s="497"/>
      <c r="P102" s="497"/>
      <c r="Q102" s="497"/>
      <c r="R102" s="497"/>
      <c r="S102" s="497"/>
      <c r="T102" s="497"/>
    </row>
    <row r="103" spans="1:21" hidden="1">
      <c r="A103" s="161"/>
      <c r="B103" s="492" t="s">
        <v>4135</v>
      </c>
      <c r="C103" s="170" t="s">
        <v>4098</v>
      </c>
      <c r="D103" s="95"/>
      <c r="E103" s="95"/>
      <c r="F103" s="95"/>
      <c r="G103" s="95"/>
      <c r="H103" s="96">
        <f t="shared" ref="H103:T109" si="49">H87*H95</f>
        <v>0</v>
      </c>
      <c r="I103" s="96">
        <f t="shared" si="49"/>
        <v>0</v>
      </c>
      <c r="J103" s="96">
        <f t="shared" si="49"/>
        <v>0</v>
      </c>
      <c r="K103" s="96">
        <f t="shared" si="49"/>
        <v>0</v>
      </c>
      <c r="L103" s="96">
        <f t="shared" si="49"/>
        <v>0</v>
      </c>
      <c r="M103" s="96">
        <f t="shared" si="49"/>
        <v>0</v>
      </c>
      <c r="N103" s="96">
        <f t="shared" si="49"/>
        <v>0</v>
      </c>
      <c r="O103" s="96">
        <f t="shared" si="49"/>
        <v>0</v>
      </c>
      <c r="P103" s="96">
        <f t="shared" si="49"/>
        <v>0</v>
      </c>
      <c r="Q103" s="96">
        <f t="shared" si="49"/>
        <v>0</v>
      </c>
      <c r="R103" s="96">
        <f t="shared" si="49"/>
        <v>0</v>
      </c>
      <c r="S103" s="96">
        <f t="shared" si="49"/>
        <v>0</v>
      </c>
      <c r="T103" s="96">
        <f t="shared" si="49"/>
        <v>0</v>
      </c>
    </row>
    <row r="104" spans="1:21" hidden="1">
      <c r="A104" s="161"/>
      <c r="B104" s="493"/>
      <c r="C104" s="170"/>
      <c r="D104" s="95"/>
      <c r="E104" s="95"/>
      <c r="F104" s="95"/>
      <c r="G104" s="95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</row>
    <row r="105" spans="1:21" hidden="1">
      <c r="A105" s="161"/>
      <c r="B105" s="493"/>
      <c r="C105" s="170" t="s">
        <v>4099</v>
      </c>
      <c r="D105" s="95"/>
      <c r="E105" s="95"/>
      <c r="F105" s="95"/>
      <c r="G105" s="95"/>
      <c r="H105" s="96">
        <f t="shared" si="49"/>
        <v>0</v>
      </c>
      <c r="I105" s="96">
        <f t="shared" si="49"/>
        <v>0</v>
      </c>
      <c r="J105" s="96">
        <f t="shared" si="49"/>
        <v>0</v>
      </c>
      <c r="K105" s="96">
        <f t="shared" si="49"/>
        <v>0</v>
      </c>
      <c r="L105" s="96">
        <f t="shared" si="49"/>
        <v>0</v>
      </c>
      <c r="M105" s="96">
        <f t="shared" si="49"/>
        <v>0</v>
      </c>
      <c r="N105" s="96">
        <f t="shared" si="49"/>
        <v>0</v>
      </c>
      <c r="O105" s="96">
        <f t="shared" si="49"/>
        <v>0</v>
      </c>
      <c r="P105" s="96">
        <f t="shared" si="49"/>
        <v>0</v>
      </c>
      <c r="Q105" s="96">
        <f t="shared" si="49"/>
        <v>0</v>
      </c>
      <c r="R105" s="96">
        <f t="shared" si="49"/>
        <v>0</v>
      </c>
      <c r="S105" s="96">
        <f t="shared" si="49"/>
        <v>0</v>
      </c>
      <c r="T105" s="96">
        <f t="shared" si="49"/>
        <v>0</v>
      </c>
    </row>
    <row r="106" spans="1:21" hidden="1">
      <c r="A106" s="161"/>
      <c r="B106" s="493"/>
      <c r="C106" s="170" t="s">
        <v>4182</v>
      </c>
      <c r="D106" s="95"/>
      <c r="E106" s="95"/>
      <c r="F106" s="95"/>
      <c r="G106" s="95"/>
      <c r="H106" s="390">
        <f t="shared" si="49"/>
        <v>0</v>
      </c>
      <c r="I106" s="96">
        <f t="shared" si="49"/>
        <v>0</v>
      </c>
      <c r="J106" s="96">
        <f t="shared" si="49"/>
        <v>0</v>
      </c>
      <c r="K106" s="96">
        <f t="shared" si="49"/>
        <v>0</v>
      </c>
      <c r="L106" s="96">
        <f t="shared" si="49"/>
        <v>0</v>
      </c>
      <c r="M106" s="96">
        <f t="shared" si="49"/>
        <v>0</v>
      </c>
      <c r="N106" s="96">
        <f t="shared" si="49"/>
        <v>0</v>
      </c>
      <c r="O106" s="96">
        <f t="shared" si="49"/>
        <v>0</v>
      </c>
      <c r="P106" s="96">
        <f t="shared" si="49"/>
        <v>0</v>
      </c>
      <c r="Q106" s="96">
        <f t="shared" si="49"/>
        <v>0</v>
      </c>
      <c r="R106" s="96">
        <f t="shared" si="49"/>
        <v>0</v>
      </c>
      <c r="S106" s="96">
        <f t="shared" si="49"/>
        <v>0</v>
      </c>
      <c r="T106" s="96">
        <f t="shared" si="49"/>
        <v>0</v>
      </c>
    </row>
    <row r="107" spans="1:21" hidden="1">
      <c r="A107" s="161"/>
      <c r="B107" s="493"/>
      <c r="C107" s="170" t="s">
        <v>4100</v>
      </c>
      <c r="D107" s="95"/>
      <c r="E107" s="95"/>
      <c r="F107" s="95"/>
      <c r="G107" s="95"/>
      <c r="H107" s="390">
        <f t="shared" si="49"/>
        <v>0</v>
      </c>
      <c r="I107" s="96">
        <f t="shared" si="49"/>
        <v>0</v>
      </c>
      <c r="J107" s="96">
        <f t="shared" si="49"/>
        <v>0</v>
      </c>
      <c r="K107" s="96">
        <f t="shared" si="49"/>
        <v>0</v>
      </c>
      <c r="L107" s="96">
        <f t="shared" si="49"/>
        <v>0</v>
      </c>
      <c r="M107" s="96">
        <f t="shared" si="49"/>
        <v>0</v>
      </c>
      <c r="N107" s="96">
        <f t="shared" si="49"/>
        <v>0</v>
      </c>
      <c r="O107" s="96">
        <f t="shared" si="49"/>
        <v>0</v>
      </c>
      <c r="P107" s="96">
        <f t="shared" si="49"/>
        <v>0</v>
      </c>
      <c r="Q107" s="96">
        <f t="shared" si="49"/>
        <v>0</v>
      </c>
      <c r="R107" s="96">
        <f t="shared" si="49"/>
        <v>0</v>
      </c>
      <c r="S107" s="96">
        <f t="shared" si="49"/>
        <v>0</v>
      </c>
      <c r="T107" s="96">
        <f t="shared" si="49"/>
        <v>0</v>
      </c>
    </row>
    <row r="108" spans="1:21" hidden="1">
      <c r="A108" s="161"/>
      <c r="B108" s="498"/>
      <c r="C108" s="170"/>
      <c r="D108" s="95"/>
      <c r="E108" s="95"/>
      <c r="F108" s="95"/>
      <c r="G108" s="95"/>
      <c r="H108" s="390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</row>
    <row r="109" spans="1:21" ht="25.5" hidden="1">
      <c r="B109" s="495"/>
      <c r="C109" s="170" t="s">
        <v>4138</v>
      </c>
      <c r="D109" s="95"/>
      <c r="E109" s="95"/>
      <c r="F109" s="95"/>
      <c r="G109" s="95"/>
      <c r="H109" s="390">
        <f t="shared" si="49"/>
        <v>0</v>
      </c>
      <c r="I109" s="96">
        <f t="shared" si="49"/>
        <v>0</v>
      </c>
      <c r="J109" s="96">
        <f t="shared" si="49"/>
        <v>0</v>
      </c>
      <c r="K109" s="96">
        <f t="shared" si="49"/>
        <v>0</v>
      </c>
      <c r="L109" s="96">
        <f t="shared" si="49"/>
        <v>0</v>
      </c>
      <c r="M109" s="96">
        <f t="shared" si="49"/>
        <v>0</v>
      </c>
      <c r="N109" s="96">
        <f t="shared" si="49"/>
        <v>0</v>
      </c>
      <c r="O109" s="96">
        <f t="shared" si="49"/>
        <v>0</v>
      </c>
      <c r="P109" s="96">
        <f t="shared" si="49"/>
        <v>0</v>
      </c>
      <c r="Q109" s="96">
        <f t="shared" si="49"/>
        <v>0</v>
      </c>
      <c r="R109" s="96">
        <f t="shared" si="49"/>
        <v>0</v>
      </c>
      <c r="S109" s="96">
        <f t="shared" si="49"/>
        <v>0</v>
      </c>
      <c r="T109" s="96">
        <f t="shared" si="49"/>
        <v>0</v>
      </c>
    </row>
    <row r="111" spans="1:21">
      <c r="C111" s="114" t="s">
        <v>4171</v>
      </c>
    </row>
    <row r="112" spans="1:21" s="114" customFormat="1" ht="25.5">
      <c r="C112" s="412" t="s">
        <v>4185</v>
      </c>
      <c r="D112" s="415"/>
      <c r="E112" s="231"/>
      <c r="F112" s="231"/>
      <c r="G112" s="416"/>
      <c r="H112" s="413">
        <f>H61+H83+H109</f>
        <v>2092500</v>
      </c>
      <c r="I112" s="413">
        <f t="shared" ref="I112:T112" si="50">I61+I83+I109</f>
        <v>3223496.2499999995</v>
      </c>
      <c r="J112" s="413">
        <f t="shared" si="50"/>
        <v>3972636.7784999995</v>
      </c>
      <c r="K112" s="413">
        <f t="shared" si="50"/>
        <v>4533219.9683549991</v>
      </c>
      <c r="L112" s="413">
        <f t="shared" si="50"/>
        <v>4655616.9075005837</v>
      </c>
      <c r="M112" s="413">
        <f t="shared" si="50"/>
        <v>4781318.5640030988</v>
      </c>
      <c r="N112" s="413">
        <f t="shared" si="50"/>
        <v>4910414.1652311822</v>
      </c>
      <c r="O112" s="413">
        <f t="shared" si="50"/>
        <v>5042995.3476924235</v>
      </c>
      <c r="P112" s="413">
        <f t="shared" si="50"/>
        <v>5179156.222080118</v>
      </c>
      <c r="Q112" s="413">
        <f t="shared" si="50"/>
        <v>5318993.4400762813</v>
      </c>
      <c r="R112" s="413">
        <f t="shared" si="50"/>
        <v>5462606.2629583394</v>
      </c>
      <c r="S112" s="413">
        <f t="shared" si="50"/>
        <v>5610096.6320582144</v>
      </c>
      <c r="T112" s="413">
        <f t="shared" si="50"/>
        <v>5761569.2411237862</v>
      </c>
    </row>
    <row r="113" spans="3:20" s="114" customFormat="1">
      <c r="C113" s="412" t="s">
        <v>4172</v>
      </c>
      <c r="D113" s="417"/>
      <c r="E113" s="414"/>
      <c r="F113" s="414"/>
      <c r="G113" s="418"/>
      <c r="H113" s="413">
        <f>H63+H64+H80+H82+H103+H104+H105+H107</f>
        <v>2995000</v>
      </c>
      <c r="I113" s="232">
        <f>I63+I64+I80+I82+I103+I104+I105+I107</f>
        <v>4788000</v>
      </c>
      <c r="J113" s="232">
        <f t="shared" ref="J113:T113" si="51">J63+J64+J80+J82+J103+J104+J105+J107</f>
        <v>6032880</v>
      </c>
      <c r="K113" s="232">
        <f t="shared" si="51"/>
        <v>7038360</v>
      </c>
      <c r="L113" s="232">
        <f t="shared" si="51"/>
        <v>7390278</v>
      </c>
      <c r="M113" s="232">
        <f t="shared" si="51"/>
        <v>7759791.9000000013</v>
      </c>
      <c r="N113" s="232">
        <f t="shared" si="51"/>
        <v>8147781.495000001</v>
      </c>
      <c r="O113" s="232">
        <f t="shared" si="51"/>
        <v>8555170.5697500017</v>
      </c>
      <c r="P113" s="232">
        <f t="shared" si="51"/>
        <v>8982929.0982375015</v>
      </c>
      <c r="Q113" s="232">
        <f t="shared" si="51"/>
        <v>9432075.5531493779</v>
      </c>
      <c r="R113" s="232">
        <f t="shared" si="51"/>
        <v>9903679.3308068458</v>
      </c>
      <c r="S113" s="232">
        <f t="shared" si="51"/>
        <v>10398863.297347188</v>
      </c>
      <c r="T113" s="232">
        <f t="shared" si="51"/>
        <v>10918806.46221455</v>
      </c>
    </row>
    <row r="114" spans="3:20" ht="25.5">
      <c r="C114" s="412" t="s">
        <v>4184</v>
      </c>
      <c r="D114" s="419"/>
      <c r="E114" s="420"/>
      <c r="F114" s="420"/>
      <c r="G114" s="421"/>
      <c r="H114" s="413">
        <f>H62+H81+H106</f>
        <v>990000</v>
      </c>
      <c r="I114" s="413">
        <f t="shared" ref="I114:T114" si="52">I62+I81+I106</f>
        <v>1525094.9999999998</v>
      </c>
      <c r="J114" s="413">
        <f t="shared" si="52"/>
        <v>1879527.0779999995</v>
      </c>
      <c r="K114" s="413">
        <f t="shared" si="52"/>
        <v>2144749.2323399992</v>
      </c>
      <c r="L114" s="413">
        <f t="shared" si="52"/>
        <v>2202657.4616131787</v>
      </c>
      <c r="M114" s="413">
        <f t="shared" si="52"/>
        <v>2262129.2130767344</v>
      </c>
      <c r="N114" s="413">
        <f t="shared" si="52"/>
        <v>2323206.7018298064</v>
      </c>
      <c r="O114" s="413">
        <f t="shared" si="52"/>
        <v>2385933.2827792107</v>
      </c>
      <c r="P114" s="413">
        <f t="shared" si="52"/>
        <v>2450353.4814142492</v>
      </c>
      <c r="Q114" s="413">
        <f t="shared" si="52"/>
        <v>2516513.0254124338</v>
      </c>
      <c r="R114" s="413">
        <f t="shared" si="52"/>
        <v>2584458.8770985692</v>
      </c>
      <c r="S114" s="413">
        <f t="shared" si="52"/>
        <v>2654239.2667802302</v>
      </c>
      <c r="T114" s="413">
        <f t="shared" si="52"/>
        <v>2725903.7269832958</v>
      </c>
    </row>
  </sheetData>
  <mergeCells count="51">
    <mergeCell ref="V11:X11"/>
    <mergeCell ref="B1:C1"/>
    <mergeCell ref="B2:C2"/>
    <mergeCell ref="B3:C3"/>
    <mergeCell ref="B4:C4"/>
    <mergeCell ref="B5:C5"/>
    <mergeCell ref="B6:C6"/>
    <mergeCell ref="B17:C17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H73:T73"/>
    <mergeCell ref="A30:B30"/>
    <mergeCell ref="A31:B31"/>
    <mergeCell ref="A32:B32"/>
    <mergeCell ref="H50:T50"/>
    <mergeCell ref="B51:B54"/>
    <mergeCell ref="H55:T55"/>
    <mergeCell ref="B56:B59"/>
    <mergeCell ref="H60:T60"/>
    <mergeCell ref="B61:B64"/>
    <mergeCell ref="H67:T67"/>
    <mergeCell ref="B68:B71"/>
    <mergeCell ref="B95:B102"/>
    <mergeCell ref="H102:T102"/>
    <mergeCell ref="B103:B109"/>
    <mergeCell ref="B74:B77"/>
    <mergeCell ref="H79:T79"/>
    <mergeCell ref="B80:B83"/>
    <mergeCell ref="H86:T86"/>
    <mergeCell ref="B87:B94"/>
    <mergeCell ref="H94:T94"/>
  </mergeCells>
  <pageMargins left="0" right="0" top="0" bottom="0" header="0" footer="0"/>
  <pageSetup paperSize="0" orientation="portrait" horizontalDpi="300" verticalDpi="300"/>
  <rowBreaks count="32" manualBreakCount="32">
    <brk id="1" max="16383" man="1"/>
    <brk id="2" max="16383" man="1"/>
    <brk id="3" max="16383" man="1"/>
    <brk id="4" max="16383" man="1"/>
    <brk id="5" max="16383" man="1"/>
    <brk id="6" max="16383" man="1"/>
    <brk id="7" max="16383" man="1"/>
    <brk id="8" max="16383" man="1"/>
    <brk id="9" max="16383" man="1"/>
    <brk id="10" max="16383" man="1"/>
    <brk id="11" max="16383" man="1"/>
    <brk id="12" max="16383" man="1"/>
    <brk id="13" max="16383" man="1"/>
    <brk id="14" max="16383" man="1"/>
    <brk id="15" max="16383" man="1"/>
    <brk id="16" max="16383" man="1"/>
    <brk id="17" max="16383" man="1"/>
    <brk id="18" max="16383" man="1"/>
    <brk id="19" max="16383" man="1"/>
    <brk id="20" max="16383" man="1"/>
    <brk id="21" max="16383" man="1"/>
    <brk id="22" max="16383" man="1"/>
    <brk id="23" max="16383" man="1"/>
    <brk id="24" max="16383" man="1"/>
    <brk id="25" max="16383" man="1"/>
    <brk id="26" max="16383" man="1"/>
    <brk id="27" max="16383" man="1"/>
    <brk id="28" max="16383" man="1"/>
    <brk id="29" max="16383" man="1"/>
    <brk id="30" max="16383" man="1"/>
    <brk id="31" max="16383" man="1"/>
    <brk id="3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B1:M2790"/>
  <sheetViews>
    <sheetView showGridLines="0" topLeftCell="A172" zoomScaleNormal="100" workbookViewId="0">
      <selection activeCell="F16" sqref="F16:F195"/>
    </sheetView>
  </sheetViews>
  <sheetFormatPr defaultColWidth="8.85546875" defaultRowHeight="12.75"/>
  <cols>
    <col min="1" max="1" width="5.140625" style="200" customWidth="1"/>
    <col min="2" max="2" width="32.85546875" style="200" bestFit="1" customWidth="1"/>
    <col min="3" max="3" width="19" style="200" customWidth="1"/>
    <col min="4" max="4" width="14.140625" style="200" customWidth="1"/>
    <col min="5" max="6" width="18.28515625" style="200" customWidth="1"/>
    <col min="7" max="7" width="22.42578125" style="200" customWidth="1"/>
    <col min="8" max="8" width="1.85546875" style="200" customWidth="1"/>
    <col min="9" max="9" width="31.85546875" style="200" bestFit="1" customWidth="1"/>
    <col min="10" max="10" width="12.42578125" style="200" customWidth="1"/>
    <col min="11" max="11" width="15.85546875" style="200" customWidth="1"/>
    <col min="12" max="12" width="1.42578125" style="200" customWidth="1"/>
    <col min="13" max="13" width="20.28515625" style="200" bestFit="1" customWidth="1"/>
    <col min="14" max="15" width="8.85546875" style="200"/>
    <col min="16" max="16" width="10.140625" style="200" bestFit="1" customWidth="1"/>
    <col min="17" max="258" width="8.85546875" style="200"/>
    <col min="259" max="259" width="13.85546875" style="200" customWidth="1"/>
    <col min="260" max="260" width="19" style="200" customWidth="1"/>
    <col min="261" max="261" width="14.140625" style="200" customWidth="1"/>
    <col min="262" max="262" width="18.28515625" style="200" customWidth="1"/>
    <col min="263" max="263" width="22.42578125" style="200" customWidth="1"/>
    <col min="264" max="264" width="8.85546875" style="200"/>
    <col min="265" max="265" width="13.28515625" style="200" customWidth="1"/>
    <col min="266" max="266" width="12.42578125" style="200" customWidth="1"/>
    <col min="267" max="267" width="15.85546875" style="200" customWidth="1"/>
    <col min="268" max="268" width="8.85546875" style="200"/>
    <col min="269" max="269" width="21.7109375" style="200" bestFit="1" customWidth="1"/>
    <col min="270" max="271" width="8.85546875" style="200"/>
    <col min="272" max="272" width="10.140625" style="200" bestFit="1" customWidth="1"/>
    <col min="273" max="514" width="8.85546875" style="200"/>
    <col min="515" max="515" width="13.85546875" style="200" customWidth="1"/>
    <col min="516" max="516" width="19" style="200" customWidth="1"/>
    <col min="517" max="517" width="14.140625" style="200" customWidth="1"/>
    <col min="518" max="518" width="18.28515625" style="200" customWidth="1"/>
    <col min="519" max="519" width="22.42578125" style="200" customWidth="1"/>
    <col min="520" max="520" width="8.85546875" style="200"/>
    <col min="521" max="521" width="13.28515625" style="200" customWidth="1"/>
    <col min="522" max="522" width="12.42578125" style="200" customWidth="1"/>
    <col min="523" max="523" width="15.85546875" style="200" customWidth="1"/>
    <col min="524" max="524" width="8.85546875" style="200"/>
    <col min="525" max="525" width="21.7109375" style="200" bestFit="1" customWidth="1"/>
    <col min="526" max="527" width="8.85546875" style="200"/>
    <col min="528" max="528" width="10.140625" style="200" bestFit="1" customWidth="1"/>
    <col min="529" max="770" width="8.85546875" style="200"/>
    <col min="771" max="771" width="13.85546875" style="200" customWidth="1"/>
    <col min="772" max="772" width="19" style="200" customWidth="1"/>
    <col min="773" max="773" width="14.140625" style="200" customWidth="1"/>
    <col min="774" max="774" width="18.28515625" style="200" customWidth="1"/>
    <col min="775" max="775" width="22.42578125" style="200" customWidth="1"/>
    <col min="776" max="776" width="8.85546875" style="200"/>
    <col min="777" max="777" width="13.28515625" style="200" customWidth="1"/>
    <col min="778" max="778" width="12.42578125" style="200" customWidth="1"/>
    <col min="779" max="779" width="15.85546875" style="200" customWidth="1"/>
    <col min="780" max="780" width="8.85546875" style="200"/>
    <col min="781" max="781" width="21.7109375" style="200" bestFit="1" customWidth="1"/>
    <col min="782" max="783" width="8.85546875" style="200"/>
    <col min="784" max="784" width="10.140625" style="200" bestFit="1" customWidth="1"/>
    <col min="785" max="1026" width="8.85546875" style="200"/>
    <col min="1027" max="1027" width="13.85546875" style="200" customWidth="1"/>
    <col min="1028" max="1028" width="19" style="200" customWidth="1"/>
    <col min="1029" max="1029" width="14.140625" style="200" customWidth="1"/>
    <col min="1030" max="1030" width="18.28515625" style="200" customWidth="1"/>
    <col min="1031" max="1031" width="22.42578125" style="200" customWidth="1"/>
    <col min="1032" max="1032" width="8.85546875" style="200"/>
    <col min="1033" max="1033" width="13.28515625" style="200" customWidth="1"/>
    <col min="1034" max="1034" width="12.42578125" style="200" customWidth="1"/>
    <col min="1035" max="1035" width="15.85546875" style="200" customWidth="1"/>
    <col min="1036" max="1036" width="8.85546875" style="200"/>
    <col min="1037" max="1037" width="21.7109375" style="200" bestFit="1" customWidth="1"/>
    <col min="1038" max="1039" width="8.85546875" style="200"/>
    <col min="1040" max="1040" width="10.140625" style="200" bestFit="1" customWidth="1"/>
    <col min="1041" max="1282" width="8.85546875" style="200"/>
    <col min="1283" max="1283" width="13.85546875" style="200" customWidth="1"/>
    <col min="1284" max="1284" width="19" style="200" customWidth="1"/>
    <col min="1285" max="1285" width="14.140625" style="200" customWidth="1"/>
    <col min="1286" max="1286" width="18.28515625" style="200" customWidth="1"/>
    <col min="1287" max="1287" width="22.42578125" style="200" customWidth="1"/>
    <col min="1288" max="1288" width="8.85546875" style="200"/>
    <col min="1289" max="1289" width="13.28515625" style="200" customWidth="1"/>
    <col min="1290" max="1290" width="12.42578125" style="200" customWidth="1"/>
    <col min="1291" max="1291" width="15.85546875" style="200" customWidth="1"/>
    <col min="1292" max="1292" width="8.85546875" style="200"/>
    <col min="1293" max="1293" width="21.7109375" style="200" bestFit="1" customWidth="1"/>
    <col min="1294" max="1295" width="8.85546875" style="200"/>
    <col min="1296" max="1296" width="10.140625" style="200" bestFit="1" customWidth="1"/>
    <col min="1297" max="1538" width="8.85546875" style="200"/>
    <col min="1539" max="1539" width="13.85546875" style="200" customWidth="1"/>
    <col min="1540" max="1540" width="19" style="200" customWidth="1"/>
    <col min="1541" max="1541" width="14.140625" style="200" customWidth="1"/>
    <col min="1542" max="1542" width="18.28515625" style="200" customWidth="1"/>
    <col min="1543" max="1543" width="22.42578125" style="200" customWidth="1"/>
    <col min="1544" max="1544" width="8.85546875" style="200"/>
    <col min="1545" max="1545" width="13.28515625" style="200" customWidth="1"/>
    <col min="1546" max="1546" width="12.42578125" style="200" customWidth="1"/>
    <col min="1547" max="1547" width="15.85546875" style="200" customWidth="1"/>
    <col min="1548" max="1548" width="8.85546875" style="200"/>
    <col min="1549" max="1549" width="21.7109375" style="200" bestFit="1" customWidth="1"/>
    <col min="1550" max="1551" width="8.85546875" style="200"/>
    <col min="1552" max="1552" width="10.140625" style="200" bestFit="1" customWidth="1"/>
    <col min="1553" max="1794" width="8.85546875" style="200"/>
    <col min="1795" max="1795" width="13.85546875" style="200" customWidth="1"/>
    <col min="1796" max="1796" width="19" style="200" customWidth="1"/>
    <col min="1797" max="1797" width="14.140625" style="200" customWidth="1"/>
    <col min="1798" max="1798" width="18.28515625" style="200" customWidth="1"/>
    <col min="1799" max="1799" width="22.42578125" style="200" customWidth="1"/>
    <col min="1800" max="1800" width="8.85546875" style="200"/>
    <col min="1801" max="1801" width="13.28515625" style="200" customWidth="1"/>
    <col min="1802" max="1802" width="12.42578125" style="200" customWidth="1"/>
    <col min="1803" max="1803" width="15.85546875" style="200" customWidth="1"/>
    <col min="1804" max="1804" width="8.85546875" style="200"/>
    <col min="1805" max="1805" width="21.7109375" style="200" bestFit="1" customWidth="1"/>
    <col min="1806" max="1807" width="8.85546875" style="200"/>
    <col min="1808" max="1808" width="10.140625" style="200" bestFit="1" customWidth="1"/>
    <col min="1809" max="2050" width="8.85546875" style="200"/>
    <col min="2051" max="2051" width="13.85546875" style="200" customWidth="1"/>
    <col min="2052" max="2052" width="19" style="200" customWidth="1"/>
    <col min="2053" max="2053" width="14.140625" style="200" customWidth="1"/>
    <col min="2054" max="2054" width="18.28515625" style="200" customWidth="1"/>
    <col min="2055" max="2055" width="22.42578125" style="200" customWidth="1"/>
    <col min="2056" max="2056" width="8.85546875" style="200"/>
    <col min="2057" max="2057" width="13.28515625" style="200" customWidth="1"/>
    <col min="2058" max="2058" width="12.42578125" style="200" customWidth="1"/>
    <col min="2059" max="2059" width="15.85546875" style="200" customWidth="1"/>
    <col min="2060" max="2060" width="8.85546875" style="200"/>
    <col min="2061" max="2061" width="21.7109375" style="200" bestFit="1" customWidth="1"/>
    <col min="2062" max="2063" width="8.85546875" style="200"/>
    <col min="2064" max="2064" width="10.140625" style="200" bestFit="1" customWidth="1"/>
    <col min="2065" max="2306" width="8.85546875" style="200"/>
    <col min="2307" max="2307" width="13.85546875" style="200" customWidth="1"/>
    <col min="2308" max="2308" width="19" style="200" customWidth="1"/>
    <col min="2309" max="2309" width="14.140625" style="200" customWidth="1"/>
    <col min="2310" max="2310" width="18.28515625" style="200" customWidth="1"/>
    <col min="2311" max="2311" width="22.42578125" style="200" customWidth="1"/>
    <col min="2312" max="2312" width="8.85546875" style="200"/>
    <col min="2313" max="2313" width="13.28515625" style="200" customWidth="1"/>
    <col min="2314" max="2314" width="12.42578125" style="200" customWidth="1"/>
    <col min="2315" max="2315" width="15.85546875" style="200" customWidth="1"/>
    <col min="2316" max="2316" width="8.85546875" style="200"/>
    <col min="2317" max="2317" width="21.7109375" style="200" bestFit="1" customWidth="1"/>
    <col min="2318" max="2319" width="8.85546875" style="200"/>
    <col min="2320" max="2320" width="10.140625" style="200" bestFit="1" customWidth="1"/>
    <col min="2321" max="2562" width="8.85546875" style="200"/>
    <col min="2563" max="2563" width="13.85546875" style="200" customWidth="1"/>
    <col min="2564" max="2564" width="19" style="200" customWidth="1"/>
    <col min="2565" max="2565" width="14.140625" style="200" customWidth="1"/>
    <col min="2566" max="2566" width="18.28515625" style="200" customWidth="1"/>
    <col min="2567" max="2567" width="22.42578125" style="200" customWidth="1"/>
    <col min="2568" max="2568" width="8.85546875" style="200"/>
    <col min="2569" max="2569" width="13.28515625" style="200" customWidth="1"/>
    <col min="2570" max="2570" width="12.42578125" style="200" customWidth="1"/>
    <col min="2571" max="2571" width="15.85546875" style="200" customWidth="1"/>
    <col min="2572" max="2572" width="8.85546875" style="200"/>
    <col min="2573" max="2573" width="21.7109375" style="200" bestFit="1" customWidth="1"/>
    <col min="2574" max="2575" width="8.85546875" style="200"/>
    <col min="2576" max="2576" width="10.140625" style="200" bestFit="1" customWidth="1"/>
    <col min="2577" max="2818" width="8.85546875" style="200"/>
    <col min="2819" max="2819" width="13.85546875" style="200" customWidth="1"/>
    <col min="2820" max="2820" width="19" style="200" customWidth="1"/>
    <col min="2821" max="2821" width="14.140625" style="200" customWidth="1"/>
    <col min="2822" max="2822" width="18.28515625" style="200" customWidth="1"/>
    <col min="2823" max="2823" width="22.42578125" style="200" customWidth="1"/>
    <col min="2824" max="2824" width="8.85546875" style="200"/>
    <col min="2825" max="2825" width="13.28515625" style="200" customWidth="1"/>
    <col min="2826" max="2826" width="12.42578125" style="200" customWidth="1"/>
    <col min="2827" max="2827" width="15.85546875" style="200" customWidth="1"/>
    <col min="2828" max="2828" width="8.85546875" style="200"/>
    <col min="2829" max="2829" width="21.7109375" style="200" bestFit="1" customWidth="1"/>
    <col min="2830" max="2831" width="8.85546875" style="200"/>
    <col min="2832" max="2832" width="10.140625" style="200" bestFit="1" customWidth="1"/>
    <col min="2833" max="3074" width="8.85546875" style="200"/>
    <col min="3075" max="3075" width="13.85546875" style="200" customWidth="1"/>
    <col min="3076" max="3076" width="19" style="200" customWidth="1"/>
    <col min="3077" max="3077" width="14.140625" style="200" customWidth="1"/>
    <col min="3078" max="3078" width="18.28515625" style="200" customWidth="1"/>
    <col min="3079" max="3079" width="22.42578125" style="200" customWidth="1"/>
    <col min="3080" max="3080" width="8.85546875" style="200"/>
    <col min="3081" max="3081" width="13.28515625" style="200" customWidth="1"/>
    <col min="3082" max="3082" width="12.42578125" style="200" customWidth="1"/>
    <col min="3083" max="3083" width="15.85546875" style="200" customWidth="1"/>
    <col min="3084" max="3084" width="8.85546875" style="200"/>
    <col min="3085" max="3085" width="21.7109375" style="200" bestFit="1" customWidth="1"/>
    <col min="3086" max="3087" width="8.85546875" style="200"/>
    <col min="3088" max="3088" width="10.140625" style="200" bestFit="1" customWidth="1"/>
    <col min="3089" max="3330" width="8.85546875" style="200"/>
    <col min="3331" max="3331" width="13.85546875" style="200" customWidth="1"/>
    <col min="3332" max="3332" width="19" style="200" customWidth="1"/>
    <col min="3333" max="3333" width="14.140625" style="200" customWidth="1"/>
    <col min="3334" max="3334" width="18.28515625" style="200" customWidth="1"/>
    <col min="3335" max="3335" width="22.42578125" style="200" customWidth="1"/>
    <col min="3336" max="3336" width="8.85546875" style="200"/>
    <col min="3337" max="3337" width="13.28515625" style="200" customWidth="1"/>
    <col min="3338" max="3338" width="12.42578125" style="200" customWidth="1"/>
    <col min="3339" max="3339" width="15.85546875" style="200" customWidth="1"/>
    <col min="3340" max="3340" width="8.85546875" style="200"/>
    <col min="3341" max="3341" width="21.7109375" style="200" bestFit="1" customWidth="1"/>
    <col min="3342" max="3343" width="8.85546875" style="200"/>
    <col min="3344" max="3344" width="10.140625" style="200" bestFit="1" customWidth="1"/>
    <col min="3345" max="3586" width="8.85546875" style="200"/>
    <col min="3587" max="3587" width="13.85546875" style="200" customWidth="1"/>
    <col min="3588" max="3588" width="19" style="200" customWidth="1"/>
    <col min="3589" max="3589" width="14.140625" style="200" customWidth="1"/>
    <col min="3590" max="3590" width="18.28515625" style="200" customWidth="1"/>
    <col min="3591" max="3591" width="22.42578125" style="200" customWidth="1"/>
    <col min="3592" max="3592" width="8.85546875" style="200"/>
    <col min="3593" max="3593" width="13.28515625" style="200" customWidth="1"/>
    <col min="3594" max="3594" width="12.42578125" style="200" customWidth="1"/>
    <col min="3595" max="3595" width="15.85546875" style="200" customWidth="1"/>
    <col min="3596" max="3596" width="8.85546875" style="200"/>
    <col min="3597" max="3597" width="21.7109375" style="200" bestFit="1" customWidth="1"/>
    <col min="3598" max="3599" width="8.85546875" style="200"/>
    <col min="3600" max="3600" width="10.140625" style="200" bestFit="1" customWidth="1"/>
    <col min="3601" max="3842" width="8.85546875" style="200"/>
    <col min="3843" max="3843" width="13.85546875" style="200" customWidth="1"/>
    <col min="3844" max="3844" width="19" style="200" customWidth="1"/>
    <col min="3845" max="3845" width="14.140625" style="200" customWidth="1"/>
    <col min="3846" max="3846" width="18.28515625" style="200" customWidth="1"/>
    <col min="3847" max="3847" width="22.42578125" style="200" customWidth="1"/>
    <col min="3848" max="3848" width="8.85546875" style="200"/>
    <col min="3849" max="3849" width="13.28515625" style="200" customWidth="1"/>
    <col min="3850" max="3850" width="12.42578125" style="200" customWidth="1"/>
    <col min="3851" max="3851" width="15.85546875" style="200" customWidth="1"/>
    <col min="3852" max="3852" width="8.85546875" style="200"/>
    <col min="3853" max="3853" width="21.7109375" style="200" bestFit="1" customWidth="1"/>
    <col min="3854" max="3855" width="8.85546875" style="200"/>
    <col min="3856" max="3856" width="10.140625" style="200" bestFit="1" customWidth="1"/>
    <col min="3857" max="4098" width="8.85546875" style="200"/>
    <col min="4099" max="4099" width="13.85546875" style="200" customWidth="1"/>
    <col min="4100" max="4100" width="19" style="200" customWidth="1"/>
    <col min="4101" max="4101" width="14.140625" style="200" customWidth="1"/>
    <col min="4102" max="4102" width="18.28515625" style="200" customWidth="1"/>
    <col min="4103" max="4103" width="22.42578125" style="200" customWidth="1"/>
    <col min="4104" max="4104" width="8.85546875" style="200"/>
    <col min="4105" max="4105" width="13.28515625" style="200" customWidth="1"/>
    <col min="4106" max="4106" width="12.42578125" style="200" customWidth="1"/>
    <col min="4107" max="4107" width="15.85546875" style="200" customWidth="1"/>
    <col min="4108" max="4108" width="8.85546875" style="200"/>
    <col min="4109" max="4109" width="21.7109375" style="200" bestFit="1" customWidth="1"/>
    <col min="4110" max="4111" width="8.85546875" style="200"/>
    <col min="4112" max="4112" width="10.140625" style="200" bestFit="1" customWidth="1"/>
    <col min="4113" max="4354" width="8.85546875" style="200"/>
    <col min="4355" max="4355" width="13.85546875" style="200" customWidth="1"/>
    <col min="4356" max="4356" width="19" style="200" customWidth="1"/>
    <col min="4357" max="4357" width="14.140625" style="200" customWidth="1"/>
    <col min="4358" max="4358" width="18.28515625" style="200" customWidth="1"/>
    <col min="4359" max="4359" width="22.42578125" style="200" customWidth="1"/>
    <col min="4360" max="4360" width="8.85546875" style="200"/>
    <col min="4361" max="4361" width="13.28515625" style="200" customWidth="1"/>
    <col min="4362" max="4362" width="12.42578125" style="200" customWidth="1"/>
    <col min="4363" max="4363" width="15.85546875" style="200" customWidth="1"/>
    <col min="4364" max="4364" width="8.85546875" style="200"/>
    <col min="4365" max="4365" width="21.7109375" style="200" bestFit="1" customWidth="1"/>
    <col min="4366" max="4367" width="8.85546875" style="200"/>
    <col min="4368" max="4368" width="10.140625" style="200" bestFit="1" customWidth="1"/>
    <col min="4369" max="4610" width="8.85546875" style="200"/>
    <col min="4611" max="4611" width="13.85546875" style="200" customWidth="1"/>
    <col min="4612" max="4612" width="19" style="200" customWidth="1"/>
    <col min="4613" max="4613" width="14.140625" style="200" customWidth="1"/>
    <col min="4614" max="4614" width="18.28515625" style="200" customWidth="1"/>
    <col min="4615" max="4615" width="22.42578125" style="200" customWidth="1"/>
    <col min="4616" max="4616" width="8.85546875" style="200"/>
    <col min="4617" max="4617" width="13.28515625" style="200" customWidth="1"/>
    <col min="4618" max="4618" width="12.42578125" style="200" customWidth="1"/>
    <col min="4619" max="4619" width="15.85546875" style="200" customWidth="1"/>
    <col min="4620" max="4620" width="8.85546875" style="200"/>
    <col min="4621" max="4621" width="21.7109375" style="200" bestFit="1" customWidth="1"/>
    <col min="4622" max="4623" width="8.85546875" style="200"/>
    <col min="4624" max="4624" width="10.140625" style="200" bestFit="1" customWidth="1"/>
    <col min="4625" max="4866" width="8.85546875" style="200"/>
    <col min="4867" max="4867" width="13.85546875" style="200" customWidth="1"/>
    <col min="4868" max="4868" width="19" style="200" customWidth="1"/>
    <col min="4869" max="4869" width="14.140625" style="200" customWidth="1"/>
    <col min="4870" max="4870" width="18.28515625" style="200" customWidth="1"/>
    <col min="4871" max="4871" width="22.42578125" style="200" customWidth="1"/>
    <col min="4872" max="4872" width="8.85546875" style="200"/>
    <col min="4873" max="4873" width="13.28515625" style="200" customWidth="1"/>
    <col min="4874" max="4874" width="12.42578125" style="200" customWidth="1"/>
    <col min="4875" max="4875" width="15.85546875" style="200" customWidth="1"/>
    <col min="4876" max="4876" width="8.85546875" style="200"/>
    <col min="4877" max="4877" width="21.7109375" style="200" bestFit="1" customWidth="1"/>
    <col min="4878" max="4879" width="8.85546875" style="200"/>
    <col min="4880" max="4880" width="10.140625" style="200" bestFit="1" customWidth="1"/>
    <col min="4881" max="5122" width="8.85546875" style="200"/>
    <col min="5123" max="5123" width="13.85546875" style="200" customWidth="1"/>
    <col min="5124" max="5124" width="19" style="200" customWidth="1"/>
    <col min="5125" max="5125" width="14.140625" style="200" customWidth="1"/>
    <col min="5126" max="5126" width="18.28515625" style="200" customWidth="1"/>
    <col min="5127" max="5127" width="22.42578125" style="200" customWidth="1"/>
    <col min="5128" max="5128" width="8.85546875" style="200"/>
    <col min="5129" max="5129" width="13.28515625" style="200" customWidth="1"/>
    <col min="5130" max="5130" width="12.42578125" style="200" customWidth="1"/>
    <col min="5131" max="5131" width="15.85546875" style="200" customWidth="1"/>
    <col min="5132" max="5132" width="8.85546875" style="200"/>
    <col min="5133" max="5133" width="21.7109375" style="200" bestFit="1" customWidth="1"/>
    <col min="5134" max="5135" width="8.85546875" style="200"/>
    <col min="5136" max="5136" width="10.140625" style="200" bestFit="1" customWidth="1"/>
    <col min="5137" max="5378" width="8.85546875" style="200"/>
    <col min="5379" max="5379" width="13.85546875" style="200" customWidth="1"/>
    <col min="5380" max="5380" width="19" style="200" customWidth="1"/>
    <col min="5381" max="5381" width="14.140625" style="200" customWidth="1"/>
    <col min="5382" max="5382" width="18.28515625" style="200" customWidth="1"/>
    <col min="5383" max="5383" width="22.42578125" style="200" customWidth="1"/>
    <col min="5384" max="5384" width="8.85546875" style="200"/>
    <col min="5385" max="5385" width="13.28515625" style="200" customWidth="1"/>
    <col min="5386" max="5386" width="12.42578125" style="200" customWidth="1"/>
    <col min="5387" max="5387" width="15.85546875" style="200" customWidth="1"/>
    <col min="5388" max="5388" width="8.85546875" style="200"/>
    <col min="5389" max="5389" width="21.7109375" style="200" bestFit="1" customWidth="1"/>
    <col min="5390" max="5391" width="8.85546875" style="200"/>
    <col min="5392" max="5392" width="10.140625" style="200" bestFit="1" customWidth="1"/>
    <col min="5393" max="5634" width="8.85546875" style="200"/>
    <col min="5635" max="5635" width="13.85546875" style="200" customWidth="1"/>
    <col min="5636" max="5636" width="19" style="200" customWidth="1"/>
    <col min="5637" max="5637" width="14.140625" style="200" customWidth="1"/>
    <col min="5638" max="5638" width="18.28515625" style="200" customWidth="1"/>
    <col min="5639" max="5639" width="22.42578125" style="200" customWidth="1"/>
    <col min="5640" max="5640" width="8.85546875" style="200"/>
    <col min="5641" max="5641" width="13.28515625" style="200" customWidth="1"/>
    <col min="5642" max="5642" width="12.42578125" style="200" customWidth="1"/>
    <col min="5643" max="5643" width="15.85546875" style="200" customWidth="1"/>
    <col min="5644" max="5644" width="8.85546875" style="200"/>
    <col min="5645" max="5645" width="21.7109375" style="200" bestFit="1" customWidth="1"/>
    <col min="5646" max="5647" width="8.85546875" style="200"/>
    <col min="5648" max="5648" width="10.140625" style="200" bestFit="1" customWidth="1"/>
    <col min="5649" max="5890" width="8.85546875" style="200"/>
    <col min="5891" max="5891" width="13.85546875" style="200" customWidth="1"/>
    <col min="5892" max="5892" width="19" style="200" customWidth="1"/>
    <col min="5893" max="5893" width="14.140625" style="200" customWidth="1"/>
    <col min="5894" max="5894" width="18.28515625" style="200" customWidth="1"/>
    <col min="5895" max="5895" width="22.42578125" style="200" customWidth="1"/>
    <col min="5896" max="5896" width="8.85546875" style="200"/>
    <col min="5897" max="5897" width="13.28515625" style="200" customWidth="1"/>
    <col min="5898" max="5898" width="12.42578125" style="200" customWidth="1"/>
    <col min="5899" max="5899" width="15.85546875" style="200" customWidth="1"/>
    <col min="5900" max="5900" width="8.85546875" style="200"/>
    <col min="5901" max="5901" width="21.7109375" style="200" bestFit="1" customWidth="1"/>
    <col min="5902" max="5903" width="8.85546875" style="200"/>
    <col min="5904" max="5904" width="10.140625" style="200" bestFit="1" customWidth="1"/>
    <col min="5905" max="6146" width="8.85546875" style="200"/>
    <col min="6147" max="6147" width="13.85546875" style="200" customWidth="1"/>
    <col min="6148" max="6148" width="19" style="200" customWidth="1"/>
    <col min="6149" max="6149" width="14.140625" style="200" customWidth="1"/>
    <col min="6150" max="6150" width="18.28515625" style="200" customWidth="1"/>
    <col min="6151" max="6151" width="22.42578125" style="200" customWidth="1"/>
    <col min="6152" max="6152" width="8.85546875" style="200"/>
    <col min="6153" max="6153" width="13.28515625" style="200" customWidth="1"/>
    <col min="6154" max="6154" width="12.42578125" style="200" customWidth="1"/>
    <col min="6155" max="6155" width="15.85546875" style="200" customWidth="1"/>
    <col min="6156" max="6156" width="8.85546875" style="200"/>
    <col min="6157" max="6157" width="21.7109375" style="200" bestFit="1" customWidth="1"/>
    <col min="6158" max="6159" width="8.85546875" style="200"/>
    <col min="6160" max="6160" width="10.140625" style="200" bestFit="1" customWidth="1"/>
    <col min="6161" max="6402" width="8.85546875" style="200"/>
    <col min="6403" max="6403" width="13.85546875" style="200" customWidth="1"/>
    <col min="6404" max="6404" width="19" style="200" customWidth="1"/>
    <col min="6405" max="6405" width="14.140625" style="200" customWidth="1"/>
    <col min="6406" max="6406" width="18.28515625" style="200" customWidth="1"/>
    <col min="6407" max="6407" width="22.42578125" style="200" customWidth="1"/>
    <col min="6408" max="6408" width="8.85546875" style="200"/>
    <col min="6409" max="6409" width="13.28515625" style="200" customWidth="1"/>
    <col min="6410" max="6410" width="12.42578125" style="200" customWidth="1"/>
    <col min="6411" max="6411" width="15.85546875" style="200" customWidth="1"/>
    <col min="6412" max="6412" width="8.85546875" style="200"/>
    <col min="6413" max="6413" width="21.7109375" style="200" bestFit="1" customWidth="1"/>
    <col min="6414" max="6415" width="8.85546875" style="200"/>
    <col min="6416" max="6416" width="10.140625" style="200" bestFit="1" customWidth="1"/>
    <col min="6417" max="6658" width="8.85546875" style="200"/>
    <col min="6659" max="6659" width="13.85546875" style="200" customWidth="1"/>
    <col min="6660" max="6660" width="19" style="200" customWidth="1"/>
    <col min="6661" max="6661" width="14.140625" style="200" customWidth="1"/>
    <col min="6662" max="6662" width="18.28515625" style="200" customWidth="1"/>
    <col min="6663" max="6663" width="22.42578125" style="200" customWidth="1"/>
    <col min="6664" max="6664" width="8.85546875" style="200"/>
    <col min="6665" max="6665" width="13.28515625" style="200" customWidth="1"/>
    <col min="6666" max="6666" width="12.42578125" style="200" customWidth="1"/>
    <col min="6667" max="6667" width="15.85546875" style="200" customWidth="1"/>
    <col min="6668" max="6668" width="8.85546875" style="200"/>
    <col min="6669" max="6669" width="21.7109375" style="200" bestFit="1" customWidth="1"/>
    <col min="6670" max="6671" width="8.85546875" style="200"/>
    <col min="6672" max="6672" width="10.140625" style="200" bestFit="1" customWidth="1"/>
    <col min="6673" max="6914" width="8.85546875" style="200"/>
    <col min="6915" max="6915" width="13.85546875" style="200" customWidth="1"/>
    <col min="6916" max="6916" width="19" style="200" customWidth="1"/>
    <col min="6917" max="6917" width="14.140625" style="200" customWidth="1"/>
    <col min="6918" max="6918" width="18.28515625" style="200" customWidth="1"/>
    <col min="6919" max="6919" width="22.42578125" style="200" customWidth="1"/>
    <col min="6920" max="6920" width="8.85546875" style="200"/>
    <col min="6921" max="6921" width="13.28515625" style="200" customWidth="1"/>
    <col min="6922" max="6922" width="12.42578125" style="200" customWidth="1"/>
    <col min="6923" max="6923" width="15.85546875" style="200" customWidth="1"/>
    <col min="6924" max="6924" width="8.85546875" style="200"/>
    <col min="6925" max="6925" width="21.7109375" style="200" bestFit="1" customWidth="1"/>
    <col min="6926" max="6927" width="8.85546875" style="200"/>
    <col min="6928" max="6928" width="10.140625" style="200" bestFit="1" customWidth="1"/>
    <col min="6929" max="7170" width="8.85546875" style="200"/>
    <col min="7171" max="7171" width="13.85546875" style="200" customWidth="1"/>
    <col min="7172" max="7172" width="19" style="200" customWidth="1"/>
    <col min="7173" max="7173" width="14.140625" style="200" customWidth="1"/>
    <col min="7174" max="7174" width="18.28515625" style="200" customWidth="1"/>
    <col min="7175" max="7175" width="22.42578125" style="200" customWidth="1"/>
    <col min="7176" max="7176" width="8.85546875" style="200"/>
    <col min="7177" max="7177" width="13.28515625" style="200" customWidth="1"/>
    <col min="7178" max="7178" width="12.42578125" style="200" customWidth="1"/>
    <col min="7179" max="7179" width="15.85546875" style="200" customWidth="1"/>
    <col min="7180" max="7180" width="8.85546875" style="200"/>
    <col min="7181" max="7181" width="21.7109375" style="200" bestFit="1" customWidth="1"/>
    <col min="7182" max="7183" width="8.85546875" style="200"/>
    <col min="7184" max="7184" width="10.140625" style="200" bestFit="1" customWidth="1"/>
    <col min="7185" max="7426" width="8.85546875" style="200"/>
    <col min="7427" max="7427" width="13.85546875" style="200" customWidth="1"/>
    <col min="7428" max="7428" width="19" style="200" customWidth="1"/>
    <col min="7429" max="7429" width="14.140625" style="200" customWidth="1"/>
    <col min="7430" max="7430" width="18.28515625" style="200" customWidth="1"/>
    <col min="7431" max="7431" width="22.42578125" style="200" customWidth="1"/>
    <col min="7432" max="7432" width="8.85546875" style="200"/>
    <col min="7433" max="7433" width="13.28515625" style="200" customWidth="1"/>
    <col min="7434" max="7434" width="12.42578125" style="200" customWidth="1"/>
    <col min="7435" max="7435" width="15.85546875" style="200" customWidth="1"/>
    <col min="7436" max="7436" width="8.85546875" style="200"/>
    <col min="7437" max="7437" width="21.7109375" style="200" bestFit="1" customWidth="1"/>
    <col min="7438" max="7439" width="8.85546875" style="200"/>
    <col min="7440" max="7440" width="10.140625" style="200" bestFit="1" customWidth="1"/>
    <col min="7441" max="7682" width="8.85546875" style="200"/>
    <col min="7683" max="7683" width="13.85546875" style="200" customWidth="1"/>
    <col min="7684" max="7684" width="19" style="200" customWidth="1"/>
    <col min="7685" max="7685" width="14.140625" style="200" customWidth="1"/>
    <col min="7686" max="7686" width="18.28515625" style="200" customWidth="1"/>
    <col min="7687" max="7687" width="22.42578125" style="200" customWidth="1"/>
    <col min="7688" max="7688" width="8.85546875" style="200"/>
    <col min="7689" max="7689" width="13.28515625" style="200" customWidth="1"/>
    <col min="7690" max="7690" width="12.42578125" style="200" customWidth="1"/>
    <col min="7691" max="7691" width="15.85546875" style="200" customWidth="1"/>
    <col min="7692" max="7692" width="8.85546875" style="200"/>
    <col min="7693" max="7693" width="21.7109375" style="200" bestFit="1" customWidth="1"/>
    <col min="7694" max="7695" width="8.85546875" style="200"/>
    <col min="7696" max="7696" width="10.140625" style="200" bestFit="1" customWidth="1"/>
    <col min="7697" max="7938" width="8.85546875" style="200"/>
    <col min="7939" max="7939" width="13.85546875" style="200" customWidth="1"/>
    <col min="7940" max="7940" width="19" style="200" customWidth="1"/>
    <col min="7941" max="7941" width="14.140625" style="200" customWidth="1"/>
    <col min="7942" max="7942" width="18.28515625" style="200" customWidth="1"/>
    <col min="7943" max="7943" width="22.42578125" style="200" customWidth="1"/>
    <col min="7944" max="7944" width="8.85546875" style="200"/>
    <col min="7945" max="7945" width="13.28515625" style="200" customWidth="1"/>
    <col min="7946" max="7946" width="12.42578125" style="200" customWidth="1"/>
    <col min="7947" max="7947" width="15.85546875" style="200" customWidth="1"/>
    <col min="7948" max="7948" width="8.85546875" style="200"/>
    <col min="7949" max="7949" width="21.7109375" style="200" bestFit="1" customWidth="1"/>
    <col min="7950" max="7951" width="8.85546875" style="200"/>
    <col min="7952" max="7952" width="10.140625" style="200" bestFit="1" customWidth="1"/>
    <col min="7953" max="8194" width="8.85546875" style="200"/>
    <col min="8195" max="8195" width="13.85546875" style="200" customWidth="1"/>
    <col min="8196" max="8196" width="19" style="200" customWidth="1"/>
    <col min="8197" max="8197" width="14.140625" style="200" customWidth="1"/>
    <col min="8198" max="8198" width="18.28515625" style="200" customWidth="1"/>
    <col min="8199" max="8199" width="22.42578125" style="200" customWidth="1"/>
    <col min="8200" max="8200" width="8.85546875" style="200"/>
    <col min="8201" max="8201" width="13.28515625" style="200" customWidth="1"/>
    <col min="8202" max="8202" width="12.42578125" style="200" customWidth="1"/>
    <col min="8203" max="8203" width="15.85546875" style="200" customWidth="1"/>
    <col min="8204" max="8204" width="8.85546875" style="200"/>
    <col min="8205" max="8205" width="21.7109375" style="200" bestFit="1" customWidth="1"/>
    <col min="8206" max="8207" width="8.85546875" style="200"/>
    <col min="8208" max="8208" width="10.140625" style="200" bestFit="1" customWidth="1"/>
    <col min="8209" max="8450" width="8.85546875" style="200"/>
    <col min="8451" max="8451" width="13.85546875" style="200" customWidth="1"/>
    <col min="8452" max="8452" width="19" style="200" customWidth="1"/>
    <col min="8453" max="8453" width="14.140625" style="200" customWidth="1"/>
    <col min="8454" max="8454" width="18.28515625" style="200" customWidth="1"/>
    <col min="8455" max="8455" width="22.42578125" style="200" customWidth="1"/>
    <col min="8456" max="8456" width="8.85546875" style="200"/>
    <col min="8457" max="8457" width="13.28515625" style="200" customWidth="1"/>
    <col min="8458" max="8458" width="12.42578125" style="200" customWidth="1"/>
    <col min="8459" max="8459" width="15.85546875" style="200" customWidth="1"/>
    <col min="8460" max="8460" width="8.85546875" style="200"/>
    <col min="8461" max="8461" width="21.7109375" style="200" bestFit="1" customWidth="1"/>
    <col min="8462" max="8463" width="8.85546875" style="200"/>
    <col min="8464" max="8464" width="10.140625" style="200" bestFit="1" customWidth="1"/>
    <col min="8465" max="8706" width="8.85546875" style="200"/>
    <col min="8707" max="8707" width="13.85546875" style="200" customWidth="1"/>
    <col min="8708" max="8708" width="19" style="200" customWidth="1"/>
    <col min="8709" max="8709" width="14.140625" style="200" customWidth="1"/>
    <col min="8710" max="8710" width="18.28515625" style="200" customWidth="1"/>
    <col min="8711" max="8711" width="22.42578125" style="200" customWidth="1"/>
    <col min="8712" max="8712" width="8.85546875" style="200"/>
    <col min="8713" max="8713" width="13.28515625" style="200" customWidth="1"/>
    <col min="8714" max="8714" width="12.42578125" style="200" customWidth="1"/>
    <col min="8715" max="8715" width="15.85546875" style="200" customWidth="1"/>
    <col min="8716" max="8716" width="8.85546875" style="200"/>
    <col min="8717" max="8717" width="21.7109375" style="200" bestFit="1" customWidth="1"/>
    <col min="8718" max="8719" width="8.85546875" style="200"/>
    <col min="8720" max="8720" width="10.140625" style="200" bestFit="1" customWidth="1"/>
    <col min="8721" max="8962" width="8.85546875" style="200"/>
    <col min="8963" max="8963" width="13.85546875" style="200" customWidth="1"/>
    <col min="8964" max="8964" width="19" style="200" customWidth="1"/>
    <col min="8965" max="8965" width="14.140625" style="200" customWidth="1"/>
    <col min="8966" max="8966" width="18.28515625" style="200" customWidth="1"/>
    <col min="8967" max="8967" width="22.42578125" style="200" customWidth="1"/>
    <col min="8968" max="8968" width="8.85546875" style="200"/>
    <col min="8969" max="8969" width="13.28515625" style="200" customWidth="1"/>
    <col min="8970" max="8970" width="12.42578125" style="200" customWidth="1"/>
    <col min="8971" max="8971" width="15.85546875" style="200" customWidth="1"/>
    <col min="8972" max="8972" width="8.85546875" style="200"/>
    <col min="8973" max="8973" width="21.7109375" style="200" bestFit="1" customWidth="1"/>
    <col min="8974" max="8975" width="8.85546875" style="200"/>
    <col min="8976" max="8976" width="10.140625" style="200" bestFit="1" customWidth="1"/>
    <col min="8977" max="9218" width="8.85546875" style="200"/>
    <col min="9219" max="9219" width="13.85546875" style="200" customWidth="1"/>
    <col min="9220" max="9220" width="19" style="200" customWidth="1"/>
    <col min="9221" max="9221" width="14.140625" style="200" customWidth="1"/>
    <col min="9222" max="9222" width="18.28515625" style="200" customWidth="1"/>
    <col min="9223" max="9223" width="22.42578125" style="200" customWidth="1"/>
    <col min="9224" max="9224" width="8.85546875" style="200"/>
    <col min="9225" max="9225" width="13.28515625" style="200" customWidth="1"/>
    <col min="9226" max="9226" width="12.42578125" style="200" customWidth="1"/>
    <col min="9227" max="9227" width="15.85546875" style="200" customWidth="1"/>
    <col min="9228" max="9228" width="8.85546875" style="200"/>
    <col min="9229" max="9229" width="21.7109375" style="200" bestFit="1" customWidth="1"/>
    <col min="9230" max="9231" width="8.85546875" style="200"/>
    <col min="9232" max="9232" width="10.140625" style="200" bestFit="1" customWidth="1"/>
    <col min="9233" max="9474" width="8.85546875" style="200"/>
    <col min="9475" max="9475" width="13.85546875" style="200" customWidth="1"/>
    <col min="9476" max="9476" width="19" style="200" customWidth="1"/>
    <col min="9477" max="9477" width="14.140625" style="200" customWidth="1"/>
    <col min="9478" max="9478" width="18.28515625" style="200" customWidth="1"/>
    <col min="9479" max="9479" width="22.42578125" style="200" customWidth="1"/>
    <col min="9480" max="9480" width="8.85546875" style="200"/>
    <col min="9481" max="9481" width="13.28515625" style="200" customWidth="1"/>
    <col min="9482" max="9482" width="12.42578125" style="200" customWidth="1"/>
    <col min="9483" max="9483" width="15.85546875" style="200" customWidth="1"/>
    <col min="9484" max="9484" width="8.85546875" style="200"/>
    <col min="9485" max="9485" width="21.7109375" style="200" bestFit="1" customWidth="1"/>
    <col min="9486" max="9487" width="8.85546875" style="200"/>
    <col min="9488" max="9488" width="10.140625" style="200" bestFit="1" customWidth="1"/>
    <col min="9489" max="9730" width="8.85546875" style="200"/>
    <col min="9731" max="9731" width="13.85546875" style="200" customWidth="1"/>
    <col min="9732" max="9732" width="19" style="200" customWidth="1"/>
    <col min="9733" max="9733" width="14.140625" style="200" customWidth="1"/>
    <col min="9734" max="9734" width="18.28515625" style="200" customWidth="1"/>
    <col min="9735" max="9735" width="22.42578125" style="200" customWidth="1"/>
    <col min="9736" max="9736" width="8.85546875" style="200"/>
    <col min="9737" max="9737" width="13.28515625" style="200" customWidth="1"/>
    <col min="9738" max="9738" width="12.42578125" style="200" customWidth="1"/>
    <col min="9739" max="9739" width="15.85546875" style="200" customWidth="1"/>
    <col min="9740" max="9740" width="8.85546875" style="200"/>
    <col min="9741" max="9741" width="21.7109375" style="200" bestFit="1" customWidth="1"/>
    <col min="9742" max="9743" width="8.85546875" style="200"/>
    <col min="9744" max="9744" width="10.140625" style="200" bestFit="1" customWidth="1"/>
    <col min="9745" max="9986" width="8.85546875" style="200"/>
    <col min="9987" max="9987" width="13.85546875" style="200" customWidth="1"/>
    <col min="9988" max="9988" width="19" style="200" customWidth="1"/>
    <col min="9989" max="9989" width="14.140625" style="200" customWidth="1"/>
    <col min="9990" max="9990" width="18.28515625" style="200" customWidth="1"/>
    <col min="9991" max="9991" width="22.42578125" style="200" customWidth="1"/>
    <col min="9992" max="9992" width="8.85546875" style="200"/>
    <col min="9993" max="9993" width="13.28515625" style="200" customWidth="1"/>
    <col min="9994" max="9994" width="12.42578125" style="200" customWidth="1"/>
    <col min="9995" max="9995" width="15.85546875" style="200" customWidth="1"/>
    <col min="9996" max="9996" width="8.85546875" style="200"/>
    <col min="9997" max="9997" width="21.7109375" style="200" bestFit="1" customWidth="1"/>
    <col min="9998" max="9999" width="8.85546875" style="200"/>
    <col min="10000" max="10000" width="10.140625" style="200" bestFit="1" customWidth="1"/>
    <col min="10001" max="10242" width="8.85546875" style="200"/>
    <col min="10243" max="10243" width="13.85546875" style="200" customWidth="1"/>
    <col min="10244" max="10244" width="19" style="200" customWidth="1"/>
    <col min="10245" max="10245" width="14.140625" style="200" customWidth="1"/>
    <col min="10246" max="10246" width="18.28515625" style="200" customWidth="1"/>
    <col min="10247" max="10247" width="22.42578125" style="200" customWidth="1"/>
    <col min="10248" max="10248" width="8.85546875" style="200"/>
    <col min="10249" max="10249" width="13.28515625" style="200" customWidth="1"/>
    <col min="10250" max="10250" width="12.42578125" style="200" customWidth="1"/>
    <col min="10251" max="10251" width="15.85546875" style="200" customWidth="1"/>
    <col min="10252" max="10252" width="8.85546875" style="200"/>
    <col min="10253" max="10253" width="21.7109375" style="200" bestFit="1" customWidth="1"/>
    <col min="10254" max="10255" width="8.85546875" style="200"/>
    <col min="10256" max="10256" width="10.140625" style="200" bestFit="1" customWidth="1"/>
    <col min="10257" max="10498" width="8.85546875" style="200"/>
    <col min="10499" max="10499" width="13.85546875" style="200" customWidth="1"/>
    <col min="10500" max="10500" width="19" style="200" customWidth="1"/>
    <col min="10501" max="10501" width="14.140625" style="200" customWidth="1"/>
    <col min="10502" max="10502" width="18.28515625" style="200" customWidth="1"/>
    <col min="10503" max="10503" width="22.42578125" style="200" customWidth="1"/>
    <col min="10504" max="10504" width="8.85546875" style="200"/>
    <col min="10505" max="10505" width="13.28515625" style="200" customWidth="1"/>
    <col min="10506" max="10506" width="12.42578125" style="200" customWidth="1"/>
    <col min="10507" max="10507" width="15.85546875" style="200" customWidth="1"/>
    <col min="10508" max="10508" width="8.85546875" style="200"/>
    <col min="10509" max="10509" width="21.7109375" style="200" bestFit="1" customWidth="1"/>
    <col min="10510" max="10511" width="8.85546875" style="200"/>
    <col min="10512" max="10512" width="10.140625" style="200" bestFit="1" customWidth="1"/>
    <col min="10513" max="10754" width="8.85546875" style="200"/>
    <col min="10755" max="10755" width="13.85546875" style="200" customWidth="1"/>
    <col min="10756" max="10756" width="19" style="200" customWidth="1"/>
    <col min="10757" max="10757" width="14.140625" style="200" customWidth="1"/>
    <col min="10758" max="10758" width="18.28515625" style="200" customWidth="1"/>
    <col min="10759" max="10759" width="22.42578125" style="200" customWidth="1"/>
    <col min="10760" max="10760" width="8.85546875" style="200"/>
    <col min="10761" max="10761" width="13.28515625" style="200" customWidth="1"/>
    <col min="10762" max="10762" width="12.42578125" style="200" customWidth="1"/>
    <col min="10763" max="10763" width="15.85546875" style="200" customWidth="1"/>
    <col min="10764" max="10764" width="8.85546875" style="200"/>
    <col min="10765" max="10765" width="21.7109375" style="200" bestFit="1" customWidth="1"/>
    <col min="10766" max="10767" width="8.85546875" style="200"/>
    <col min="10768" max="10768" width="10.140625" style="200" bestFit="1" customWidth="1"/>
    <col min="10769" max="11010" width="8.85546875" style="200"/>
    <col min="11011" max="11011" width="13.85546875" style="200" customWidth="1"/>
    <col min="11012" max="11012" width="19" style="200" customWidth="1"/>
    <col min="11013" max="11013" width="14.140625" style="200" customWidth="1"/>
    <col min="11014" max="11014" width="18.28515625" style="200" customWidth="1"/>
    <col min="11015" max="11015" width="22.42578125" style="200" customWidth="1"/>
    <col min="11016" max="11016" width="8.85546875" style="200"/>
    <col min="11017" max="11017" width="13.28515625" style="200" customWidth="1"/>
    <col min="11018" max="11018" width="12.42578125" style="200" customWidth="1"/>
    <col min="11019" max="11019" width="15.85546875" style="200" customWidth="1"/>
    <col min="11020" max="11020" width="8.85546875" style="200"/>
    <col min="11021" max="11021" width="21.7109375" style="200" bestFit="1" customWidth="1"/>
    <col min="11022" max="11023" width="8.85546875" style="200"/>
    <col min="11024" max="11024" width="10.140625" style="200" bestFit="1" customWidth="1"/>
    <col min="11025" max="11266" width="8.85546875" style="200"/>
    <col min="11267" max="11267" width="13.85546875" style="200" customWidth="1"/>
    <col min="11268" max="11268" width="19" style="200" customWidth="1"/>
    <col min="11269" max="11269" width="14.140625" style="200" customWidth="1"/>
    <col min="11270" max="11270" width="18.28515625" style="200" customWidth="1"/>
    <col min="11271" max="11271" width="22.42578125" style="200" customWidth="1"/>
    <col min="11272" max="11272" width="8.85546875" style="200"/>
    <col min="11273" max="11273" width="13.28515625" style="200" customWidth="1"/>
    <col min="11274" max="11274" width="12.42578125" style="200" customWidth="1"/>
    <col min="11275" max="11275" width="15.85546875" style="200" customWidth="1"/>
    <col min="11276" max="11276" width="8.85546875" style="200"/>
    <col min="11277" max="11277" width="21.7109375" style="200" bestFit="1" customWidth="1"/>
    <col min="11278" max="11279" width="8.85546875" style="200"/>
    <col min="11280" max="11280" width="10.140625" style="200" bestFit="1" customWidth="1"/>
    <col min="11281" max="11522" width="8.85546875" style="200"/>
    <col min="11523" max="11523" width="13.85546875" style="200" customWidth="1"/>
    <col min="11524" max="11524" width="19" style="200" customWidth="1"/>
    <col min="11525" max="11525" width="14.140625" style="200" customWidth="1"/>
    <col min="11526" max="11526" width="18.28515625" style="200" customWidth="1"/>
    <col min="11527" max="11527" width="22.42578125" style="200" customWidth="1"/>
    <col min="11528" max="11528" width="8.85546875" style="200"/>
    <col min="11529" max="11529" width="13.28515625" style="200" customWidth="1"/>
    <col min="11530" max="11530" width="12.42578125" style="200" customWidth="1"/>
    <col min="11531" max="11531" width="15.85546875" style="200" customWidth="1"/>
    <col min="11532" max="11532" width="8.85546875" style="200"/>
    <col min="11533" max="11533" width="21.7109375" style="200" bestFit="1" customWidth="1"/>
    <col min="11534" max="11535" width="8.85546875" style="200"/>
    <col min="11536" max="11536" width="10.140625" style="200" bestFit="1" customWidth="1"/>
    <col min="11537" max="11778" width="8.85546875" style="200"/>
    <col min="11779" max="11779" width="13.85546875" style="200" customWidth="1"/>
    <col min="11780" max="11780" width="19" style="200" customWidth="1"/>
    <col min="11781" max="11781" width="14.140625" style="200" customWidth="1"/>
    <col min="11782" max="11782" width="18.28515625" style="200" customWidth="1"/>
    <col min="11783" max="11783" width="22.42578125" style="200" customWidth="1"/>
    <col min="11784" max="11784" width="8.85546875" style="200"/>
    <col min="11785" max="11785" width="13.28515625" style="200" customWidth="1"/>
    <col min="11786" max="11786" width="12.42578125" style="200" customWidth="1"/>
    <col min="11787" max="11787" width="15.85546875" style="200" customWidth="1"/>
    <col min="11788" max="11788" width="8.85546875" style="200"/>
    <col min="11789" max="11789" width="21.7109375" style="200" bestFit="1" customWidth="1"/>
    <col min="11790" max="11791" width="8.85546875" style="200"/>
    <col min="11792" max="11792" width="10.140625" style="200" bestFit="1" customWidth="1"/>
    <col min="11793" max="12034" width="8.85546875" style="200"/>
    <col min="12035" max="12035" width="13.85546875" style="200" customWidth="1"/>
    <col min="12036" max="12036" width="19" style="200" customWidth="1"/>
    <col min="12037" max="12037" width="14.140625" style="200" customWidth="1"/>
    <col min="12038" max="12038" width="18.28515625" style="200" customWidth="1"/>
    <col min="12039" max="12039" width="22.42578125" style="200" customWidth="1"/>
    <col min="12040" max="12040" width="8.85546875" style="200"/>
    <col min="12041" max="12041" width="13.28515625" style="200" customWidth="1"/>
    <col min="12042" max="12042" width="12.42578125" style="200" customWidth="1"/>
    <col min="12043" max="12043" width="15.85546875" style="200" customWidth="1"/>
    <col min="12044" max="12044" width="8.85546875" style="200"/>
    <col min="12045" max="12045" width="21.7109375" style="200" bestFit="1" customWidth="1"/>
    <col min="12046" max="12047" width="8.85546875" style="200"/>
    <col min="12048" max="12048" width="10.140625" style="200" bestFit="1" customWidth="1"/>
    <col min="12049" max="12290" width="8.85546875" style="200"/>
    <col min="12291" max="12291" width="13.85546875" style="200" customWidth="1"/>
    <col min="12292" max="12292" width="19" style="200" customWidth="1"/>
    <col min="12293" max="12293" width="14.140625" style="200" customWidth="1"/>
    <col min="12294" max="12294" width="18.28515625" style="200" customWidth="1"/>
    <col min="12295" max="12295" width="22.42578125" style="200" customWidth="1"/>
    <col min="12296" max="12296" width="8.85546875" style="200"/>
    <col min="12297" max="12297" width="13.28515625" style="200" customWidth="1"/>
    <col min="12298" max="12298" width="12.42578125" style="200" customWidth="1"/>
    <col min="12299" max="12299" width="15.85546875" style="200" customWidth="1"/>
    <col min="12300" max="12300" width="8.85546875" style="200"/>
    <col min="12301" max="12301" width="21.7109375" style="200" bestFit="1" customWidth="1"/>
    <col min="12302" max="12303" width="8.85546875" style="200"/>
    <col min="12304" max="12304" width="10.140625" style="200" bestFit="1" customWidth="1"/>
    <col min="12305" max="12546" width="8.85546875" style="200"/>
    <col min="12547" max="12547" width="13.85546875" style="200" customWidth="1"/>
    <col min="12548" max="12548" width="19" style="200" customWidth="1"/>
    <col min="12549" max="12549" width="14.140625" style="200" customWidth="1"/>
    <col min="12550" max="12550" width="18.28515625" style="200" customWidth="1"/>
    <col min="12551" max="12551" width="22.42578125" style="200" customWidth="1"/>
    <col min="12552" max="12552" width="8.85546875" style="200"/>
    <col min="12553" max="12553" width="13.28515625" style="200" customWidth="1"/>
    <col min="12554" max="12554" width="12.42578125" style="200" customWidth="1"/>
    <col min="12555" max="12555" width="15.85546875" style="200" customWidth="1"/>
    <col min="12556" max="12556" width="8.85546875" style="200"/>
    <col min="12557" max="12557" width="21.7109375" style="200" bestFit="1" customWidth="1"/>
    <col min="12558" max="12559" width="8.85546875" style="200"/>
    <col min="12560" max="12560" width="10.140625" style="200" bestFit="1" customWidth="1"/>
    <col min="12561" max="12802" width="8.85546875" style="200"/>
    <col min="12803" max="12803" width="13.85546875" style="200" customWidth="1"/>
    <col min="12804" max="12804" width="19" style="200" customWidth="1"/>
    <col min="12805" max="12805" width="14.140625" style="200" customWidth="1"/>
    <col min="12806" max="12806" width="18.28515625" style="200" customWidth="1"/>
    <col min="12807" max="12807" width="22.42578125" style="200" customWidth="1"/>
    <col min="12808" max="12808" width="8.85546875" style="200"/>
    <col min="12809" max="12809" width="13.28515625" style="200" customWidth="1"/>
    <col min="12810" max="12810" width="12.42578125" style="200" customWidth="1"/>
    <col min="12811" max="12811" width="15.85546875" style="200" customWidth="1"/>
    <col min="12812" max="12812" width="8.85546875" style="200"/>
    <col min="12813" max="12813" width="21.7109375" style="200" bestFit="1" customWidth="1"/>
    <col min="12814" max="12815" width="8.85546875" style="200"/>
    <col min="12816" max="12816" width="10.140625" style="200" bestFit="1" customWidth="1"/>
    <col min="12817" max="13058" width="8.85546875" style="200"/>
    <col min="13059" max="13059" width="13.85546875" style="200" customWidth="1"/>
    <col min="13060" max="13060" width="19" style="200" customWidth="1"/>
    <col min="13061" max="13061" width="14.140625" style="200" customWidth="1"/>
    <col min="13062" max="13062" width="18.28515625" style="200" customWidth="1"/>
    <col min="13063" max="13063" width="22.42578125" style="200" customWidth="1"/>
    <col min="13064" max="13064" width="8.85546875" style="200"/>
    <col min="13065" max="13065" width="13.28515625" style="200" customWidth="1"/>
    <col min="13066" max="13066" width="12.42578125" style="200" customWidth="1"/>
    <col min="13067" max="13067" width="15.85546875" style="200" customWidth="1"/>
    <col min="13068" max="13068" width="8.85546875" style="200"/>
    <col min="13069" max="13069" width="21.7109375" style="200" bestFit="1" customWidth="1"/>
    <col min="13070" max="13071" width="8.85546875" style="200"/>
    <col min="13072" max="13072" width="10.140625" style="200" bestFit="1" customWidth="1"/>
    <col min="13073" max="13314" width="8.85546875" style="200"/>
    <col min="13315" max="13315" width="13.85546875" style="200" customWidth="1"/>
    <col min="13316" max="13316" width="19" style="200" customWidth="1"/>
    <col min="13317" max="13317" width="14.140625" style="200" customWidth="1"/>
    <col min="13318" max="13318" width="18.28515625" style="200" customWidth="1"/>
    <col min="13319" max="13319" width="22.42578125" style="200" customWidth="1"/>
    <col min="13320" max="13320" width="8.85546875" style="200"/>
    <col min="13321" max="13321" width="13.28515625" style="200" customWidth="1"/>
    <col min="13322" max="13322" width="12.42578125" style="200" customWidth="1"/>
    <col min="13323" max="13323" width="15.85546875" style="200" customWidth="1"/>
    <col min="13324" max="13324" width="8.85546875" style="200"/>
    <col min="13325" max="13325" width="21.7109375" style="200" bestFit="1" customWidth="1"/>
    <col min="13326" max="13327" width="8.85546875" style="200"/>
    <col min="13328" max="13328" width="10.140625" style="200" bestFit="1" customWidth="1"/>
    <col min="13329" max="13570" width="8.85546875" style="200"/>
    <col min="13571" max="13571" width="13.85546875" style="200" customWidth="1"/>
    <col min="13572" max="13572" width="19" style="200" customWidth="1"/>
    <col min="13573" max="13573" width="14.140625" style="200" customWidth="1"/>
    <col min="13574" max="13574" width="18.28515625" style="200" customWidth="1"/>
    <col min="13575" max="13575" width="22.42578125" style="200" customWidth="1"/>
    <col min="13576" max="13576" width="8.85546875" style="200"/>
    <col min="13577" max="13577" width="13.28515625" style="200" customWidth="1"/>
    <col min="13578" max="13578" width="12.42578125" style="200" customWidth="1"/>
    <col min="13579" max="13579" width="15.85546875" style="200" customWidth="1"/>
    <col min="13580" max="13580" width="8.85546875" style="200"/>
    <col min="13581" max="13581" width="21.7109375" style="200" bestFit="1" customWidth="1"/>
    <col min="13582" max="13583" width="8.85546875" style="200"/>
    <col min="13584" max="13584" width="10.140625" style="200" bestFit="1" customWidth="1"/>
    <col min="13585" max="13826" width="8.85546875" style="200"/>
    <col min="13827" max="13827" width="13.85546875" style="200" customWidth="1"/>
    <col min="13828" max="13828" width="19" style="200" customWidth="1"/>
    <col min="13829" max="13829" width="14.140625" style="200" customWidth="1"/>
    <col min="13830" max="13830" width="18.28515625" style="200" customWidth="1"/>
    <col min="13831" max="13831" width="22.42578125" style="200" customWidth="1"/>
    <col min="13832" max="13832" width="8.85546875" style="200"/>
    <col min="13833" max="13833" width="13.28515625" style="200" customWidth="1"/>
    <col min="13834" max="13834" width="12.42578125" style="200" customWidth="1"/>
    <col min="13835" max="13835" width="15.85546875" style="200" customWidth="1"/>
    <col min="13836" max="13836" width="8.85546875" style="200"/>
    <col min="13837" max="13837" width="21.7109375" style="200" bestFit="1" customWidth="1"/>
    <col min="13838" max="13839" width="8.85546875" style="200"/>
    <col min="13840" max="13840" width="10.140625" style="200" bestFit="1" customWidth="1"/>
    <col min="13841" max="14082" width="8.85546875" style="200"/>
    <col min="14083" max="14083" width="13.85546875" style="200" customWidth="1"/>
    <col min="14084" max="14084" width="19" style="200" customWidth="1"/>
    <col min="14085" max="14085" width="14.140625" style="200" customWidth="1"/>
    <col min="14086" max="14086" width="18.28515625" style="200" customWidth="1"/>
    <col min="14087" max="14087" width="22.42578125" style="200" customWidth="1"/>
    <col min="14088" max="14088" width="8.85546875" style="200"/>
    <col min="14089" max="14089" width="13.28515625" style="200" customWidth="1"/>
    <col min="14090" max="14090" width="12.42578125" style="200" customWidth="1"/>
    <col min="14091" max="14091" width="15.85546875" style="200" customWidth="1"/>
    <col min="14092" max="14092" width="8.85546875" style="200"/>
    <col min="14093" max="14093" width="21.7109375" style="200" bestFit="1" customWidth="1"/>
    <col min="14094" max="14095" width="8.85546875" style="200"/>
    <col min="14096" max="14096" width="10.140625" style="200" bestFit="1" customWidth="1"/>
    <col min="14097" max="14338" width="8.85546875" style="200"/>
    <col min="14339" max="14339" width="13.85546875" style="200" customWidth="1"/>
    <col min="14340" max="14340" width="19" style="200" customWidth="1"/>
    <col min="14341" max="14341" width="14.140625" style="200" customWidth="1"/>
    <col min="14342" max="14342" width="18.28515625" style="200" customWidth="1"/>
    <col min="14343" max="14343" width="22.42578125" style="200" customWidth="1"/>
    <col min="14344" max="14344" width="8.85546875" style="200"/>
    <col min="14345" max="14345" width="13.28515625" style="200" customWidth="1"/>
    <col min="14346" max="14346" width="12.42578125" style="200" customWidth="1"/>
    <col min="14347" max="14347" width="15.85546875" style="200" customWidth="1"/>
    <col min="14348" max="14348" width="8.85546875" style="200"/>
    <col min="14349" max="14349" width="21.7109375" style="200" bestFit="1" customWidth="1"/>
    <col min="14350" max="14351" width="8.85546875" style="200"/>
    <col min="14352" max="14352" width="10.140625" style="200" bestFit="1" customWidth="1"/>
    <col min="14353" max="14594" width="8.85546875" style="200"/>
    <col min="14595" max="14595" width="13.85546875" style="200" customWidth="1"/>
    <col min="14596" max="14596" width="19" style="200" customWidth="1"/>
    <col min="14597" max="14597" width="14.140625" style="200" customWidth="1"/>
    <col min="14598" max="14598" width="18.28515625" style="200" customWidth="1"/>
    <col min="14599" max="14599" width="22.42578125" style="200" customWidth="1"/>
    <col min="14600" max="14600" width="8.85546875" style="200"/>
    <col min="14601" max="14601" width="13.28515625" style="200" customWidth="1"/>
    <col min="14602" max="14602" width="12.42578125" style="200" customWidth="1"/>
    <col min="14603" max="14603" width="15.85546875" style="200" customWidth="1"/>
    <col min="14604" max="14604" width="8.85546875" style="200"/>
    <col min="14605" max="14605" width="21.7109375" style="200" bestFit="1" customWidth="1"/>
    <col min="14606" max="14607" width="8.85546875" style="200"/>
    <col min="14608" max="14608" width="10.140625" style="200" bestFit="1" customWidth="1"/>
    <col min="14609" max="14850" width="8.85546875" style="200"/>
    <col min="14851" max="14851" width="13.85546875" style="200" customWidth="1"/>
    <col min="14852" max="14852" width="19" style="200" customWidth="1"/>
    <col min="14853" max="14853" width="14.140625" style="200" customWidth="1"/>
    <col min="14854" max="14854" width="18.28515625" style="200" customWidth="1"/>
    <col min="14855" max="14855" width="22.42578125" style="200" customWidth="1"/>
    <col min="14856" max="14856" width="8.85546875" style="200"/>
    <col min="14857" max="14857" width="13.28515625" style="200" customWidth="1"/>
    <col min="14858" max="14858" width="12.42578125" style="200" customWidth="1"/>
    <col min="14859" max="14859" width="15.85546875" style="200" customWidth="1"/>
    <col min="14860" max="14860" width="8.85546875" style="200"/>
    <col min="14861" max="14861" width="21.7109375" style="200" bestFit="1" customWidth="1"/>
    <col min="14862" max="14863" width="8.85546875" style="200"/>
    <col min="14864" max="14864" width="10.140625" style="200" bestFit="1" customWidth="1"/>
    <col min="14865" max="15106" width="8.85546875" style="200"/>
    <col min="15107" max="15107" width="13.85546875" style="200" customWidth="1"/>
    <col min="15108" max="15108" width="19" style="200" customWidth="1"/>
    <col min="15109" max="15109" width="14.140625" style="200" customWidth="1"/>
    <col min="15110" max="15110" width="18.28515625" style="200" customWidth="1"/>
    <col min="15111" max="15111" width="22.42578125" style="200" customWidth="1"/>
    <col min="15112" max="15112" width="8.85546875" style="200"/>
    <col min="15113" max="15113" width="13.28515625" style="200" customWidth="1"/>
    <col min="15114" max="15114" width="12.42578125" style="200" customWidth="1"/>
    <col min="15115" max="15115" width="15.85546875" style="200" customWidth="1"/>
    <col min="15116" max="15116" width="8.85546875" style="200"/>
    <col min="15117" max="15117" width="21.7109375" style="200" bestFit="1" customWidth="1"/>
    <col min="15118" max="15119" width="8.85546875" style="200"/>
    <col min="15120" max="15120" width="10.140625" style="200" bestFit="1" customWidth="1"/>
    <col min="15121" max="15362" width="8.85546875" style="200"/>
    <col min="15363" max="15363" width="13.85546875" style="200" customWidth="1"/>
    <col min="15364" max="15364" width="19" style="200" customWidth="1"/>
    <col min="15365" max="15365" width="14.140625" style="200" customWidth="1"/>
    <col min="15366" max="15366" width="18.28515625" style="200" customWidth="1"/>
    <col min="15367" max="15367" width="22.42578125" style="200" customWidth="1"/>
    <col min="15368" max="15368" width="8.85546875" style="200"/>
    <col min="15369" max="15369" width="13.28515625" style="200" customWidth="1"/>
    <col min="15370" max="15370" width="12.42578125" style="200" customWidth="1"/>
    <col min="15371" max="15371" width="15.85546875" style="200" customWidth="1"/>
    <col min="15372" max="15372" width="8.85546875" style="200"/>
    <col min="15373" max="15373" width="21.7109375" style="200" bestFit="1" customWidth="1"/>
    <col min="15374" max="15375" width="8.85546875" style="200"/>
    <col min="15376" max="15376" width="10.140625" style="200" bestFit="1" customWidth="1"/>
    <col min="15377" max="15618" width="8.85546875" style="200"/>
    <col min="15619" max="15619" width="13.85546875" style="200" customWidth="1"/>
    <col min="15620" max="15620" width="19" style="200" customWidth="1"/>
    <col min="15621" max="15621" width="14.140625" style="200" customWidth="1"/>
    <col min="15622" max="15622" width="18.28515625" style="200" customWidth="1"/>
    <col min="15623" max="15623" width="22.42578125" style="200" customWidth="1"/>
    <col min="15624" max="15624" width="8.85546875" style="200"/>
    <col min="15625" max="15625" width="13.28515625" style="200" customWidth="1"/>
    <col min="15626" max="15626" width="12.42578125" style="200" customWidth="1"/>
    <col min="15627" max="15627" width="15.85546875" style="200" customWidth="1"/>
    <col min="15628" max="15628" width="8.85546875" style="200"/>
    <col min="15629" max="15629" width="21.7109375" style="200" bestFit="1" customWidth="1"/>
    <col min="15630" max="15631" width="8.85546875" style="200"/>
    <col min="15632" max="15632" width="10.140625" style="200" bestFit="1" customWidth="1"/>
    <col min="15633" max="15874" width="8.85546875" style="200"/>
    <col min="15875" max="15875" width="13.85546875" style="200" customWidth="1"/>
    <col min="15876" max="15876" width="19" style="200" customWidth="1"/>
    <col min="15877" max="15877" width="14.140625" style="200" customWidth="1"/>
    <col min="15878" max="15878" width="18.28515625" style="200" customWidth="1"/>
    <col min="15879" max="15879" width="22.42578125" style="200" customWidth="1"/>
    <col min="15880" max="15880" width="8.85546875" style="200"/>
    <col min="15881" max="15881" width="13.28515625" style="200" customWidth="1"/>
    <col min="15882" max="15882" width="12.42578125" style="200" customWidth="1"/>
    <col min="15883" max="15883" width="15.85546875" style="200" customWidth="1"/>
    <col min="15884" max="15884" width="8.85546875" style="200"/>
    <col min="15885" max="15885" width="21.7109375" style="200" bestFit="1" customWidth="1"/>
    <col min="15886" max="15887" width="8.85546875" style="200"/>
    <col min="15888" max="15888" width="10.140625" style="200" bestFit="1" customWidth="1"/>
    <col min="15889" max="16130" width="8.85546875" style="200"/>
    <col min="16131" max="16131" width="13.85546875" style="200" customWidth="1"/>
    <col min="16132" max="16132" width="19" style="200" customWidth="1"/>
    <col min="16133" max="16133" width="14.140625" style="200" customWidth="1"/>
    <col min="16134" max="16134" width="18.28515625" style="200" customWidth="1"/>
    <col min="16135" max="16135" width="22.42578125" style="200" customWidth="1"/>
    <col min="16136" max="16136" width="8.85546875" style="200"/>
    <col min="16137" max="16137" width="13.28515625" style="200" customWidth="1"/>
    <col min="16138" max="16138" width="12.42578125" style="200" customWidth="1"/>
    <col min="16139" max="16139" width="15.85546875" style="200" customWidth="1"/>
    <col min="16140" max="16140" width="8.85546875" style="200"/>
    <col min="16141" max="16141" width="21.7109375" style="200" bestFit="1" customWidth="1"/>
    <col min="16142" max="16143" width="8.85546875" style="200"/>
    <col min="16144" max="16144" width="10.140625" style="200" bestFit="1" customWidth="1"/>
    <col min="16145" max="16384" width="8.85546875" style="200"/>
  </cols>
  <sheetData>
    <row r="1" spans="2:13" ht="12.6" customHeight="1"/>
    <row r="3" spans="2:13">
      <c r="B3" s="446" t="s">
        <v>1071</v>
      </c>
      <c r="C3" s="446" t="s">
        <v>1070</v>
      </c>
      <c r="D3" s="446" t="s">
        <v>1072</v>
      </c>
      <c r="E3" s="446" t="s">
        <v>1073</v>
      </c>
      <c r="F3" s="446" t="s">
        <v>1074</v>
      </c>
      <c r="G3" s="446" t="s">
        <v>1075</v>
      </c>
      <c r="H3" s="201"/>
      <c r="I3" s="202"/>
    </row>
    <row r="4" spans="2:13" ht="15" customHeight="1">
      <c r="B4" s="216">
        <v>44227</v>
      </c>
      <c r="C4" s="217"/>
      <c r="D4" s="217"/>
      <c r="E4" s="217"/>
      <c r="F4" s="217"/>
      <c r="G4" s="217"/>
      <c r="I4" s="512" t="s">
        <v>1076</v>
      </c>
      <c r="J4" s="512"/>
    </row>
    <row r="5" spans="2:13">
      <c r="B5" s="218">
        <v>44255</v>
      </c>
      <c r="C5" s="217"/>
      <c r="D5" s="217"/>
      <c r="E5" s="217"/>
      <c r="F5" s="217"/>
      <c r="G5" s="217"/>
      <c r="I5" s="222" t="s">
        <v>1077</v>
      </c>
      <c r="J5" s="217">
        <v>1674400</v>
      </c>
    </row>
    <row r="6" spans="2:13">
      <c r="B6" s="216">
        <v>44286</v>
      </c>
      <c r="C6" s="217"/>
      <c r="D6" s="217"/>
      <c r="E6" s="217"/>
      <c r="F6" s="217"/>
      <c r="G6" s="217"/>
      <c r="I6" s="222" t="s">
        <v>1078</v>
      </c>
      <c r="J6" s="223">
        <v>0.02</v>
      </c>
      <c r="K6" s="203"/>
    </row>
    <row r="7" spans="2:13">
      <c r="B7" s="218">
        <v>44316</v>
      </c>
      <c r="C7" s="217"/>
      <c r="D7" s="217"/>
      <c r="E7" s="217"/>
      <c r="F7" s="217"/>
      <c r="G7" s="217"/>
      <c r="I7" s="222" t="s">
        <v>1079</v>
      </c>
      <c r="J7" s="217">
        <v>0</v>
      </c>
      <c r="K7" s="204"/>
    </row>
    <row r="8" spans="2:13">
      <c r="B8" s="216">
        <v>44347</v>
      </c>
      <c r="C8" s="217"/>
      <c r="D8" s="217"/>
      <c r="E8" s="217"/>
      <c r="F8" s="217"/>
      <c r="G8" s="217"/>
      <c r="I8" s="222" t="s">
        <v>1080</v>
      </c>
      <c r="J8" s="217">
        <f>12*15</f>
        <v>180</v>
      </c>
    </row>
    <row r="9" spans="2:13">
      <c r="B9" s="218">
        <v>44377</v>
      </c>
      <c r="C9" s="217"/>
      <c r="D9" s="217"/>
      <c r="E9" s="217"/>
      <c r="F9" s="217"/>
      <c r="G9" s="217"/>
      <c r="H9" s="205"/>
      <c r="K9" s="206"/>
    </row>
    <row r="10" spans="2:13">
      <c r="B10" s="216">
        <v>44408</v>
      </c>
      <c r="C10" s="217"/>
      <c r="D10" s="217"/>
      <c r="E10" s="217"/>
      <c r="F10" s="217"/>
      <c r="G10" s="217"/>
      <c r="J10" s="206"/>
    </row>
    <row r="11" spans="2:13">
      <c r="B11" s="218">
        <v>44439</v>
      </c>
      <c r="C11" s="217"/>
      <c r="D11" s="217"/>
      <c r="E11" s="217"/>
      <c r="F11" s="217"/>
      <c r="G11" s="217"/>
    </row>
    <row r="12" spans="2:13">
      <c r="B12" s="216">
        <v>44469</v>
      </c>
      <c r="C12" s="217"/>
      <c r="D12" s="217"/>
      <c r="E12" s="217"/>
      <c r="F12" s="217"/>
      <c r="G12" s="217"/>
      <c r="J12" s="206"/>
    </row>
    <row r="13" spans="2:13">
      <c r="B13" s="218">
        <v>44500</v>
      </c>
      <c r="C13" s="217"/>
      <c r="D13" s="217"/>
      <c r="E13" s="217"/>
      <c r="F13" s="217"/>
      <c r="G13" s="217"/>
    </row>
    <row r="14" spans="2:13">
      <c r="B14" s="216">
        <v>44530</v>
      </c>
      <c r="C14" s="217">
        <f>42000*0.7</f>
        <v>29399.999999999996</v>
      </c>
      <c r="D14" s="217"/>
      <c r="E14" s="217"/>
      <c r="F14" s="217"/>
      <c r="G14" s="217"/>
    </row>
    <row r="15" spans="2:13">
      <c r="B15" s="219">
        <v>44561</v>
      </c>
      <c r="C15" s="220">
        <f>C14</f>
        <v>29399.999999999996</v>
      </c>
      <c r="D15" s="220">
        <v>0</v>
      </c>
      <c r="E15" s="220">
        <v>0</v>
      </c>
      <c r="F15" s="220">
        <f t="shared" ref="F15:F78" si="0">D15+E15</f>
        <v>0</v>
      </c>
      <c r="G15" s="220">
        <f t="shared" ref="G15:G78" si="1">C15-E15</f>
        <v>29399.999999999996</v>
      </c>
      <c r="H15" s="213"/>
      <c r="I15" s="214">
        <f>SUM(D4:D15)</f>
        <v>0</v>
      </c>
      <c r="J15" s="214">
        <f>SUM(E4:E15)</f>
        <v>0</v>
      </c>
      <c r="K15" s="214">
        <f>I15+J15</f>
        <v>0</v>
      </c>
      <c r="M15" s="206"/>
    </row>
    <row r="16" spans="2:13">
      <c r="B16" s="216">
        <v>44592</v>
      </c>
      <c r="C16" s="217">
        <f>G15+650000*0.7</f>
        <v>484400</v>
      </c>
      <c r="D16" s="217">
        <f t="shared" ref="D16:D79" si="2">C16*$J$6/12</f>
        <v>807.33333333333337</v>
      </c>
      <c r="E16" s="217">
        <f>$J$5/$J$8</f>
        <v>9302.2222222222226</v>
      </c>
      <c r="F16" s="217">
        <f t="shared" si="0"/>
        <v>10109.555555555557</v>
      </c>
      <c r="G16" s="217">
        <f t="shared" si="1"/>
        <v>475097.77777777775</v>
      </c>
    </row>
    <row r="17" spans="2:11">
      <c r="B17" s="218">
        <v>44620</v>
      </c>
      <c r="C17" s="217">
        <f>G16</f>
        <v>475097.77777777775</v>
      </c>
      <c r="D17" s="217">
        <f t="shared" si="2"/>
        <v>791.82962962962949</v>
      </c>
      <c r="E17" s="217">
        <f t="shared" ref="E17:E27" si="3">$J$5/$J$8</f>
        <v>9302.2222222222226</v>
      </c>
      <c r="F17" s="217">
        <f t="shared" si="0"/>
        <v>10094.051851851853</v>
      </c>
      <c r="G17" s="217">
        <f t="shared" si="1"/>
        <v>465795.5555555555</v>
      </c>
    </row>
    <row r="18" spans="2:11">
      <c r="B18" s="216">
        <v>44651</v>
      </c>
      <c r="C18" s="217">
        <f t="shared" ref="C18:C26" si="4">G17</f>
        <v>465795.5555555555</v>
      </c>
      <c r="D18" s="217">
        <f t="shared" si="2"/>
        <v>776.32592592592584</v>
      </c>
      <c r="E18" s="217">
        <f t="shared" si="3"/>
        <v>9302.2222222222226</v>
      </c>
      <c r="F18" s="217">
        <f t="shared" si="0"/>
        <v>10078.548148148149</v>
      </c>
      <c r="G18" s="217">
        <f t="shared" si="1"/>
        <v>456493.33333333326</v>
      </c>
    </row>
    <row r="19" spans="2:11">
      <c r="B19" s="218">
        <v>44681</v>
      </c>
      <c r="C19" s="217">
        <f t="shared" si="4"/>
        <v>456493.33333333326</v>
      </c>
      <c r="D19" s="217">
        <f t="shared" si="2"/>
        <v>760.82222222222208</v>
      </c>
      <c r="E19" s="217">
        <f t="shared" si="3"/>
        <v>9302.2222222222226</v>
      </c>
      <c r="F19" s="217">
        <f t="shared" si="0"/>
        <v>10063.044444444444</v>
      </c>
      <c r="G19" s="217">
        <f t="shared" si="1"/>
        <v>447191.11111111101</v>
      </c>
    </row>
    <row r="20" spans="2:11">
      <c r="B20" s="216">
        <v>44712</v>
      </c>
      <c r="C20" s="217">
        <f t="shared" si="4"/>
        <v>447191.11111111101</v>
      </c>
      <c r="D20" s="217">
        <f t="shared" si="2"/>
        <v>745.31851851851843</v>
      </c>
      <c r="E20" s="217">
        <f t="shared" si="3"/>
        <v>9302.2222222222226</v>
      </c>
      <c r="F20" s="217">
        <f t="shared" si="0"/>
        <v>10047.54074074074</v>
      </c>
      <c r="G20" s="217">
        <f t="shared" si="1"/>
        <v>437888.88888888876</v>
      </c>
    </row>
    <row r="21" spans="2:11">
      <c r="B21" s="218">
        <v>44742</v>
      </c>
      <c r="C21" s="217">
        <f>G20</f>
        <v>437888.88888888876</v>
      </c>
      <c r="D21" s="217">
        <f t="shared" si="2"/>
        <v>729.81481481481467</v>
      </c>
      <c r="E21" s="217">
        <f t="shared" si="3"/>
        <v>9302.2222222222226</v>
      </c>
      <c r="F21" s="217">
        <f t="shared" si="0"/>
        <v>10032.037037037036</v>
      </c>
      <c r="G21" s="217">
        <f t="shared" si="1"/>
        <v>428586.66666666651</v>
      </c>
      <c r="H21" s="205"/>
      <c r="I21" s="206"/>
      <c r="J21" s="206"/>
      <c r="K21" s="206"/>
    </row>
    <row r="22" spans="2:11">
      <c r="B22" s="216">
        <v>44773</v>
      </c>
      <c r="C22" s="217">
        <f t="shared" si="4"/>
        <v>428586.66666666651</v>
      </c>
      <c r="D22" s="217">
        <f t="shared" si="2"/>
        <v>714.31111111111079</v>
      </c>
      <c r="E22" s="217">
        <f t="shared" si="3"/>
        <v>9302.2222222222226</v>
      </c>
      <c r="F22" s="217">
        <f t="shared" si="0"/>
        <v>10016.533333333333</v>
      </c>
      <c r="G22" s="217">
        <f t="shared" si="1"/>
        <v>419284.44444444426</v>
      </c>
    </row>
    <row r="23" spans="2:11">
      <c r="B23" s="218">
        <v>44804</v>
      </c>
      <c r="C23" s="217">
        <f t="shared" si="4"/>
        <v>419284.44444444426</v>
      </c>
      <c r="D23" s="217">
        <f t="shared" si="2"/>
        <v>698.80740740740714</v>
      </c>
      <c r="E23" s="217">
        <f t="shared" si="3"/>
        <v>9302.2222222222226</v>
      </c>
      <c r="F23" s="217">
        <f t="shared" si="0"/>
        <v>10001.029629629629</v>
      </c>
      <c r="G23" s="217">
        <f t="shared" si="1"/>
        <v>409982.22222222202</v>
      </c>
    </row>
    <row r="24" spans="2:11">
      <c r="B24" s="216">
        <v>44834</v>
      </c>
      <c r="C24" s="217">
        <f t="shared" si="4"/>
        <v>409982.22222222202</v>
      </c>
      <c r="D24" s="217">
        <f t="shared" si="2"/>
        <v>683.30370370370338</v>
      </c>
      <c r="E24" s="217">
        <f t="shared" si="3"/>
        <v>9302.2222222222226</v>
      </c>
      <c r="F24" s="217">
        <f t="shared" si="0"/>
        <v>9985.5259259259255</v>
      </c>
      <c r="G24" s="217">
        <f t="shared" si="1"/>
        <v>400679.99999999977</v>
      </c>
    </row>
    <row r="25" spans="2:11">
      <c r="B25" s="218">
        <v>44865</v>
      </c>
      <c r="C25" s="217">
        <f t="shared" si="4"/>
        <v>400679.99999999977</v>
      </c>
      <c r="D25" s="217">
        <f t="shared" si="2"/>
        <v>667.79999999999961</v>
      </c>
      <c r="E25" s="217">
        <f t="shared" si="3"/>
        <v>9302.2222222222226</v>
      </c>
      <c r="F25" s="217">
        <f t="shared" si="0"/>
        <v>9970.0222222222219</v>
      </c>
      <c r="G25" s="217">
        <f t="shared" si="1"/>
        <v>391377.77777777752</v>
      </c>
    </row>
    <row r="26" spans="2:11">
      <c r="B26" s="216">
        <v>44895</v>
      </c>
      <c r="C26" s="217">
        <f t="shared" si="4"/>
        <v>391377.77777777752</v>
      </c>
      <c r="D26" s="217">
        <f t="shared" si="2"/>
        <v>652.29629629629585</v>
      </c>
      <c r="E26" s="217">
        <f t="shared" si="3"/>
        <v>9302.2222222222226</v>
      </c>
      <c r="F26" s="217">
        <f t="shared" si="0"/>
        <v>9954.5185185185182</v>
      </c>
      <c r="G26" s="217">
        <f t="shared" si="1"/>
        <v>382075.55555555527</v>
      </c>
    </row>
    <row r="27" spans="2:11">
      <c r="B27" s="219">
        <v>44926</v>
      </c>
      <c r="C27" s="220">
        <f>G26</f>
        <v>382075.55555555527</v>
      </c>
      <c r="D27" s="220">
        <f t="shared" si="2"/>
        <v>636.79259259259209</v>
      </c>
      <c r="E27" s="220">
        <f t="shared" si="3"/>
        <v>9302.2222222222226</v>
      </c>
      <c r="F27" s="220">
        <f t="shared" si="0"/>
        <v>9939.0148148148146</v>
      </c>
      <c r="G27" s="220">
        <f t="shared" si="1"/>
        <v>372773.33333333302</v>
      </c>
      <c r="H27" s="213"/>
      <c r="I27" s="214">
        <f>SUM(D16:D27)</f>
        <v>8664.7555555555518</v>
      </c>
      <c r="J27" s="214">
        <f>SUM(E16:E27)</f>
        <v>111626.66666666664</v>
      </c>
      <c r="K27" s="214">
        <f>I27+J27</f>
        <v>120291.4222222222</v>
      </c>
    </row>
    <row r="28" spans="2:11">
      <c r="B28" s="218">
        <v>44957</v>
      </c>
      <c r="C28" s="217">
        <f>G27+1700000*0.7</f>
        <v>1562773.333333333</v>
      </c>
      <c r="D28" s="217">
        <f t="shared" si="2"/>
        <v>2604.6222222222218</v>
      </c>
      <c r="E28" s="217">
        <f>$J$5/$J$8</f>
        <v>9302.2222222222226</v>
      </c>
      <c r="F28" s="217">
        <f t="shared" si="0"/>
        <v>11906.844444444445</v>
      </c>
      <c r="G28" s="217">
        <f t="shared" si="1"/>
        <v>1553471.1111111108</v>
      </c>
      <c r="I28" s="206"/>
      <c r="J28" s="206"/>
      <c r="K28" s="206"/>
    </row>
    <row r="29" spans="2:11">
      <c r="B29" s="216">
        <v>44985</v>
      </c>
      <c r="C29" s="217">
        <f t="shared" ref="C29:C92" si="5">G28</f>
        <v>1553471.1111111108</v>
      </c>
      <c r="D29" s="217">
        <f t="shared" si="2"/>
        <v>2589.1185185185182</v>
      </c>
      <c r="E29" s="217">
        <f t="shared" ref="E29:E92" si="6">$J$5/$J$8</f>
        <v>9302.2222222222226</v>
      </c>
      <c r="F29" s="217">
        <f t="shared" si="0"/>
        <v>11891.340740740741</v>
      </c>
      <c r="G29" s="217">
        <f t="shared" si="1"/>
        <v>1544168.8888888885</v>
      </c>
      <c r="I29" s="206"/>
      <c r="J29" s="206"/>
      <c r="K29" s="206"/>
    </row>
    <row r="30" spans="2:11">
      <c r="B30" s="218">
        <v>45016</v>
      </c>
      <c r="C30" s="217">
        <f t="shared" si="5"/>
        <v>1544168.8888888885</v>
      </c>
      <c r="D30" s="217">
        <f t="shared" si="2"/>
        <v>2573.6148148148145</v>
      </c>
      <c r="E30" s="217">
        <f t="shared" si="6"/>
        <v>9302.2222222222226</v>
      </c>
      <c r="F30" s="217">
        <f t="shared" si="0"/>
        <v>11875.837037037038</v>
      </c>
      <c r="G30" s="217">
        <f t="shared" si="1"/>
        <v>1534866.6666666663</v>
      </c>
      <c r="I30" s="206"/>
      <c r="J30" s="206"/>
      <c r="K30" s="206"/>
    </row>
    <row r="31" spans="2:11">
      <c r="B31" s="216">
        <v>45046</v>
      </c>
      <c r="C31" s="217">
        <f t="shared" si="5"/>
        <v>1534866.6666666663</v>
      </c>
      <c r="D31" s="217">
        <f t="shared" si="2"/>
        <v>2558.1111111111104</v>
      </c>
      <c r="E31" s="217">
        <f t="shared" si="6"/>
        <v>9302.2222222222226</v>
      </c>
      <c r="F31" s="217">
        <f t="shared" si="0"/>
        <v>11860.333333333332</v>
      </c>
      <c r="G31" s="217">
        <f t="shared" si="1"/>
        <v>1525564.444444444</v>
      </c>
      <c r="I31" s="206"/>
      <c r="J31" s="206"/>
      <c r="K31" s="206"/>
    </row>
    <row r="32" spans="2:11">
      <c r="B32" s="218">
        <v>45077</v>
      </c>
      <c r="C32" s="217">
        <f t="shared" si="5"/>
        <v>1525564.444444444</v>
      </c>
      <c r="D32" s="217">
        <f t="shared" si="2"/>
        <v>2542.6074074074068</v>
      </c>
      <c r="E32" s="217">
        <f t="shared" si="6"/>
        <v>9302.2222222222226</v>
      </c>
      <c r="F32" s="217">
        <f t="shared" si="0"/>
        <v>11844.829629629628</v>
      </c>
      <c r="G32" s="217">
        <f t="shared" si="1"/>
        <v>1516262.2222222218</v>
      </c>
      <c r="I32" s="206"/>
      <c r="J32" s="206"/>
      <c r="K32" s="206"/>
    </row>
    <row r="33" spans="2:11">
      <c r="B33" s="216">
        <v>45107</v>
      </c>
      <c r="C33" s="217">
        <f t="shared" si="5"/>
        <v>1516262.2222222218</v>
      </c>
      <c r="D33" s="217">
        <f t="shared" si="2"/>
        <v>2527.1037037037031</v>
      </c>
      <c r="E33" s="217">
        <f t="shared" si="6"/>
        <v>9302.2222222222226</v>
      </c>
      <c r="F33" s="217">
        <f t="shared" si="0"/>
        <v>11829.325925925925</v>
      </c>
      <c r="G33" s="217">
        <f t="shared" si="1"/>
        <v>1506959.9999999995</v>
      </c>
      <c r="I33" s="206"/>
      <c r="J33" s="206"/>
      <c r="K33" s="206"/>
    </row>
    <row r="34" spans="2:11">
      <c r="B34" s="218">
        <v>45138</v>
      </c>
      <c r="C34" s="217">
        <f t="shared" si="5"/>
        <v>1506959.9999999995</v>
      </c>
      <c r="D34" s="217">
        <f t="shared" si="2"/>
        <v>2511.599999999999</v>
      </c>
      <c r="E34" s="217">
        <f t="shared" si="6"/>
        <v>9302.2222222222226</v>
      </c>
      <c r="F34" s="217">
        <f t="shared" si="0"/>
        <v>11813.822222222221</v>
      </c>
      <c r="G34" s="217">
        <f t="shared" si="1"/>
        <v>1497657.7777777773</v>
      </c>
      <c r="I34" s="206"/>
      <c r="J34" s="206"/>
      <c r="K34" s="206"/>
    </row>
    <row r="35" spans="2:11">
      <c r="B35" s="216">
        <v>45169</v>
      </c>
      <c r="C35" s="217">
        <f t="shared" si="5"/>
        <v>1497657.7777777773</v>
      </c>
      <c r="D35" s="217">
        <f t="shared" si="2"/>
        <v>2496.0962962962953</v>
      </c>
      <c r="E35" s="217">
        <f t="shared" si="6"/>
        <v>9302.2222222222226</v>
      </c>
      <c r="F35" s="217">
        <f t="shared" si="0"/>
        <v>11798.318518518518</v>
      </c>
      <c r="G35" s="217">
        <f t="shared" si="1"/>
        <v>1488355.555555555</v>
      </c>
      <c r="I35" s="206"/>
      <c r="J35" s="206"/>
      <c r="K35" s="206"/>
    </row>
    <row r="36" spans="2:11">
      <c r="B36" s="218">
        <v>45199</v>
      </c>
      <c r="C36" s="217">
        <f t="shared" si="5"/>
        <v>1488355.555555555</v>
      </c>
      <c r="D36" s="217">
        <f t="shared" si="2"/>
        <v>2480.5925925925917</v>
      </c>
      <c r="E36" s="217">
        <f t="shared" si="6"/>
        <v>9302.2222222222226</v>
      </c>
      <c r="F36" s="217">
        <f t="shared" si="0"/>
        <v>11782.814814814814</v>
      </c>
      <c r="G36" s="217">
        <f t="shared" si="1"/>
        <v>1479053.3333333328</v>
      </c>
      <c r="I36" s="206"/>
      <c r="J36" s="206"/>
      <c r="K36" s="206"/>
    </row>
    <row r="37" spans="2:11">
      <c r="B37" s="216">
        <v>45230</v>
      </c>
      <c r="C37" s="217">
        <f t="shared" si="5"/>
        <v>1479053.3333333328</v>
      </c>
      <c r="D37" s="217">
        <f t="shared" si="2"/>
        <v>2465.0888888888881</v>
      </c>
      <c r="E37" s="217">
        <f t="shared" si="6"/>
        <v>9302.2222222222226</v>
      </c>
      <c r="F37" s="217">
        <f t="shared" si="0"/>
        <v>11767.31111111111</v>
      </c>
      <c r="G37" s="217">
        <f t="shared" si="1"/>
        <v>1469751.1111111105</v>
      </c>
      <c r="I37" s="206"/>
      <c r="J37" s="206"/>
      <c r="K37" s="206"/>
    </row>
    <row r="38" spans="2:11">
      <c r="B38" s="218">
        <v>45260</v>
      </c>
      <c r="C38" s="217">
        <f t="shared" si="5"/>
        <v>1469751.1111111105</v>
      </c>
      <c r="D38" s="217">
        <f t="shared" si="2"/>
        <v>2449.5851851851844</v>
      </c>
      <c r="E38" s="217">
        <f t="shared" si="6"/>
        <v>9302.2222222222226</v>
      </c>
      <c r="F38" s="217">
        <f t="shared" si="0"/>
        <v>11751.807407407407</v>
      </c>
      <c r="G38" s="217">
        <f t="shared" si="1"/>
        <v>1460448.8888888883</v>
      </c>
      <c r="I38" s="206"/>
      <c r="J38" s="206"/>
      <c r="K38" s="206"/>
    </row>
    <row r="39" spans="2:11">
      <c r="B39" s="221">
        <v>45291</v>
      </c>
      <c r="C39" s="220">
        <f>G38</f>
        <v>1460448.8888888883</v>
      </c>
      <c r="D39" s="220">
        <f t="shared" si="2"/>
        <v>2434.0814814814808</v>
      </c>
      <c r="E39" s="220">
        <f t="shared" si="6"/>
        <v>9302.2222222222226</v>
      </c>
      <c r="F39" s="220">
        <f t="shared" si="0"/>
        <v>11736.303703703703</v>
      </c>
      <c r="G39" s="220">
        <f t="shared" si="1"/>
        <v>1451146.666666666</v>
      </c>
      <c r="H39" s="213"/>
      <c r="I39" s="214">
        <f>SUM(D28:D39)</f>
        <v>30232.222222222208</v>
      </c>
      <c r="J39" s="214">
        <f>SUM(E28:E39)</f>
        <v>111626.66666666664</v>
      </c>
      <c r="K39" s="214">
        <f>I39+J39</f>
        <v>141858.88888888885</v>
      </c>
    </row>
    <row r="40" spans="2:11">
      <c r="B40" s="218">
        <v>45322</v>
      </c>
      <c r="C40" s="217">
        <f>G39</f>
        <v>1451146.666666666</v>
      </c>
      <c r="D40" s="217">
        <f t="shared" si="2"/>
        <v>2418.5777777777766</v>
      </c>
      <c r="E40" s="217">
        <f t="shared" si="6"/>
        <v>9302.2222222222226</v>
      </c>
      <c r="F40" s="217">
        <f t="shared" si="0"/>
        <v>11720.8</v>
      </c>
      <c r="G40" s="217">
        <f t="shared" si="1"/>
        <v>1441844.4444444438</v>
      </c>
      <c r="I40" s="206"/>
      <c r="J40" s="206"/>
      <c r="K40" s="206"/>
    </row>
    <row r="41" spans="2:11">
      <c r="B41" s="218">
        <v>45351</v>
      </c>
      <c r="C41" s="217">
        <f t="shared" si="5"/>
        <v>1441844.4444444438</v>
      </c>
      <c r="D41" s="217">
        <f t="shared" si="2"/>
        <v>2403.074074074073</v>
      </c>
      <c r="E41" s="217">
        <f t="shared" si="6"/>
        <v>9302.2222222222226</v>
      </c>
      <c r="F41" s="217">
        <f t="shared" si="0"/>
        <v>11705.296296296296</v>
      </c>
      <c r="G41" s="217">
        <f t="shared" si="1"/>
        <v>1432542.2222222215</v>
      </c>
      <c r="I41" s="206"/>
      <c r="J41" s="206"/>
      <c r="K41" s="206"/>
    </row>
    <row r="42" spans="2:11">
      <c r="B42" s="216">
        <v>45382</v>
      </c>
      <c r="C42" s="217">
        <f t="shared" si="5"/>
        <v>1432542.2222222215</v>
      </c>
      <c r="D42" s="217">
        <f t="shared" si="2"/>
        <v>2387.5703703703693</v>
      </c>
      <c r="E42" s="217">
        <f t="shared" si="6"/>
        <v>9302.2222222222226</v>
      </c>
      <c r="F42" s="217">
        <f t="shared" si="0"/>
        <v>11689.792592592592</v>
      </c>
      <c r="G42" s="217">
        <f t="shared" si="1"/>
        <v>1423239.9999999993</v>
      </c>
      <c r="I42" s="206"/>
      <c r="J42" s="206"/>
      <c r="K42" s="206"/>
    </row>
    <row r="43" spans="2:11">
      <c r="B43" s="218">
        <v>45412</v>
      </c>
      <c r="C43" s="217">
        <f t="shared" si="5"/>
        <v>1423239.9999999993</v>
      </c>
      <c r="D43" s="217">
        <f t="shared" si="2"/>
        <v>2372.0666666666657</v>
      </c>
      <c r="E43" s="217">
        <f t="shared" si="6"/>
        <v>9302.2222222222226</v>
      </c>
      <c r="F43" s="217">
        <f t="shared" si="0"/>
        <v>11674.288888888888</v>
      </c>
      <c r="G43" s="217">
        <f t="shared" si="1"/>
        <v>1413937.7777777771</v>
      </c>
      <c r="I43" s="206"/>
      <c r="J43" s="206"/>
      <c r="K43" s="206"/>
    </row>
    <row r="44" spans="2:11">
      <c r="B44" s="216">
        <v>45443</v>
      </c>
      <c r="C44" s="217">
        <f t="shared" si="5"/>
        <v>1413937.7777777771</v>
      </c>
      <c r="D44" s="217">
        <f t="shared" si="2"/>
        <v>2356.5629629629616</v>
      </c>
      <c r="E44" s="217">
        <f t="shared" si="6"/>
        <v>9302.2222222222226</v>
      </c>
      <c r="F44" s="217">
        <f t="shared" si="0"/>
        <v>11658.785185185185</v>
      </c>
      <c r="G44" s="217">
        <f t="shared" si="1"/>
        <v>1404635.5555555548</v>
      </c>
      <c r="I44" s="206"/>
      <c r="J44" s="206"/>
      <c r="K44" s="206"/>
    </row>
    <row r="45" spans="2:11">
      <c r="B45" s="218">
        <v>45473</v>
      </c>
      <c r="C45" s="217">
        <f t="shared" si="5"/>
        <v>1404635.5555555548</v>
      </c>
      <c r="D45" s="217">
        <f t="shared" si="2"/>
        <v>2341.0592592592579</v>
      </c>
      <c r="E45" s="217">
        <f t="shared" si="6"/>
        <v>9302.2222222222226</v>
      </c>
      <c r="F45" s="217">
        <f t="shared" si="0"/>
        <v>11643.281481481481</v>
      </c>
      <c r="G45" s="217">
        <f t="shared" si="1"/>
        <v>1395333.3333333326</v>
      </c>
      <c r="I45" s="206"/>
      <c r="J45" s="206"/>
      <c r="K45" s="206"/>
    </row>
    <row r="46" spans="2:11">
      <c r="B46" s="216">
        <v>45504</v>
      </c>
      <c r="C46" s="217">
        <f t="shared" si="5"/>
        <v>1395333.3333333326</v>
      </c>
      <c r="D46" s="217">
        <f t="shared" si="2"/>
        <v>2325.5555555555543</v>
      </c>
      <c r="E46" s="217">
        <f t="shared" si="6"/>
        <v>9302.2222222222226</v>
      </c>
      <c r="F46" s="217">
        <f t="shared" si="0"/>
        <v>11627.777777777777</v>
      </c>
      <c r="G46" s="217">
        <f t="shared" si="1"/>
        <v>1386031.1111111103</v>
      </c>
      <c r="I46" s="206"/>
      <c r="J46" s="206"/>
      <c r="K46" s="206"/>
    </row>
    <row r="47" spans="2:11">
      <c r="B47" s="218">
        <v>45535</v>
      </c>
      <c r="C47" s="217">
        <f t="shared" si="5"/>
        <v>1386031.1111111103</v>
      </c>
      <c r="D47" s="217">
        <f t="shared" si="2"/>
        <v>2310.0518518518506</v>
      </c>
      <c r="E47" s="217">
        <f t="shared" si="6"/>
        <v>9302.2222222222226</v>
      </c>
      <c r="F47" s="217">
        <f t="shared" si="0"/>
        <v>11612.274074074074</v>
      </c>
      <c r="G47" s="217">
        <f t="shared" si="1"/>
        <v>1376728.8888888881</v>
      </c>
      <c r="I47" s="206"/>
      <c r="J47" s="206"/>
      <c r="K47" s="206"/>
    </row>
    <row r="48" spans="2:11">
      <c r="B48" s="216">
        <v>45565</v>
      </c>
      <c r="C48" s="217">
        <f t="shared" si="5"/>
        <v>1376728.8888888881</v>
      </c>
      <c r="D48" s="217">
        <f t="shared" si="2"/>
        <v>2294.548148148147</v>
      </c>
      <c r="E48" s="217">
        <f t="shared" si="6"/>
        <v>9302.2222222222226</v>
      </c>
      <c r="F48" s="217">
        <f t="shared" si="0"/>
        <v>11596.77037037037</v>
      </c>
      <c r="G48" s="217">
        <f t="shared" si="1"/>
        <v>1367426.6666666658</v>
      </c>
      <c r="I48" s="206"/>
      <c r="J48" s="206"/>
      <c r="K48" s="206"/>
    </row>
    <row r="49" spans="2:11">
      <c r="B49" s="218">
        <v>45596</v>
      </c>
      <c r="C49" s="217">
        <f t="shared" si="5"/>
        <v>1367426.6666666658</v>
      </c>
      <c r="D49" s="217">
        <f t="shared" si="2"/>
        <v>2279.0444444444433</v>
      </c>
      <c r="E49" s="217">
        <f t="shared" si="6"/>
        <v>9302.2222222222226</v>
      </c>
      <c r="F49" s="217">
        <f t="shared" si="0"/>
        <v>11581.266666666666</v>
      </c>
      <c r="G49" s="217">
        <f t="shared" si="1"/>
        <v>1358124.4444444436</v>
      </c>
      <c r="I49" s="206"/>
      <c r="J49" s="206"/>
      <c r="K49" s="206"/>
    </row>
    <row r="50" spans="2:11">
      <c r="B50" s="216">
        <v>45626</v>
      </c>
      <c r="C50" s="217">
        <f t="shared" si="5"/>
        <v>1358124.4444444436</v>
      </c>
      <c r="D50" s="217">
        <f t="shared" si="2"/>
        <v>2263.5407407407392</v>
      </c>
      <c r="E50" s="217">
        <f t="shared" si="6"/>
        <v>9302.2222222222226</v>
      </c>
      <c r="F50" s="217">
        <f t="shared" si="0"/>
        <v>11565.762962962963</v>
      </c>
      <c r="G50" s="217">
        <f t="shared" si="1"/>
        <v>1348822.2222222213</v>
      </c>
      <c r="I50" s="206"/>
      <c r="J50" s="206"/>
      <c r="K50" s="206"/>
    </row>
    <row r="51" spans="2:11">
      <c r="B51" s="219">
        <v>45657</v>
      </c>
      <c r="C51" s="220">
        <f t="shared" si="5"/>
        <v>1348822.2222222213</v>
      </c>
      <c r="D51" s="220">
        <f t="shared" si="2"/>
        <v>2248.0370370370356</v>
      </c>
      <c r="E51" s="220">
        <f t="shared" si="6"/>
        <v>9302.2222222222226</v>
      </c>
      <c r="F51" s="220">
        <f t="shared" si="0"/>
        <v>11550.259259259259</v>
      </c>
      <c r="G51" s="220">
        <f t="shared" si="1"/>
        <v>1339519.9999999991</v>
      </c>
      <c r="H51" s="213"/>
      <c r="I51" s="214">
        <f>SUM(D40:D51)</f>
        <v>27999.688888888879</v>
      </c>
      <c r="J51" s="214">
        <f>SUM(E40:E51)</f>
        <v>111626.66666666664</v>
      </c>
      <c r="K51" s="214">
        <f>I51+J51</f>
        <v>139626.35555555552</v>
      </c>
    </row>
    <row r="52" spans="2:11">
      <c r="B52" s="216">
        <v>45688</v>
      </c>
      <c r="C52" s="217">
        <f t="shared" si="5"/>
        <v>1339519.9999999991</v>
      </c>
      <c r="D52" s="217">
        <f t="shared" si="2"/>
        <v>2232.5333333333319</v>
      </c>
      <c r="E52" s="217">
        <f t="shared" si="6"/>
        <v>9302.2222222222226</v>
      </c>
      <c r="F52" s="217">
        <f t="shared" si="0"/>
        <v>11534.755555555555</v>
      </c>
      <c r="G52" s="217">
        <f t="shared" si="1"/>
        <v>1330217.7777777768</v>
      </c>
      <c r="I52" s="206"/>
      <c r="J52" s="206"/>
      <c r="K52" s="206"/>
    </row>
    <row r="53" spans="2:11">
      <c r="B53" s="218">
        <v>45716</v>
      </c>
      <c r="C53" s="217">
        <f t="shared" si="5"/>
        <v>1330217.7777777768</v>
      </c>
      <c r="D53" s="217">
        <f t="shared" si="2"/>
        <v>2217.0296296296278</v>
      </c>
      <c r="E53" s="217">
        <f t="shared" si="6"/>
        <v>9302.2222222222226</v>
      </c>
      <c r="F53" s="217">
        <f t="shared" si="0"/>
        <v>11519.25185185185</v>
      </c>
      <c r="G53" s="217">
        <f t="shared" si="1"/>
        <v>1320915.5555555546</v>
      </c>
      <c r="I53" s="206"/>
      <c r="J53" s="206"/>
      <c r="K53" s="206"/>
    </row>
    <row r="54" spans="2:11">
      <c r="B54" s="218">
        <v>45747</v>
      </c>
      <c r="C54" s="217">
        <f t="shared" si="5"/>
        <v>1320915.5555555546</v>
      </c>
      <c r="D54" s="217">
        <f t="shared" si="2"/>
        <v>2201.5259259259242</v>
      </c>
      <c r="E54" s="217">
        <f t="shared" si="6"/>
        <v>9302.2222222222226</v>
      </c>
      <c r="F54" s="217">
        <f t="shared" si="0"/>
        <v>11503.748148148146</v>
      </c>
      <c r="G54" s="217">
        <f t="shared" si="1"/>
        <v>1311613.3333333323</v>
      </c>
      <c r="I54" s="206"/>
      <c r="J54" s="206"/>
      <c r="K54" s="206"/>
    </row>
    <row r="55" spans="2:11">
      <c r="B55" s="216">
        <v>45777</v>
      </c>
      <c r="C55" s="217">
        <f t="shared" si="5"/>
        <v>1311613.3333333323</v>
      </c>
      <c r="D55" s="217">
        <f t="shared" si="2"/>
        <v>2186.0222222222205</v>
      </c>
      <c r="E55" s="217">
        <f t="shared" si="6"/>
        <v>9302.2222222222226</v>
      </c>
      <c r="F55" s="217">
        <f t="shared" si="0"/>
        <v>11488.244444444443</v>
      </c>
      <c r="G55" s="217">
        <f t="shared" si="1"/>
        <v>1302311.1111111101</v>
      </c>
      <c r="I55" s="206"/>
      <c r="J55" s="206"/>
      <c r="K55" s="206"/>
    </row>
    <row r="56" spans="2:11">
      <c r="B56" s="218">
        <v>45808</v>
      </c>
      <c r="C56" s="217">
        <f t="shared" si="5"/>
        <v>1302311.1111111101</v>
      </c>
      <c r="D56" s="217">
        <f t="shared" si="2"/>
        <v>2170.5185185185169</v>
      </c>
      <c r="E56" s="217">
        <f t="shared" si="6"/>
        <v>9302.2222222222226</v>
      </c>
      <c r="F56" s="217">
        <f t="shared" si="0"/>
        <v>11472.740740740739</v>
      </c>
      <c r="G56" s="217">
        <f t="shared" si="1"/>
        <v>1293008.8888888878</v>
      </c>
      <c r="I56" s="206"/>
      <c r="J56" s="206"/>
      <c r="K56" s="206"/>
    </row>
    <row r="57" spans="2:11">
      <c r="B57" s="216">
        <v>45838</v>
      </c>
      <c r="C57" s="217">
        <f t="shared" si="5"/>
        <v>1293008.8888888878</v>
      </c>
      <c r="D57" s="217">
        <f t="shared" si="2"/>
        <v>2155.0148148148132</v>
      </c>
      <c r="E57" s="217">
        <f t="shared" si="6"/>
        <v>9302.2222222222226</v>
      </c>
      <c r="F57" s="217">
        <f t="shared" si="0"/>
        <v>11457.237037037035</v>
      </c>
      <c r="G57" s="217">
        <f t="shared" si="1"/>
        <v>1283706.6666666656</v>
      </c>
      <c r="I57" s="206"/>
      <c r="J57" s="206"/>
      <c r="K57" s="206"/>
    </row>
    <row r="58" spans="2:11">
      <c r="B58" s="218">
        <v>45869</v>
      </c>
      <c r="C58" s="217">
        <f t="shared" si="5"/>
        <v>1283706.6666666656</v>
      </c>
      <c r="D58" s="217">
        <f t="shared" si="2"/>
        <v>2139.5111111111096</v>
      </c>
      <c r="E58" s="217">
        <f t="shared" si="6"/>
        <v>9302.2222222222226</v>
      </c>
      <c r="F58" s="217">
        <f t="shared" si="0"/>
        <v>11441.733333333332</v>
      </c>
      <c r="G58" s="217">
        <f t="shared" si="1"/>
        <v>1274404.4444444433</v>
      </c>
      <c r="I58" s="206"/>
      <c r="J58" s="206"/>
      <c r="K58" s="206"/>
    </row>
    <row r="59" spans="2:11">
      <c r="B59" s="216">
        <v>45900</v>
      </c>
      <c r="C59" s="217">
        <f t="shared" si="5"/>
        <v>1274404.4444444433</v>
      </c>
      <c r="D59" s="217">
        <f t="shared" si="2"/>
        <v>2124.0074074074055</v>
      </c>
      <c r="E59" s="217">
        <f t="shared" si="6"/>
        <v>9302.2222222222226</v>
      </c>
      <c r="F59" s="217">
        <f t="shared" si="0"/>
        <v>11426.229629629628</v>
      </c>
      <c r="G59" s="217">
        <f t="shared" si="1"/>
        <v>1265102.2222222211</v>
      </c>
      <c r="I59" s="206"/>
      <c r="J59" s="206"/>
      <c r="K59" s="206"/>
    </row>
    <row r="60" spans="2:11">
      <c r="B60" s="218">
        <v>45930</v>
      </c>
      <c r="C60" s="217">
        <f t="shared" si="5"/>
        <v>1265102.2222222211</v>
      </c>
      <c r="D60" s="217">
        <f t="shared" si="2"/>
        <v>2108.5037037037018</v>
      </c>
      <c r="E60" s="217">
        <f t="shared" si="6"/>
        <v>9302.2222222222226</v>
      </c>
      <c r="F60" s="217">
        <f t="shared" si="0"/>
        <v>11410.725925925924</v>
      </c>
      <c r="G60" s="217">
        <f t="shared" si="1"/>
        <v>1255799.9999999988</v>
      </c>
      <c r="I60" s="206"/>
      <c r="J60" s="206"/>
      <c r="K60" s="206"/>
    </row>
    <row r="61" spans="2:11">
      <c r="B61" s="216">
        <v>45961</v>
      </c>
      <c r="C61" s="217">
        <f t="shared" si="5"/>
        <v>1255799.9999999988</v>
      </c>
      <c r="D61" s="217">
        <f t="shared" si="2"/>
        <v>2092.9999999999982</v>
      </c>
      <c r="E61" s="217">
        <f t="shared" si="6"/>
        <v>9302.2222222222226</v>
      </c>
      <c r="F61" s="217">
        <f t="shared" si="0"/>
        <v>11395.222222222221</v>
      </c>
      <c r="G61" s="217">
        <f t="shared" si="1"/>
        <v>1246497.7777777766</v>
      </c>
      <c r="I61" s="206"/>
      <c r="J61" s="206"/>
      <c r="K61" s="206"/>
    </row>
    <row r="62" spans="2:11">
      <c r="B62" s="218">
        <v>45991</v>
      </c>
      <c r="C62" s="217">
        <f t="shared" si="5"/>
        <v>1246497.7777777766</v>
      </c>
      <c r="D62" s="217">
        <f t="shared" si="2"/>
        <v>2077.4962962962941</v>
      </c>
      <c r="E62" s="217">
        <f t="shared" si="6"/>
        <v>9302.2222222222226</v>
      </c>
      <c r="F62" s="217">
        <f t="shared" si="0"/>
        <v>11379.718518518517</v>
      </c>
      <c r="G62" s="217">
        <f t="shared" si="1"/>
        <v>1237195.5555555543</v>
      </c>
      <c r="I62" s="206"/>
      <c r="J62" s="206"/>
      <c r="K62" s="206"/>
    </row>
    <row r="63" spans="2:11">
      <c r="B63" s="221">
        <v>46022</v>
      </c>
      <c r="C63" s="220">
        <f t="shared" si="5"/>
        <v>1237195.5555555543</v>
      </c>
      <c r="D63" s="220">
        <f t="shared" si="2"/>
        <v>2061.9925925925904</v>
      </c>
      <c r="E63" s="220">
        <f t="shared" si="6"/>
        <v>9302.2222222222226</v>
      </c>
      <c r="F63" s="220">
        <f t="shared" si="0"/>
        <v>11364.214814814814</v>
      </c>
      <c r="G63" s="220">
        <f t="shared" si="1"/>
        <v>1227893.3333333321</v>
      </c>
      <c r="H63" s="213"/>
      <c r="I63" s="214">
        <f>SUM(D52:D63)</f>
        <v>25767.155555555531</v>
      </c>
      <c r="J63" s="214">
        <f>SUM(E52:E63)</f>
        <v>111626.66666666664</v>
      </c>
      <c r="K63" s="214">
        <f>I63+J63</f>
        <v>137393.82222222217</v>
      </c>
    </row>
    <row r="64" spans="2:11">
      <c r="B64" s="218">
        <v>46053</v>
      </c>
      <c r="C64" s="217">
        <f t="shared" si="5"/>
        <v>1227893.3333333321</v>
      </c>
      <c r="D64" s="217">
        <f t="shared" si="2"/>
        <v>2046.488888888887</v>
      </c>
      <c r="E64" s="217">
        <f t="shared" si="6"/>
        <v>9302.2222222222226</v>
      </c>
      <c r="F64" s="217">
        <f t="shared" si="0"/>
        <v>11348.71111111111</v>
      </c>
      <c r="G64" s="217">
        <f t="shared" si="1"/>
        <v>1218591.1111111098</v>
      </c>
      <c r="I64" s="206"/>
      <c r="J64" s="206"/>
      <c r="K64" s="206"/>
    </row>
    <row r="65" spans="2:11">
      <c r="B65" s="216">
        <v>46081</v>
      </c>
      <c r="C65" s="217">
        <f t="shared" si="5"/>
        <v>1218591.1111111098</v>
      </c>
      <c r="D65" s="217">
        <f t="shared" si="2"/>
        <v>2030.9851851851829</v>
      </c>
      <c r="E65" s="217">
        <f t="shared" si="6"/>
        <v>9302.2222222222226</v>
      </c>
      <c r="F65" s="217">
        <f t="shared" si="0"/>
        <v>11333.207407407406</v>
      </c>
      <c r="G65" s="217">
        <f t="shared" si="1"/>
        <v>1209288.8888888876</v>
      </c>
      <c r="I65" s="206"/>
      <c r="J65" s="206"/>
      <c r="K65" s="206"/>
    </row>
    <row r="66" spans="2:11">
      <c r="B66" s="218">
        <v>46112</v>
      </c>
      <c r="C66" s="217">
        <f t="shared" si="5"/>
        <v>1209288.8888888876</v>
      </c>
      <c r="D66" s="217">
        <f t="shared" si="2"/>
        <v>2015.4814814814792</v>
      </c>
      <c r="E66" s="217">
        <f t="shared" si="6"/>
        <v>9302.2222222222226</v>
      </c>
      <c r="F66" s="217">
        <f t="shared" si="0"/>
        <v>11317.703703703703</v>
      </c>
      <c r="G66" s="217">
        <f t="shared" si="1"/>
        <v>1199986.6666666653</v>
      </c>
      <c r="I66" s="206"/>
      <c r="J66" s="206"/>
      <c r="K66" s="206"/>
    </row>
    <row r="67" spans="2:11">
      <c r="B67" s="218">
        <v>46142</v>
      </c>
      <c r="C67" s="217">
        <f t="shared" si="5"/>
        <v>1199986.6666666653</v>
      </c>
      <c r="D67" s="217">
        <f t="shared" si="2"/>
        <v>1999.9777777777756</v>
      </c>
      <c r="E67" s="217">
        <f t="shared" si="6"/>
        <v>9302.2222222222226</v>
      </c>
      <c r="F67" s="217">
        <f t="shared" si="0"/>
        <v>11302.199999999999</v>
      </c>
      <c r="G67" s="217">
        <f t="shared" si="1"/>
        <v>1190684.4444444431</v>
      </c>
      <c r="I67" s="206"/>
      <c r="J67" s="206"/>
      <c r="K67" s="206"/>
    </row>
    <row r="68" spans="2:11">
      <c r="B68" s="216">
        <v>46173</v>
      </c>
      <c r="C68" s="217">
        <f t="shared" si="5"/>
        <v>1190684.4444444431</v>
      </c>
      <c r="D68" s="217">
        <f t="shared" si="2"/>
        <v>1984.4740740740717</v>
      </c>
      <c r="E68" s="217">
        <f t="shared" si="6"/>
        <v>9302.2222222222226</v>
      </c>
      <c r="F68" s="217">
        <f t="shared" si="0"/>
        <v>11286.696296296293</v>
      </c>
      <c r="G68" s="217">
        <f t="shared" si="1"/>
        <v>1181382.2222222209</v>
      </c>
      <c r="I68" s="206"/>
      <c r="J68" s="206"/>
      <c r="K68" s="206"/>
    </row>
    <row r="69" spans="2:11">
      <c r="B69" s="218">
        <v>46203</v>
      </c>
      <c r="C69" s="217">
        <f t="shared" si="5"/>
        <v>1181382.2222222209</v>
      </c>
      <c r="D69" s="217">
        <f t="shared" si="2"/>
        <v>1968.9703703703681</v>
      </c>
      <c r="E69" s="217">
        <f t="shared" si="6"/>
        <v>9302.2222222222226</v>
      </c>
      <c r="F69" s="217">
        <f t="shared" si="0"/>
        <v>11271.19259259259</v>
      </c>
      <c r="G69" s="217">
        <f t="shared" si="1"/>
        <v>1172079.9999999986</v>
      </c>
      <c r="I69" s="206"/>
      <c r="J69" s="206"/>
      <c r="K69" s="206"/>
    </row>
    <row r="70" spans="2:11">
      <c r="B70" s="216">
        <v>46234</v>
      </c>
      <c r="C70" s="217">
        <f t="shared" si="5"/>
        <v>1172079.9999999986</v>
      </c>
      <c r="D70" s="217">
        <f t="shared" si="2"/>
        <v>1953.4666666666644</v>
      </c>
      <c r="E70" s="217">
        <f t="shared" si="6"/>
        <v>9302.2222222222226</v>
      </c>
      <c r="F70" s="217">
        <f t="shared" si="0"/>
        <v>11255.688888888886</v>
      </c>
      <c r="G70" s="217">
        <f t="shared" si="1"/>
        <v>1162777.7777777764</v>
      </c>
      <c r="I70" s="206"/>
      <c r="J70" s="206"/>
      <c r="K70" s="206"/>
    </row>
    <row r="71" spans="2:11">
      <c r="B71" s="218">
        <v>46265</v>
      </c>
      <c r="C71" s="217">
        <f t="shared" si="5"/>
        <v>1162777.7777777764</v>
      </c>
      <c r="D71" s="217">
        <f t="shared" si="2"/>
        <v>1937.9629629629608</v>
      </c>
      <c r="E71" s="217">
        <f t="shared" si="6"/>
        <v>9302.2222222222226</v>
      </c>
      <c r="F71" s="217">
        <f t="shared" si="0"/>
        <v>11240.185185185182</v>
      </c>
      <c r="G71" s="217">
        <f t="shared" si="1"/>
        <v>1153475.5555555541</v>
      </c>
      <c r="I71" s="206"/>
      <c r="J71" s="206"/>
      <c r="K71" s="206"/>
    </row>
    <row r="72" spans="2:11">
      <c r="B72" s="216">
        <v>46295</v>
      </c>
      <c r="C72" s="217">
        <f t="shared" si="5"/>
        <v>1153475.5555555541</v>
      </c>
      <c r="D72" s="217">
        <f t="shared" si="2"/>
        <v>1922.4592592592569</v>
      </c>
      <c r="E72" s="217">
        <f t="shared" si="6"/>
        <v>9302.2222222222226</v>
      </c>
      <c r="F72" s="217">
        <f t="shared" si="0"/>
        <v>11224.681481481479</v>
      </c>
      <c r="G72" s="217">
        <f t="shared" si="1"/>
        <v>1144173.3333333319</v>
      </c>
      <c r="I72" s="206"/>
      <c r="J72" s="206"/>
      <c r="K72" s="206"/>
    </row>
    <row r="73" spans="2:11">
      <c r="B73" s="218">
        <v>46326</v>
      </c>
      <c r="C73" s="217">
        <f t="shared" si="5"/>
        <v>1144173.3333333319</v>
      </c>
      <c r="D73" s="217">
        <f t="shared" si="2"/>
        <v>1906.9555555555532</v>
      </c>
      <c r="E73" s="217">
        <f t="shared" si="6"/>
        <v>9302.2222222222226</v>
      </c>
      <c r="F73" s="217">
        <f t="shared" si="0"/>
        <v>11209.177777777775</v>
      </c>
      <c r="G73" s="217">
        <f t="shared" si="1"/>
        <v>1134871.1111111096</v>
      </c>
      <c r="I73" s="206"/>
      <c r="J73" s="206"/>
      <c r="K73" s="206"/>
    </row>
    <row r="74" spans="2:11">
      <c r="B74" s="216">
        <v>46356</v>
      </c>
      <c r="C74" s="217">
        <f t="shared" si="5"/>
        <v>1134871.1111111096</v>
      </c>
      <c r="D74" s="217">
        <f t="shared" si="2"/>
        <v>1891.4518518518496</v>
      </c>
      <c r="E74" s="217">
        <f t="shared" si="6"/>
        <v>9302.2222222222226</v>
      </c>
      <c r="F74" s="217">
        <f t="shared" si="0"/>
        <v>11193.674074074072</v>
      </c>
      <c r="G74" s="217">
        <f t="shared" si="1"/>
        <v>1125568.8888888874</v>
      </c>
      <c r="I74" s="206"/>
      <c r="J74" s="206"/>
      <c r="K74" s="206"/>
    </row>
    <row r="75" spans="2:11">
      <c r="B75" s="219">
        <v>46387</v>
      </c>
      <c r="C75" s="220">
        <f t="shared" si="5"/>
        <v>1125568.8888888874</v>
      </c>
      <c r="D75" s="220">
        <f t="shared" si="2"/>
        <v>1875.9481481481455</v>
      </c>
      <c r="E75" s="220">
        <f t="shared" si="6"/>
        <v>9302.2222222222226</v>
      </c>
      <c r="F75" s="220">
        <f t="shared" si="0"/>
        <v>11178.170370370368</v>
      </c>
      <c r="G75" s="220">
        <f t="shared" si="1"/>
        <v>1116266.6666666651</v>
      </c>
      <c r="H75" s="213"/>
      <c r="I75" s="214">
        <f>SUM(D64:D75)</f>
        <v>23534.622222222191</v>
      </c>
      <c r="J75" s="214">
        <f>SUM(E64:E75)</f>
        <v>111626.66666666664</v>
      </c>
      <c r="K75" s="214">
        <f>I75+J75</f>
        <v>135161.28888888884</v>
      </c>
    </row>
    <row r="76" spans="2:11">
      <c r="B76" s="216">
        <v>46418</v>
      </c>
      <c r="C76" s="217">
        <f t="shared" si="5"/>
        <v>1116266.6666666651</v>
      </c>
      <c r="D76" s="217">
        <f t="shared" si="2"/>
        <v>1860.4444444444418</v>
      </c>
      <c r="E76" s="217">
        <f t="shared" si="6"/>
        <v>9302.2222222222226</v>
      </c>
      <c r="F76" s="217">
        <f t="shared" si="0"/>
        <v>11162.666666666664</v>
      </c>
      <c r="G76" s="217">
        <f t="shared" si="1"/>
        <v>1106964.4444444429</v>
      </c>
      <c r="I76" s="206"/>
      <c r="J76" s="206"/>
      <c r="K76" s="206"/>
    </row>
    <row r="77" spans="2:11">
      <c r="B77" s="218">
        <v>46446</v>
      </c>
      <c r="C77" s="217">
        <f t="shared" si="5"/>
        <v>1106964.4444444429</v>
      </c>
      <c r="D77" s="217">
        <f t="shared" si="2"/>
        <v>1844.9407407407382</v>
      </c>
      <c r="E77" s="217">
        <f t="shared" si="6"/>
        <v>9302.2222222222226</v>
      </c>
      <c r="F77" s="217">
        <f t="shared" si="0"/>
        <v>11147.162962962961</v>
      </c>
      <c r="G77" s="217">
        <f t="shared" si="1"/>
        <v>1097662.2222222206</v>
      </c>
      <c r="I77" s="206"/>
      <c r="J77" s="206"/>
      <c r="K77" s="206"/>
    </row>
    <row r="78" spans="2:11">
      <c r="B78" s="216">
        <v>46477</v>
      </c>
      <c r="C78" s="217">
        <f t="shared" si="5"/>
        <v>1097662.2222222206</v>
      </c>
      <c r="D78" s="217">
        <f t="shared" si="2"/>
        <v>1829.4370370370343</v>
      </c>
      <c r="E78" s="217">
        <f t="shared" si="6"/>
        <v>9302.2222222222226</v>
      </c>
      <c r="F78" s="217">
        <f t="shared" si="0"/>
        <v>11131.659259259257</v>
      </c>
      <c r="G78" s="217">
        <f t="shared" si="1"/>
        <v>1088359.9999999984</v>
      </c>
      <c r="I78" s="206"/>
      <c r="J78" s="206"/>
      <c r="K78" s="206"/>
    </row>
    <row r="79" spans="2:11">
      <c r="B79" s="218">
        <v>46507</v>
      </c>
      <c r="C79" s="217">
        <f t="shared" si="5"/>
        <v>1088359.9999999984</v>
      </c>
      <c r="D79" s="217">
        <f t="shared" si="2"/>
        <v>1813.9333333333307</v>
      </c>
      <c r="E79" s="217">
        <f t="shared" si="6"/>
        <v>9302.2222222222226</v>
      </c>
      <c r="F79" s="217">
        <f t="shared" ref="F79:F142" si="7">D79+E79</f>
        <v>11116.155555555553</v>
      </c>
      <c r="G79" s="217">
        <f t="shared" ref="G79:G142" si="8">C79-E79</f>
        <v>1079057.7777777761</v>
      </c>
      <c r="I79" s="206"/>
      <c r="J79" s="206"/>
      <c r="K79" s="206"/>
    </row>
    <row r="80" spans="2:11">
      <c r="B80" s="218">
        <v>46538</v>
      </c>
      <c r="C80" s="217">
        <f t="shared" si="5"/>
        <v>1079057.7777777761</v>
      </c>
      <c r="D80" s="217">
        <f t="shared" ref="D80:D143" si="9">C80*$J$6/12</f>
        <v>1798.429629629627</v>
      </c>
      <c r="E80" s="217">
        <f t="shared" si="6"/>
        <v>9302.2222222222226</v>
      </c>
      <c r="F80" s="217">
        <f t="shared" si="7"/>
        <v>11100.65185185185</v>
      </c>
      <c r="G80" s="217">
        <f t="shared" si="8"/>
        <v>1069755.5555555539</v>
      </c>
      <c r="I80" s="206"/>
      <c r="J80" s="206"/>
      <c r="K80" s="206"/>
    </row>
    <row r="81" spans="2:11">
      <c r="B81" s="216">
        <v>46568</v>
      </c>
      <c r="C81" s="217">
        <f t="shared" si="5"/>
        <v>1069755.5555555539</v>
      </c>
      <c r="D81" s="217">
        <f t="shared" si="9"/>
        <v>1782.9259259259231</v>
      </c>
      <c r="E81" s="217">
        <f t="shared" si="6"/>
        <v>9302.2222222222226</v>
      </c>
      <c r="F81" s="217">
        <f t="shared" si="7"/>
        <v>11085.148148148146</v>
      </c>
      <c r="G81" s="217">
        <f t="shared" si="8"/>
        <v>1060453.3333333316</v>
      </c>
      <c r="I81" s="206"/>
      <c r="J81" s="206"/>
      <c r="K81" s="206"/>
    </row>
    <row r="82" spans="2:11">
      <c r="B82" s="218">
        <v>46599</v>
      </c>
      <c r="C82" s="217">
        <f t="shared" si="5"/>
        <v>1060453.3333333316</v>
      </c>
      <c r="D82" s="217">
        <f t="shared" si="9"/>
        <v>1767.4222222222195</v>
      </c>
      <c r="E82" s="217">
        <f t="shared" si="6"/>
        <v>9302.2222222222226</v>
      </c>
      <c r="F82" s="217">
        <f t="shared" si="7"/>
        <v>11069.644444444442</v>
      </c>
      <c r="G82" s="217">
        <f t="shared" si="8"/>
        <v>1051151.1111111094</v>
      </c>
      <c r="I82" s="206"/>
      <c r="J82" s="206"/>
      <c r="K82" s="206"/>
    </row>
    <row r="83" spans="2:11">
      <c r="B83" s="216">
        <v>46630</v>
      </c>
      <c r="C83" s="217">
        <f t="shared" si="5"/>
        <v>1051151.1111111094</v>
      </c>
      <c r="D83" s="217">
        <f t="shared" si="9"/>
        <v>1751.9185185185158</v>
      </c>
      <c r="E83" s="217">
        <f t="shared" si="6"/>
        <v>9302.2222222222226</v>
      </c>
      <c r="F83" s="217">
        <f t="shared" si="7"/>
        <v>11054.140740740739</v>
      </c>
      <c r="G83" s="217">
        <f t="shared" si="8"/>
        <v>1041848.8888888871</v>
      </c>
      <c r="I83" s="206"/>
      <c r="J83" s="206"/>
      <c r="K83" s="206"/>
    </row>
    <row r="84" spans="2:11">
      <c r="B84" s="218">
        <v>46660</v>
      </c>
      <c r="C84" s="217">
        <f t="shared" si="5"/>
        <v>1041848.8888888871</v>
      </c>
      <c r="D84" s="217">
        <f t="shared" si="9"/>
        <v>1736.4148148148117</v>
      </c>
      <c r="E84" s="217">
        <f t="shared" si="6"/>
        <v>9302.2222222222226</v>
      </c>
      <c r="F84" s="217">
        <f t="shared" si="7"/>
        <v>11038.637037037035</v>
      </c>
      <c r="G84" s="217">
        <f t="shared" si="8"/>
        <v>1032546.6666666649</v>
      </c>
      <c r="I84" s="206"/>
      <c r="J84" s="206"/>
      <c r="K84" s="206"/>
    </row>
    <row r="85" spans="2:11">
      <c r="B85" s="216">
        <v>46691</v>
      </c>
      <c r="C85" s="217">
        <f t="shared" si="5"/>
        <v>1032546.6666666649</v>
      </c>
      <c r="D85" s="217">
        <f t="shared" si="9"/>
        <v>1720.9111111111081</v>
      </c>
      <c r="E85" s="217">
        <f t="shared" si="6"/>
        <v>9302.2222222222226</v>
      </c>
      <c r="F85" s="217">
        <f t="shared" si="7"/>
        <v>11023.133333333331</v>
      </c>
      <c r="G85" s="217">
        <f t="shared" si="8"/>
        <v>1023244.4444444426</v>
      </c>
      <c r="I85" s="206"/>
      <c r="J85" s="206"/>
      <c r="K85" s="206"/>
    </row>
    <row r="86" spans="2:11">
      <c r="B86" s="218">
        <v>46721</v>
      </c>
      <c r="C86" s="217">
        <f t="shared" si="5"/>
        <v>1023244.4444444426</v>
      </c>
      <c r="D86" s="217">
        <f t="shared" si="9"/>
        <v>1705.4074074074044</v>
      </c>
      <c r="E86" s="217">
        <f t="shared" si="6"/>
        <v>9302.2222222222226</v>
      </c>
      <c r="F86" s="217">
        <f t="shared" si="7"/>
        <v>11007.629629629628</v>
      </c>
      <c r="G86" s="217">
        <f t="shared" si="8"/>
        <v>1013942.2222222204</v>
      </c>
      <c r="I86" s="206"/>
      <c r="J86" s="206"/>
      <c r="K86" s="206"/>
    </row>
    <row r="87" spans="2:11">
      <c r="B87" s="221">
        <v>46752</v>
      </c>
      <c r="C87" s="220">
        <f t="shared" si="5"/>
        <v>1013942.2222222204</v>
      </c>
      <c r="D87" s="220">
        <f t="shared" si="9"/>
        <v>1689.9037037037006</v>
      </c>
      <c r="E87" s="220">
        <f t="shared" si="6"/>
        <v>9302.2222222222226</v>
      </c>
      <c r="F87" s="220">
        <f t="shared" si="7"/>
        <v>10992.125925925924</v>
      </c>
      <c r="G87" s="220">
        <f t="shared" si="8"/>
        <v>1004639.9999999981</v>
      </c>
      <c r="H87" s="213"/>
      <c r="I87" s="214">
        <f>SUM(D76:D87)</f>
        <v>21302.088888888858</v>
      </c>
      <c r="J87" s="214">
        <f>SUM(E76:E87)</f>
        <v>111626.66666666664</v>
      </c>
      <c r="K87" s="214">
        <f>I87+J87</f>
        <v>132928.75555555552</v>
      </c>
    </row>
    <row r="88" spans="2:11">
      <c r="B88" s="218">
        <v>46783</v>
      </c>
      <c r="C88" s="217">
        <f t="shared" si="5"/>
        <v>1004639.9999999981</v>
      </c>
      <c r="D88" s="217">
        <f t="shared" si="9"/>
        <v>1674.3999999999969</v>
      </c>
      <c r="E88" s="217">
        <f t="shared" si="6"/>
        <v>9302.2222222222226</v>
      </c>
      <c r="F88" s="217">
        <f t="shared" si="7"/>
        <v>10976.62222222222</v>
      </c>
      <c r="G88" s="217">
        <f t="shared" si="8"/>
        <v>995337.77777777589</v>
      </c>
      <c r="I88" s="206"/>
      <c r="J88" s="206"/>
      <c r="K88" s="206"/>
    </row>
    <row r="89" spans="2:11">
      <c r="B89" s="216">
        <v>46812</v>
      </c>
      <c r="C89" s="217">
        <f t="shared" si="5"/>
        <v>995337.77777777589</v>
      </c>
      <c r="D89" s="217">
        <f t="shared" si="9"/>
        <v>1658.8962962962933</v>
      </c>
      <c r="E89" s="217">
        <f t="shared" si="6"/>
        <v>9302.2222222222226</v>
      </c>
      <c r="F89" s="217">
        <f t="shared" si="7"/>
        <v>10961.118518518517</v>
      </c>
      <c r="G89" s="217">
        <f t="shared" si="8"/>
        <v>986035.55555555364</v>
      </c>
      <c r="I89" s="206"/>
      <c r="J89" s="206"/>
      <c r="K89" s="206"/>
    </row>
    <row r="90" spans="2:11">
      <c r="B90" s="218">
        <v>46843</v>
      </c>
      <c r="C90" s="217">
        <f t="shared" si="5"/>
        <v>986035.55555555364</v>
      </c>
      <c r="D90" s="217">
        <f t="shared" si="9"/>
        <v>1643.3925925925894</v>
      </c>
      <c r="E90" s="217">
        <f t="shared" si="6"/>
        <v>9302.2222222222226</v>
      </c>
      <c r="F90" s="217">
        <f t="shared" si="7"/>
        <v>10945.614814814811</v>
      </c>
      <c r="G90" s="217">
        <f t="shared" si="8"/>
        <v>976733.33333333139</v>
      </c>
      <c r="I90" s="206"/>
      <c r="J90" s="206"/>
      <c r="K90" s="206"/>
    </row>
    <row r="91" spans="2:11">
      <c r="B91" s="216">
        <v>46873</v>
      </c>
      <c r="C91" s="217">
        <f t="shared" si="5"/>
        <v>976733.33333333139</v>
      </c>
      <c r="D91" s="217">
        <f t="shared" si="9"/>
        <v>1627.8888888888857</v>
      </c>
      <c r="E91" s="217">
        <f t="shared" si="6"/>
        <v>9302.2222222222226</v>
      </c>
      <c r="F91" s="217">
        <f t="shared" si="7"/>
        <v>10930.111111111108</v>
      </c>
      <c r="G91" s="217">
        <f t="shared" si="8"/>
        <v>967431.11111110914</v>
      </c>
      <c r="I91" s="206"/>
      <c r="J91" s="206"/>
      <c r="K91" s="206"/>
    </row>
    <row r="92" spans="2:11">
      <c r="B92" s="218">
        <v>46904</v>
      </c>
      <c r="C92" s="217">
        <f t="shared" si="5"/>
        <v>967431.11111110914</v>
      </c>
      <c r="D92" s="217">
        <f t="shared" si="9"/>
        <v>1612.3851851851821</v>
      </c>
      <c r="E92" s="217">
        <f t="shared" si="6"/>
        <v>9302.2222222222226</v>
      </c>
      <c r="F92" s="217">
        <f t="shared" si="7"/>
        <v>10914.607407407404</v>
      </c>
      <c r="G92" s="217">
        <f t="shared" si="8"/>
        <v>958128.8888888869</v>
      </c>
      <c r="I92" s="206"/>
      <c r="J92" s="206"/>
      <c r="K92" s="206"/>
    </row>
    <row r="93" spans="2:11">
      <c r="B93" s="218">
        <v>46934</v>
      </c>
      <c r="C93" s="217">
        <f t="shared" ref="C93:C98" si="10">G92</f>
        <v>958128.8888888869</v>
      </c>
      <c r="D93" s="217">
        <f t="shared" si="9"/>
        <v>1596.881481481478</v>
      </c>
      <c r="E93" s="217">
        <f t="shared" ref="E93:E156" si="11">$J$5/$J$8</f>
        <v>9302.2222222222226</v>
      </c>
      <c r="F93" s="217">
        <f t="shared" si="7"/>
        <v>10899.1037037037</v>
      </c>
      <c r="G93" s="217">
        <f t="shared" si="8"/>
        <v>948826.66666666465</v>
      </c>
      <c r="I93" s="206"/>
      <c r="J93" s="206"/>
      <c r="K93" s="206"/>
    </row>
    <row r="94" spans="2:11">
      <c r="B94" s="216">
        <v>46965</v>
      </c>
      <c r="C94" s="217">
        <f t="shared" si="10"/>
        <v>948826.66666666465</v>
      </c>
      <c r="D94" s="217">
        <f t="shared" si="9"/>
        <v>1581.3777777777743</v>
      </c>
      <c r="E94" s="217">
        <f t="shared" si="11"/>
        <v>9302.2222222222226</v>
      </c>
      <c r="F94" s="217">
        <f t="shared" si="7"/>
        <v>10883.599999999997</v>
      </c>
      <c r="G94" s="217">
        <f t="shared" si="8"/>
        <v>939524.4444444424</v>
      </c>
      <c r="I94" s="206"/>
      <c r="J94" s="206"/>
      <c r="K94" s="206"/>
    </row>
    <row r="95" spans="2:11">
      <c r="B95" s="218">
        <v>46996</v>
      </c>
      <c r="C95" s="217">
        <f t="shared" si="10"/>
        <v>939524.4444444424</v>
      </c>
      <c r="D95" s="217">
        <f t="shared" si="9"/>
        <v>1565.8740740740707</v>
      </c>
      <c r="E95" s="217">
        <f t="shared" si="11"/>
        <v>9302.2222222222226</v>
      </c>
      <c r="F95" s="217">
        <f t="shared" si="7"/>
        <v>10868.096296296293</v>
      </c>
      <c r="G95" s="217">
        <f t="shared" si="8"/>
        <v>930222.22222222015</v>
      </c>
      <c r="I95" s="206"/>
      <c r="J95" s="206"/>
      <c r="K95" s="206"/>
    </row>
    <row r="96" spans="2:11">
      <c r="B96" s="216">
        <v>47026</v>
      </c>
      <c r="C96" s="217">
        <f t="shared" si="10"/>
        <v>930222.22222222015</v>
      </c>
      <c r="D96" s="217">
        <f t="shared" si="9"/>
        <v>1550.370370370367</v>
      </c>
      <c r="E96" s="217">
        <f t="shared" si="11"/>
        <v>9302.2222222222226</v>
      </c>
      <c r="F96" s="217">
        <f t="shared" si="7"/>
        <v>10852.592592592589</v>
      </c>
      <c r="G96" s="217">
        <f t="shared" si="8"/>
        <v>920919.9999999979</v>
      </c>
      <c r="I96" s="206"/>
      <c r="J96" s="206"/>
      <c r="K96" s="206"/>
    </row>
    <row r="97" spans="2:11">
      <c r="B97" s="218">
        <v>47057</v>
      </c>
      <c r="C97" s="217">
        <f t="shared" si="10"/>
        <v>920919.9999999979</v>
      </c>
      <c r="D97" s="217">
        <f t="shared" si="9"/>
        <v>1534.8666666666631</v>
      </c>
      <c r="E97" s="217">
        <f t="shared" si="11"/>
        <v>9302.2222222222226</v>
      </c>
      <c r="F97" s="217">
        <f t="shared" si="7"/>
        <v>10837.088888888886</v>
      </c>
      <c r="G97" s="217">
        <f t="shared" si="8"/>
        <v>911617.77777777566</v>
      </c>
      <c r="I97" s="206"/>
      <c r="J97" s="206"/>
      <c r="K97" s="206"/>
    </row>
    <row r="98" spans="2:11">
      <c r="B98" s="216">
        <v>47087</v>
      </c>
      <c r="C98" s="217">
        <f t="shared" si="10"/>
        <v>911617.77777777566</v>
      </c>
      <c r="D98" s="217">
        <f t="shared" si="9"/>
        <v>1519.3629629629595</v>
      </c>
      <c r="E98" s="217">
        <f t="shared" si="11"/>
        <v>9302.2222222222226</v>
      </c>
      <c r="F98" s="217">
        <f t="shared" si="7"/>
        <v>10821.585185185182</v>
      </c>
      <c r="G98" s="217">
        <f t="shared" si="8"/>
        <v>902315.55555555341</v>
      </c>
      <c r="I98" s="206"/>
      <c r="J98" s="206"/>
      <c r="K98" s="206"/>
    </row>
    <row r="99" spans="2:11">
      <c r="B99" s="219">
        <v>47118</v>
      </c>
      <c r="C99" s="220">
        <f>G98</f>
        <v>902315.55555555341</v>
      </c>
      <c r="D99" s="220">
        <f t="shared" si="9"/>
        <v>1503.8592592592559</v>
      </c>
      <c r="E99" s="220">
        <f t="shared" si="11"/>
        <v>9302.2222222222226</v>
      </c>
      <c r="F99" s="220">
        <f t="shared" si="7"/>
        <v>10806.081481481478</v>
      </c>
      <c r="G99" s="220">
        <f t="shared" si="8"/>
        <v>893013.33333333116</v>
      </c>
      <c r="H99" s="213"/>
      <c r="I99" s="214">
        <f>SUM(D88:D99)</f>
        <v>19069.555555555511</v>
      </c>
      <c r="J99" s="214">
        <f>SUM(E88:E99)</f>
        <v>111626.66666666664</v>
      </c>
      <c r="K99" s="214">
        <f>I99+J99</f>
        <v>130696.22222222216</v>
      </c>
    </row>
    <row r="100" spans="2:11">
      <c r="B100" s="218">
        <v>47149</v>
      </c>
      <c r="C100" s="217">
        <f t="shared" ref="C100:C163" si="12">G99</f>
        <v>893013.33333333116</v>
      </c>
      <c r="D100" s="217">
        <f t="shared" si="9"/>
        <v>1488.355555555552</v>
      </c>
      <c r="E100" s="217">
        <f t="shared" si="11"/>
        <v>9302.2222222222226</v>
      </c>
      <c r="F100" s="217">
        <f t="shared" si="7"/>
        <v>10790.577777777775</v>
      </c>
      <c r="G100" s="217">
        <f t="shared" si="8"/>
        <v>883711.11111110891</v>
      </c>
      <c r="I100" s="206"/>
      <c r="J100" s="206"/>
      <c r="K100" s="206"/>
    </row>
    <row r="101" spans="2:11">
      <c r="B101" s="216">
        <v>47177</v>
      </c>
      <c r="C101" s="217">
        <f t="shared" si="12"/>
        <v>883711.11111110891</v>
      </c>
      <c r="D101" s="217">
        <f t="shared" si="9"/>
        <v>1472.8518518518483</v>
      </c>
      <c r="E101" s="217">
        <f t="shared" si="11"/>
        <v>9302.2222222222226</v>
      </c>
      <c r="F101" s="217">
        <f t="shared" si="7"/>
        <v>10775.074074074071</v>
      </c>
      <c r="G101" s="217">
        <f t="shared" si="8"/>
        <v>874408.88888888666</v>
      </c>
      <c r="I101" s="206"/>
      <c r="J101" s="206"/>
      <c r="K101" s="206"/>
    </row>
    <row r="102" spans="2:11">
      <c r="B102" s="218">
        <v>47208</v>
      </c>
      <c r="C102" s="217">
        <f t="shared" si="12"/>
        <v>874408.88888888666</v>
      </c>
      <c r="D102" s="217">
        <f t="shared" si="9"/>
        <v>1457.3481481481447</v>
      </c>
      <c r="E102" s="217">
        <f t="shared" si="11"/>
        <v>9302.2222222222226</v>
      </c>
      <c r="F102" s="217">
        <f t="shared" si="7"/>
        <v>10759.570370370368</v>
      </c>
      <c r="G102" s="217">
        <f t="shared" si="8"/>
        <v>865106.66666666442</v>
      </c>
      <c r="I102" s="206"/>
      <c r="J102" s="206"/>
      <c r="K102" s="206"/>
    </row>
    <row r="103" spans="2:11">
      <c r="B103" s="216">
        <v>47238</v>
      </c>
      <c r="C103" s="217">
        <f t="shared" si="12"/>
        <v>865106.66666666442</v>
      </c>
      <c r="D103" s="217">
        <f t="shared" si="9"/>
        <v>1441.8444444444406</v>
      </c>
      <c r="E103" s="217">
        <f t="shared" si="11"/>
        <v>9302.2222222222226</v>
      </c>
      <c r="F103" s="217">
        <f t="shared" si="7"/>
        <v>10744.066666666664</v>
      </c>
      <c r="G103" s="217">
        <f t="shared" si="8"/>
        <v>855804.44444444217</v>
      </c>
      <c r="I103" s="206"/>
      <c r="J103" s="206"/>
      <c r="K103" s="206"/>
    </row>
    <row r="104" spans="2:11">
      <c r="B104" s="218">
        <v>47269</v>
      </c>
      <c r="C104" s="217">
        <f t="shared" si="12"/>
        <v>855804.44444444217</v>
      </c>
      <c r="D104" s="217">
        <f t="shared" si="9"/>
        <v>1426.3407407407369</v>
      </c>
      <c r="E104" s="217">
        <f t="shared" si="11"/>
        <v>9302.2222222222226</v>
      </c>
      <c r="F104" s="217">
        <f t="shared" si="7"/>
        <v>10728.56296296296</v>
      </c>
      <c r="G104" s="217">
        <f t="shared" si="8"/>
        <v>846502.22222221992</v>
      </c>
      <c r="I104" s="206"/>
      <c r="J104" s="206"/>
      <c r="K104" s="206"/>
    </row>
    <row r="105" spans="2:11">
      <c r="B105" s="218">
        <v>47299</v>
      </c>
      <c r="C105" s="217">
        <f t="shared" si="12"/>
        <v>846502.22222221992</v>
      </c>
      <c r="D105" s="217">
        <f t="shared" si="9"/>
        <v>1410.8370370370333</v>
      </c>
      <c r="E105" s="217">
        <f t="shared" si="11"/>
        <v>9302.2222222222226</v>
      </c>
      <c r="F105" s="217">
        <f t="shared" si="7"/>
        <v>10713.059259259257</v>
      </c>
      <c r="G105" s="217">
        <f t="shared" si="8"/>
        <v>837199.99999999767</v>
      </c>
      <c r="I105" s="206"/>
      <c r="J105" s="206"/>
      <c r="K105" s="206"/>
    </row>
    <row r="106" spans="2:11">
      <c r="B106" s="216">
        <v>47330</v>
      </c>
      <c r="C106" s="217">
        <f t="shared" si="12"/>
        <v>837199.99999999767</v>
      </c>
      <c r="D106" s="217">
        <f t="shared" si="9"/>
        <v>1395.3333333333294</v>
      </c>
      <c r="E106" s="217">
        <f t="shared" si="11"/>
        <v>9302.2222222222226</v>
      </c>
      <c r="F106" s="217">
        <f t="shared" si="7"/>
        <v>10697.555555555551</v>
      </c>
      <c r="G106" s="217">
        <f t="shared" si="8"/>
        <v>827897.77777777542</v>
      </c>
      <c r="I106" s="206"/>
      <c r="J106" s="206"/>
      <c r="K106" s="206"/>
    </row>
    <row r="107" spans="2:11">
      <c r="B107" s="218">
        <v>47361</v>
      </c>
      <c r="C107" s="217">
        <f t="shared" si="12"/>
        <v>827897.77777777542</v>
      </c>
      <c r="D107" s="217">
        <f t="shared" si="9"/>
        <v>1379.8296296296257</v>
      </c>
      <c r="E107" s="217">
        <f t="shared" si="11"/>
        <v>9302.2222222222226</v>
      </c>
      <c r="F107" s="217">
        <f t="shared" si="7"/>
        <v>10682.051851851847</v>
      </c>
      <c r="G107" s="217">
        <f t="shared" si="8"/>
        <v>818595.55555555318</v>
      </c>
      <c r="I107" s="206"/>
      <c r="J107" s="206"/>
      <c r="K107" s="206"/>
    </row>
    <row r="108" spans="2:11">
      <c r="B108" s="216">
        <v>47391</v>
      </c>
      <c r="C108" s="217">
        <f t="shared" si="12"/>
        <v>818595.55555555318</v>
      </c>
      <c r="D108" s="217">
        <f t="shared" si="9"/>
        <v>1364.3259259259219</v>
      </c>
      <c r="E108" s="217">
        <f t="shared" si="11"/>
        <v>9302.2222222222226</v>
      </c>
      <c r="F108" s="217">
        <f t="shared" si="7"/>
        <v>10666.548148148144</v>
      </c>
      <c r="G108" s="217">
        <f t="shared" si="8"/>
        <v>809293.33333333093</v>
      </c>
      <c r="I108" s="206"/>
      <c r="J108" s="206"/>
      <c r="K108" s="206"/>
    </row>
    <row r="109" spans="2:11">
      <c r="B109" s="218">
        <v>47422</v>
      </c>
      <c r="C109" s="217">
        <f t="shared" si="12"/>
        <v>809293.33333333093</v>
      </c>
      <c r="D109" s="217">
        <f t="shared" si="9"/>
        <v>1348.8222222222182</v>
      </c>
      <c r="E109" s="217">
        <f t="shared" si="11"/>
        <v>9302.2222222222226</v>
      </c>
      <c r="F109" s="217">
        <f t="shared" si="7"/>
        <v>10651.04444444444</v>
      </c>
      <c r="G109" s="217">
        <f t="shared" si="8"/>
        <v>799991.11111110868</v>
      </c>
      <c r="I109" s="206"/>
      <c r="J109" s="206"/>
      <c r="K109" s="206"/>
    </row>
    <row r="110" spans="2:11">
      <c r="B110" s="216">
        <v>47452</v>
      </c>
      <c r="C110" s="217">
        <f t="shared" si="12"/>
        <v>799991.11111110868</v>
      </c>
      <c r="D110" s="217">
        <f t="shared" si="9"/>
        <v>1333.3185185185146</v>
      </c>
      <c r="E110" s="217">
        <f t="shared" si="11"/>
        <v>9302.2222222222226</v>
      </c>
      <c r="F110" s="217">
        <f t="shared" si="7"/>
        <v>10635.540740740737</v>
      </c>
      <c r="G110" s="217">
        <f t="shared" si="8"/>
        <v>790688.88888888643</v>
      </c>
      <c r="I110" s="206"/>
      <c r="J110" s="206"/>
      <c r="K110" s="206"/>
    </row>
    <row r="111" spans="2:11">
      <c r="B111" s="219">
        <v>47483</v>
      </c>
      <c r="C111" s="220">
        <f t="shared" si="12"/>
        <v>790688.88888888643</v>
      </c>
      <c r="D111" s="220">
        <f t="shared" si="9"/>
        <v>1317.8148148148107</v>
      </c>
      <c r="E111" s="220">
        <f t="shared" si="11"/>
        <v>9302.2222222222226</v>
      </c>
      <c r="F111" s="220">
        <f t="shared" si="7"/>
        <v>10620.037037037033</v>
      </c>
      <c r="G111" s="220">
        <f t="shared" si="8"/>
        <v>781386.66666666418</v>
      </c>
      <c r="H111" s="213"/>
      <c r="I111" s="214">
        <f>SUM(D100:D111)</f>
        <v>16837.022222222171</v>
      </c>
      <c r="J111" s="214">
        <f>SUM(E100:E111)</f>
        <v>111626.66666666664</v>
      </c>
      <c r="K111" s="214">
        <f>I111+J111</f>
        <v>128463.68888888881</v>
      </c>
    </row>
    <row r="112" spans="2:11">
      <c r="B112" s="218">
        <v>47514</v>
      </c>
      <c r="C112" s="217">
        <f t="shared" si="12"/>
        <v>781386.66666666418</v>
      </c>
      <c r="D112" s="217">
        <f t="shared" si="9"/>
        <v>1302.311111111107</v>
      </c>
      <c r="E112" s="217">
        <f t="shared" si="11"/>
        <v>9302.2222222222226</v>
      </c>
      <c r="F112" s="217">
        <f t="shared" si="7"/>
        <v>10604.533333333329</v>
      </c>
      <c r="G112" s="217">
        <f t="shared" si="8"/>
        <v>772084.44444444194</v>
      </c>
      <c r="I112" s="206"/>
      <c r="J112" s="206"/>
      <c r="K112" s="206"/>
    </row>
    <row r="113" spans="2:11">
      <c r="B113" s="216">
        <v>47542</v>
      </c>
      <c r="C113" s="217">
        <f t="shared" si="12"/>
        <v>772084.44444444194</v>
      </c>
      <c r="D113" s="217">
        <f t="shared" si="9"/>
        <v>1286.8074074074032</v>
      </c>
      <c r="E113" s="217">
        <f t="shared" si="11"/>
        <v>9302.2222222222226</v>
      </c>
      <c r="F113" s="217">
        <f t="shared" si="7"/>
        <v>10589.029629629626</v>
      </c>
      <c r="G113" s="217">
        <f t="shared" si="8"/>
        <v>762782.22222221969</v>
      </c>
      <c r="I113" s="206"/>
      <c r="J113" s="206"/>
      <c r="K113" s="206"/>
    </row>
    <row r="114" spans="2:11">
      <c r="B114" s="218">
        <v>47573</v>
      </c>
      <c r="C114" s="217">
        <f t="shared" si="12"/>
        <v>762782.22222221969</v>
      </c>
      <c r="D114" s="217">
        <f t="shared" si="9"/>
        <v>1271.3037037036995</v>
      </c>
      <c r="E114" s="217">
        <f t="shared" si="11"/>
        <v>9302.2222222222226</v>
      </c>
      <c r="F114" s="217">
        <f t="shared" si="7"/>
        <v>10573.525925925922</v>
      </c>
      <c r="G114" s="217">
        <f t="shared" si="8"/>
        <v>753479.99999999744</v>
      </c>
      <c r="I114" s="206"/>
      <c r="J114" s="206"/>
      <c r="K114" s="206"/>
    </row>
    <row r="115" spans="2:11">
      <c r="B115" s="216">
        <v>47603</v>
      </c>
      <c r="C115" s="217">
        <f t="shared" si="12"/>
        <v>753479.99999999744</v>
      </c>
      <c r="D115" s="217">
        <f t="shared" si="9"/>
        <v>1255.7999999999959</v>
      </c>
      <c r="E115" s="217">
        <f t="shared" si="11"/>
        <v>9302.2222222222226</v>
      </c>
      <c r="F115" s="217">
        <f t="shared" si="7"/>
        <v>10558.022222222218</v>
      </c>
      <c r="G115" s="217">
        <f t="shared" si="8"/>
        <v>744177.77777777519</v>
      </c>
      <c r="I115" s="206"/>
      <c r="J115" s="206"/>
      <c r="K115" s="206"/>
    </row>
    <row r="116" spans="2:11">
      <c r="B116" s="218">
        <v>47634</v>
      </c>
      <c r="C116" s="217">
        <f t="shared" si="12"/>
        <v>744177.77777777519</v>
      </c>
      <c r="D116" s="217">
        <f t="shared" si="9"/>
        <v>1240.296296296292</v>
      </c>
      <c r="E116" s="217">
        <f t="shared" si="11"/>
        <v>9302.2222222222226</v>
      </c>
      <c r="F116" s="217">
        <f t="shared" si="7"/>
        <v>10542.518518518515</v>
      </c>
      <c r="G116" s="217">
        <f t="shared" si="8"/>
        <v>734875.55555555294</v>
      </c>
      <c r="I116" s="206"/>
      <c r="J116" s="206"/>
      <c r="K116" s="206"/>
    </row>
    <row r="117" spans="2:11">
      <c r="B117" s="218">
        <v>47664</v>
      </c>
      <c r="C117" s="217">
        <f t="shared" si="12"/>
        <v>734875.55555555294</v>
      </c>
      <c r="D117" s="217">
        <f t="shared" si="9"/>
        <v>1224.7925925925883</v>
      </c>
      <c r="E117" s="217">
        <f t="shared" si="11"/>
        <v>9302.2222222222226</v>
      </c>
      <c r="F117" s="217">
        <f t="shared" si="7"/>
        <v>10527.014814814811</v>
      </c>
      <c r="G117" s="217">
        <f t="shared" si="8"/>
        <v>725573.33333333069</v>
      </c>
      <c r="I117" s="206"/>
      <c r="J117" s="206"/>
      <c r="K117" s="206"/>
    </row>
    <row r="118" spans="2:11">
      <c r="B118" s="216">
        <v>47695</v>
      </c>
      <c r="C118" s="217">
        <f t="shared" si="12"/>
        <v>725573.33333333069</v>
      </c>
      <c r="D118" s="217">
        <f t="shared" si="9"/>
        <v>1209.2888888888845</v>
      </c>
      <c r="E118" s="217">
        <f t="shared" si="11"/>
        <v>9302.2222222222226</v>
      </c>
      <c r="F118" s="217">
        <f t="shared" si="7"/>
        <v>10511.511111111107</v>
      </c>
      <c r="G118" s="217">
        <f t="shared" si="8"/>
        <v>716271.11111110845</v>
      </c>
      <c r="I118" s="206"/>
      <c r="J118" s="206"/>
      <c r="K118" s="206"/>
    </row>
    <row r="119" spans="2:11">
      <c r="B119" s="218">
        <v>47726</v>
      </c>
      <c r="C119" s="217">
        <f t="shared" si="12"/>
        <v>716271.11111110845</v>
      </c>
      <c r="D119" s="217">
        <f t="shared" si="9"/>
        <v>1193.7851851851808</v>
      </c>
      <c r="E119" s="217">
        <f t="shared" si="11"/>
        <v>9302.2222222222226</v>
      </c>
      <c r="F119" s="217">
        <f t="shared" si="7"/>
        <v>10496.007407407404</v>
      </c>
      <c r="G119" s="217">
        <f t="shared" si="8"/>
        <v>706968.8888888862</v>
      </c>
      <c r="I119" s="206"/>
      <c r="J119" s="206"/>
      <c r="K119" s="206"/>
    </row>
    <row r="120" spans="2:11">
      <c r="B120" s="216">
        <v>47756</v>
      </c>
      <c r="C120" s="217">
        <f t="shared" si="12"/>
        <v>706968.8888888862</v>
      </c>
      <c r="D120" s="217">
        <f t="shared" si="9"/>
        <v>1178.2814814814772</v>
      </c>
      <c r="E120" s="217">
        <f t="shared" si="11"/>
        <v>9302.2222222222226</v>
      </c>
      <c r="F120" s="217">
        <f t="shared" si="7"/>
        <v>10480.5037037037</v>
      </c>
      <c r="G120" s="217">
        <f t="shared" si="8"/>
        <v>697666.66666666395</v>
      </c>
      <c r="I120" s="206"/>
      <c r="J120" s="206"/>
      <c r="K120" s="206"/>
    </row>
    <row r="121" spans="2:11">
      <c r="B121" s="218">
        <v>47787</v>
      </c>
      <c r="C121" s="217">
        <f t="shared" si="12"/>
        <v>697666.66666666395</v>
      </c>
      <c r="D121" s="217">
        <f t="shared" si="9"/>
        <v>1162.7777777777733</v>
      </c>
      <c r="E121" s="217">
        <f t="shared" si="11"/>
        <v>9302.2222222222226</v>
      </c>
      <c r="F121" s="217">
        <f t="shared" si="7"/>
        <v>10464.999999999996</v>
      </c>
      <c r="G121" s="217">
        <f t="shared" si="8"/>
        <v>688364.4444444417</v>
      </c>
      <c r="I121" s="206"/>
      <c r="J121" s="206"/>
      <c r="K121" s="206"/>
    </row>
    <row r="122" spans="2:11">
      <c r="B122" s="216">
        <v>47817</v>
      </c>
      <c r="C122" s="217">
        <f t="shared" si="12"/>
        <v>688364.4444444417</v>
      </c>
      <c r="D122" s="217">
        <f t="shared" si="9"/>
        <v>1147.2740740740694</v>
      </c>
      <c r="E122" s="217">
        <f t="shared" si="11"/>
        <v>9302.2222222222226</v>
      </c>
      <c r="F122" s="217">
        <f t="shared" si="7"/>
        <v>10449.496296296293</v>
      </c>
      <c r="G122" s="217">
        <f t="shared" si="8"/>
        <v>679062.22222221945</v>
      </c>
      <c r="I122" s="206"/>
      <c r="J122" s="206"/>
      <c r="K122" s="206"/>
    </row>
    <row r="123" spans="2:11">
      <c r="B123" s="219">
        <v>47848</v>
      </c>
      <c r="C123" s="220">
        <f t="shared" si="12"/>
        <v>679062.22222221945</v>
      </c>
      <c r="D123" s="220">
        <f t="shared" si="9"/>
        <v>1131.7703703703658</v>
      </c>
      <c r="E123" s="220">
        <f t="shared" si="11"/>
        <v>9302.2222222222226</v>
      </c>
      <c r="F123" s="220">
        <f t="shared" si="7"/>
        <v>10433.992592592589</v>
      </c>
      <c r="G123" s="220">
        <f t="shared" si="8"/>
        <v>669759.99999999721</v>
      </c>
      <c r="H123" s="213"/>
      <c r="I123" s="214">
        <f>SUM(D112:D123)</f>
        <v>14604.488888888838</v>
      </c>
      <c r="J123" s="214">
        <f>SUM(E112:E123)</f>
        <v>111626.66666666664</v>
      </c>
      <c r="K123" s="214">
        <f>I123+J123</f>
        <v>126231.15555555548</v>
      </c>
    </row>
    <row r="124" spans="2:11">
      <c r="B124" s="218">
        <v>47879</v>
      </c>
      <c r="C124" s="217">
        <f t="shared" si="12"/>
        <v>669759.99999999721</v>
      </c>
      <c r="D124" s="217">
        <f t="shared" si="9"/>
        <v>1116.2666666666621</v>
      </c>
      <c r="E124" s="217">
        <f t="shared" si="11"/>
        <v>9302.2222222222226</v>
      </c>
      <c r="F124" s="217">
        <f t="shared" si="7"/>
        <v>10418.488888888885</v>
      </c>
      <c r="G124" s="217">
        <f t="shared" si="8"/>
        <v>660457.77777777496</v>
      </c>
      <c r="H124" s="207"/>
      <c r="I124" s="208"/>
      <c r="J124" s="208"/>
      <c r="K124" s="208"/>
    </row>
    <row r="125" spans="2:11">
      <c r="B125" s="216">
        <v>47907</v>
      </c>
      <c r="C125" s="217">
        <f t="shared" si="12"/>
        <v>660457.77777777496</v>
      </c>
      <c r="D125" s="217">
        <f t="shared" si="9"/>
        <v>1100.7629629629582</v>
      </c>
      <c r="E125" s="217">
        <f t="shared" si="11"/>
        <v>9302.2222222222226</v>
      </c>
      <c r="F125" s="217">
        <f t="shared" si="7"/>
        <v>10402.985185185182</v>
      </c>
      <c r="G125" s="217">
        <f t="shared" si="8"/>
        <v>651155.55555555271</v>
      </c>
      <c r="H125" s="207"/>
      <c r="I125" s="208"/>
      <c r="J125" s="208"/>
      <c r="K125" s="208"/>
    </row>
    <row r="126" spans="2:11">
      <c r="B126" s="218">
        <v>47938</v>
      </c>
      <c r="C126" s="217">
        <f t="shared" si="12"/>
        <v>651155.55555555271</v>
      </c>
      <c r="D126" s="217">
        <f t="shared" si="9"/>
        <v>1085.2592592592546</v>
      </c>
      <c r="E126" s="217">
        <f t="shared" si="11"/>
        <v>9302.2222222222226</v>
      </c>
      <c r="F126" s="217">
        <f t="shared" si="7"/>
        <v>10387.481481481478</v>
      </c>
      <c r="G126" s="217">
        <f t="shared" si="8"/>
        <v>641853.33333333046</v>
      </c>
      <c r="H126" s="207"/>
      <c r="I126" s="208"/>
      <c r="J126" s="208"/>
      <c r="K126" s="208"/>
    </row>
    <row r="127" spans="2:11">
      <c r="B127" s="216">
        <v>47968</v>
      </c>
      <c r="C127" s="217">
        <f t="shared" si="12"/>
        <v>641853.33333333046</v>
      </c>
      <c r="D127" s="217">
        <f t="shared" si="9"/>
        <v>1069.7555555555507</v>
      </c>
      <c r="E127" s="217">
        <f t="shared" si="11"/>
        <v>9302.2222222222226</v>
      </c>
      <c r="F127" s="217">
        <f t="shared" si="7"/>
        <v>10371.977777777773</v>
      </c>
      <c r="G127" s="217">
        <f t="shared" si="8"/>
        <v>632551.11111110821</v>
      </c>
      <c r="H127" s="207"/>
      <c r="I127" s="208"/>
      <c r="J127" s="208"/>
      <c r="K127" s="208"/>
    </row>
    <row r="128" spans="2:11">
      <c r="B128" s="218">
        <v>47999</v>
      </c>
      <c r="C128" s="217">
        <f t="shared" si="12"/>
        <v>632551.11111110821</v>
      </c>
      <c r="D128" s="217">
        <f t="shared" si="9"/>
        <v>1054.2518518518471</v>
      </c>
      <c r="E128" s="217">
        <f t="shared" si="11"/>
        <v>9302.2222222222226</v>
      </c>
      <c r="F128" s="217">
        <f t="shared" si="7"/>
        <v>10356.474074074069</v>
      </c>
      <c r="G128" s="217">
        <f t="shared" si="8"/>
        <v>623248.88888888597</v>
      </c>
      <c r="H128" s="207"/>
      <c r="I128" s="208"/>
      <c r="J128" s="208"/>
      <c r="K128" s="208"/>
    </row>
    <row r="129" spans="2:11">
      <c r="B129" s="218">
        <v>48029</v>
      </c>
      <c r="C129" s="217">
        <f t="shared" si="12"/>
        <v>623248.88888888597</v>
      </c>
      <c r="D129" s="217">
        <f t="shared" si="9"/>
        <v>1038.7481481481434</v>
      </c>
      <c r="E129" s="217">
        <f t="shared" si="11"/>
        <v>9302.2222222222226</v>
      </c>
      <c r="F129" s="217">
        <f t="shared" si="7"/>
        <v>10340.970370370365</v>
      </c>
      <c r="G129" s="217">
        <f t="shared" si="8"/>
        <v>613946.66666666372</v>
      </c>
      <c r="H129" s="207"/>
      <c r="I129" s="208"/>
      <c r="J129" s="208"/>
      <c r="K129" s="208"/>
    </row>
    <row r="130" spans="2:11">
      <c r="B130" s="216">
        <v>48060</v>
      </c>
      <c r="C130" s="217">
        <f t="shared" si="12"/>
        <v>613946.66666666372</v>
      </c>
      <c r="D130" s="217">
        <f t="shared" si="9"/>
        <v>1023.2444444444395</v>
      </c>
      <c r="E130" s="217">
        <f t="shared" si="11"/>
        <v>9302.2222222222226</v>
      </c>
      <c r="F130" s="217">
        <f t="shared" si="7"/>
        <v>10325.466666666662</v>
      </c>
      <c r="G130" s="217">
        <f t="shared" si="8"/>
        <v>604644.44444444147</v>
      </c>
      <c r="H130" s="207"/>
      <c r="I130" s="208"/>
      <c r="J130" s="208"/>
      <c r="K130" s="208"/>
    </row>
    <row r="131" spans="2:11">
      <c r="B131" s="218">
        <v>48091</v>
      </c>
      <c r="C131" s="217">
        <f t="shared" si="12"/>
        <v>604644.44444444147</v>
      </c>
      <c r="D131" s="217">
        <f t="shared" si="9"/>
        <v>1007.7407407407359</v>
      </c>
      <c r="E131" s="217">
        <f t="shared" si="11"/>
        <v>9302.2222222222226</v>
      </c>
      <c r="F131" s="217">
        <f t="shared" si="7"/>
        <v>10309.962962962958</v>
      </c>
      <c r="G131" s="217">
        <f t="shared" si="8"/>
        <v>595342.22222221922</v>
      </c>
      <c r="H131" s="207"/>
      <c r="I131" s="208"/>
      <c r="J131" s="208"/>
      <c r="K131" s="208"/>
    </row>
    <row r="132" spans="2:11">
      <c r="B132" s="216">
        <v>48121</v>
      </c>
      <c r="C132" s="217">
        <f t="shared" si="12"/>
        <v>595342.22222221922</v>
      </c>
      <c r="D132" s="217">
        <f t="shared" si="9"/>
        <v>992.23703703703211</v>
      </c>
      <c r="E132" s="217">
        <f t="shared" si="11"/>
        <v>9302.2222222222226</v>
      </c>
      <c r="F132" s="217">
        <f t="shared" si="7"/>
        <v>10294.459259259254</v>
      </c>
      <c r="G132" s="217">
        <f t="shared" si="8"/>
        <v>586039.99999999697</v>
      </c>
      <c r="H132" s="207"/>
      <c r="I132" s="208"/>
      <c r="J132" s="208"/>
      <c r="K132" s="208"/>
    </row>
    <row r="133" spans="2:11">
      <c r="B133" s="218">
        <v>48152</v>
      </c>
      <c r="C133" s="217">
        <f t="shared" si="12"/>
        <v>586039.99999999697</v>
      </c>
      <c r="D133" s="217">
        <f t="shared" si="9"/>
        <v>976.73333333332823</v>
      </c>
      <c r="E133" s="217">
        <f t="shared" si="11"/>
        <v>9302.2222222222226</v>
      </c>
      <c r="F133" s="217">
        <f t="shared" si="7"/>
        <v>10278.955555555551</v>
      </c>
      <c r="G133" s="217">
        <f t="shared" si="8"/>
        <v>576737.77777777473</v>
      </c>
      <c r="H133" s="207"/>
      <c r="I133" s="208"/>
      <c r="J133" s="208"/>
      <c r="K133" s="208"/>
    </row>
    <row r="134" spans="2:11">
      <c r="B134" s="216">
        <v>48182</v>
      </c>
      <c r="C134" s="217">
        <f t="shared" si="12"/>
        <v>576737.77777777473</v>
      </c>
      <c r="D134" s="217">
        <f t="shared" si="9"/>
        <v>961.22962962962458</v>
      </c>
      <c r="E134" s="217">
        <f t="shared" si="11"/>
        <v>9302.2222222222226</v>
      </c>
      <c r="F134" s="217">
        <f t="shared" si="7"/>
        <v>10263.451851851847</v>
      </c>
      <c r="G134" s="217">
        <f t="shared" si="8"/>
        <v>567435.55555555248</v>
      </c>
      <c r="H134" s="207"/>
      <c r="I134" s="208"/>
      <c r="J134" s="208"/>
      <c r="K134" s="208"/>
    </row>
    <row r="135" spans="2:11">
      <c r="B135" s="219">
        <v>48213</v>
      </c>
      <c r="C135" s="220">
        <f t="shared" si="12"/>
        <v>567435.55555555248</v>
      </c>
      <c r="D135" s="220">
        <f t="shared" si="9"/>
        <v>945.72592592592082</v>
      </c>
      <c r="E135" s="220">
        <f t="shared" si="11"/>
        <v>9302.2222222222226</v>
      </c>
      <c r="F135" s="220">
        <f t="shared" si="7"/>
        <v>10247.948148148143</v>
      </c>
      <c r="G135" s="220">
        <f t="shared" si="8"/>
        <v>558133.33333333023</v>
      </c>
      <c r="H135" s="213"/>
      <c r="I135" s="214">
        <f>SUM(D124:D135)</f>
        <v>12371.955555555496</v>
      </c>
      <c r="J135" s="214">
        <f>SUM(E124:E135)</f>
        <v>111626.66666666664</v>
      </c>
      <c r="K135" s="214">
        <f>I135+J135</f>
        <v>123998.62222222214</v>
      </c>
    </row>
    <row r="136" spans="2:11">
      <c r="B136" s="218">
        <v>48244</v>
      </c>
      <c r="C136" s="217">
        <f t="shared" si="12"/>
        <v>558133.33333333023</v>
      </c>
      <c r="D136" s="217">
        <f t="shared" si="9"/>
        <v>930.22222222221706</v>
      </c>
      <c r="E136" s="217">
        <f t="shared" si="11"/>
        <v>9302.2222222222226</v>
      </c>
      <c r="F136" s="217">
        <f t="shared" si="7"/>
        <v>10232.44444444444</v>
      </c>
      <c r="G136" s="217">
        <f t="shared" si="8"/>
        <v>548831.11111110798</v>
      </c>
      <c r="H136" s="207"/>
      <c r="I136" s="208"/>
      <c r="J136" s="208"/>
      <c r="K136" s="208"/>
    </row>
    <row r="137" spans="2:11">
      <c r="B137" s="216">
        <v>48273</v>
      </c>
      <c r="C137" s="217">
        <f t="shared" si="12"/>
        <v>548831.11111110798</v>
      </c>
      <c r="D137" s="217">
        <f t="shared" si="9"/>
        <v>914.71851851851341</v>
      </c>
      <c r="E137" s="217">
        <f t="shared" si="11"/>
        <v>9302.2222222222226</v>
      </c>
      <c r="F137" s="217">
        <f t="shared" si="7"/>
        <v>10216.940740740736</v>
      </c>
      <c r="G137" s="217">
        <f t="shared" si="8"/>
        <v>539528.88888888573</v>
      </c>
      <c r="H137" s="207"/>
      <c r="I137" s="208"/>
      <c r="J137" s="208"/>
      <c r="K137" s="208"/>
    </row>
    <row r="138" spans="2:11">
      <c r="B138" s="218">
        <v>48304</v>
      </c>
      <c r="C138" s="217">
        <f t="shared" si="12"/>
        <v>539528.88888888573</v>
      </c>
      <c r="D138" s="217">
        <f t="shared" si="9"/>
        <v>899.21481481480953</v>
      </c>
      <c r="E138" s="217">
        <f t="shared" si="11"/>
        <v>9302.2222222222226</v>
      </c>
      <c r="F138" s="217">
        <f t="shared" si="7"/>
        <v>10201.437037037032</v>
      </c>
      <c r="G138" s="217">
        <f t="shared" si="8"/>
        <v>530226.66666666348</v>
      </c>
      <c r="H138" s="207"/>
      <c r="I138" s="208"/>
      <c r="J138" s="208"/>
      <c r="K138" s="208"/>
    </row>
    <row r="139" spans="2:11">
      <c r="B139" s="216">
        <v>48334</v>
      </c>
      <c r="C139" s="217">
        <f t="shared" si="12"/>
        <v>530226.66666666348</v>
      </c>
      <c r="D139" s="217">
        <f t="shared" si="9"/>
        <v>883.71111111110577</v>
      </c>
      <c r="E139" s="217">
        <f t="shared" si="11"/>
        <v>9302.2222222222226</v>
      </c>
      <c r="F139" s="217">
        <f t="shared" si="7"/>
        <v>10185.933333333329</v>
      </c>
      <c r="G139" s="217">
        <f t="shared" si="8"/>
        <v>520924.44444444124</v>
      </c>
      <c r="H139" s="207"/>
      <c r="I139" s="208"/>
      <c r="J139" s="208"/>
      <c r="K139" s="208"/>
    </row>
    <row r="140" spans="2:11">
      <c r="B140" s="218">
        <v>48365</v>
      </c>
      <c r="C140" s="217">
        <f t="shared" si="12"/>
        <v>520924.44444444124</v>
      </c>
      <c r="D140" s="217">
        <f t="shared" si="9"/>
        <v>868.20740740740212</v>
      </c>
      <c r="E140" s="217">
        <f t="shared" si="11"/>
        <v>9302.2222222222226</v>
      </c>
      <c r="F140" s="217">
        <f t="shared" si="7"/>
        <v>10170.429629629625</v>
      </c>
      <c r="G140" s="217">
        <f t="shared" si="8"/>
        <v>511622.22222221899</v>
      </c>
      <c r="H140" s="207"/>
      <c r="I140" s="208"/>
      <c r="J140" s="208"/>
      <c r="K140" s="208"/>
    </row>
    <row r="141" spans="2:11">
      <c r="B141" s="218">
        <v>48395</v>
      </c>
      <c r="C141" s="217">
        <f t="shared" si="12"/>
        <v>511622.22222221899</v>
      </c>
      <c r="D141" s="217">
        <f t="shared" si="9"/>
        <v>852.70370370369835</v>
      </c>
      <c r="E141" s="217">
        <f t="shared" si="11"/>
        <v>9302.2222222222226</v>
      </c>
      <c r="F141" s="217">
        <f t="shared" si="7"/>
        <v>10154.925925925922</v>
      </c>
      <c r="G141" s="217">
        <f t="shared" si="8"/>
        <v>502319.99999999674</v>
      </c>
      <c r="H141" s="207"/>
      <c r="I141" s="208"/>
      <c r="J141" s="208"/>
      <c r="K141" s="208"/>
    </row>
    <row r="142" spans="2:11">
      <c r="B142" s="216">
        <v>48426</v>
      </c>
      <c r="C142" s="217">
        <f t="shared" si="12"/>
        <v>502319.99999999674</v>
      </c>
      <c r="D142" s="217">
        <f t="shared" si="9"/>
        <v>837.19999999999447</v>
      </c>
      <c r="E142" s="217">
        <f t="shared" si="11"/>
        <v>9302.2222222222226</v>
      </c>
      <c r="F142" s="217">
        <f t="shared" si="7"/>
        <v>10139.422222222218</v>
      </c>
      <c r="G142" s="217">
        <f t="shared" si="8"/>
        <v>493017.77777777449</v>
      </c>
      <c r="H142" s="207"/>
      <c r="I142" s="208"/>
      <c r="J142" s="208"/>
      <c r="K142" s="208"/>
    </row>
    <row r="143" spans="2:11">
      <c r="B143" s="218">
        <v>48457</v>
      </c>
      <c r="C143" s="217">
        <f t="shared" si="12"/>
        <v>493017.77777777449</v>
      </c>
      <c r="D143" s="217">
        <f t="shared" si="9"/>
        <v>821.69629629629083</v>
      </c>
      <c r="E143" s="217">
        <f t="shared" si="11"/>
        <v>9302.2222222222226</v>
      </c>
      <c r="F143" s="217">
        <f t="shared" ref="F143:F195" si="13">D143+E143</f>
        <v>10123.918518518514</v>
      </c>
      <c r="G143" s="217">
        <f t="shared" ref="G143:G195" si="14">C143-E143</f>
        <v>483715.55555555224</v>
      </c>
      <c r="H143" s="207"/>
      <c r="I143" s="208"/>
      <c r="J143" s="208"/>
      <c r="K143" s="208"/>
    </row>
    <row r="144" spans="2:11">
      <c r="B144" s="216">
        <v>48487</v>
      </c>
      <c r="C144" s="217">
        <f t="shared" si="12"/>
        <v>483715.55555555224</v>
      </c>
      <c r="D144" s="217">
        <f t="shared" ref="D144:D195" si="15">C144*$J$6/12</f>
        <v>806.19259259258706</v>
      </c>
      <c r="E144" s="217">
        <f t="shared" si="11"/>
        <v>9302.2222222222226</v>
      </c>
      <c r="F144" s="217">
        <f t="shared" si="13"/>
        <v>10108.414814814809</v>
      </c>
      <c r="G144" s="217">
        <f t="shared" si="14"/>
        <v>474413.33333333</v>
      </c>
      <c r="H144" s="207"/>
      <c r="I144" s="208"/>
      <c r="J144" s="208"/>
      <c r="K144" s="208"/>
    </row>
    <row r="145" spans="2:11">
      <c r="B145" s="218">
        <v>48518</v>
      </c>
      <c r="C145" s="217">
        <f t="shared" si="12"/>
        <v>474413.33333333</v>
      </c>
      <c r="D145" s="217">
        <f t="shared" si="15"/>
        <v>790.68888888888341</v>
      </c>
      <c r="E145" s="217">
        <f t="shared" si="11"/>
        <v>9302.2222222222226</v>
      </c>
      <c r="F145" s="217">
        <f t="shared" si="13"/>
        <v>10092.911111111105</v>
      </c>
      <c r="G145" s="217">
        <f t="shared" si="14"/>
        <v>465111.11111110775</v>
      </c>
      <c r="H145" s="207"/>
      <c r="I145" s="208"/>
      <c r="J145" s="208"/>
      <c r="K145" s="208"/>
    </row>
    <row r="146" spans="2:11">
      <c r="B146" s="216">
        <v>48548</v>
      </c>
      <c r="C146" s="217">
        <f t="shared" si="12"/>
        <v>465111.11111110775</v>
      </c>
      <c r="D146" s="217">
        <f t="shared" si="15"/>
        <v>775.18518518517965</v>
      </c>
      <c r="E146" s="217">
        <f t="shared" si="11"/>
        <v>9302.2222222222226</v>
      </c>
      <c r="F146" s="217">
        <f t="shared" si="13"/>
        <v>10077.407407407401</v>
      </c>
      <c r="G146" s="217">
        <f t="shared" si="14"/>
        <v>455808.8888888855</v>
      </c>
      <c r="H146" s="207"/>
      <c r="I146" s="208"/>
      <c r="J146" s="208"/>
      <c r="K146" s="208"/>
    </row>
    <row r="147" spans="2:11">
      <c r="B147" s="219">
        <v>48579</v>
      </c>
      <c r="C147" s="220">
        <f t="shared" si="12"/>
        <v>455808.8888888855</v>
      </c>
      <c r="D147" s="220">
        <f t="shared" si="15"/>
        <v>759.68148148147577</v>
      </c>
      <c r="E147" s="220">
        <f t="shared" si="11"/>
        <v>9302.2222222222226</v>
      </c>
      <c r="F147" s="220">
        <f t="shared" si="13"/>
        <v>10061.903703703698</v>
      </c>
      <c r="G147" s="220">
        <f t="shared" si="14"/>
        <v>446506.66666666325</v>
      </c>
      <c r="H147" s="213"/>
      <c r="I147" s="214">
        <f>SUM(D136:D147)</f>
        <v>10139.422222222154</v>
      </c>
      <c r="J147" s="214">
        <f>SUM(E136:E147)</f>
        <v>111626.66666666664</v>
      </c>
      <c r="K147" s="214">
        <f>I147+J147</f>
        <v>121766.0888888888</v>
      </c>
    </row>
    <row r="148" spans="2:11">
      <c r="B148" s="218">
        <v>48610</v>
      </c>
      <c r="C148" s="217">
        <f t="shared" si="12"/>
        <v>446506.66666666325</v>
      </c>
      <c r="D148" s="217">
        <f t="shared" si="15"/>
        <v>744.17777777777212</v>
      </c>
      <c r="E148" s="217">
        <f t="shared" si="11"/>
        <v>9302.2222222222226</v>
      </c>
      <c r="F148" s="217">
        <f t="shared" si="13"/>
        <v>10046.399999999994</v>
      </c>
      <c r="G148" s="217">
        <f t="shared" si="14"/>
        <v>437204.444444441</v>
      </c>
      <c r="H148" s="207"/>
      <c r="I148" s="208"/>
      <c r="J148" s="208"/>
      <c r="K148" s="208"/>
    </row>
    <row r="149" spans="2:11">
      <c r="B149" s="216">
        <v>48638</v>
      </c>
      <c r="C149" s="217">
        <f t="shared" si="12"/>
        <v>437204.444444441</v>
      </c>
      <c r="D149" s="217">
        <f t="shared" si="15"/>
        <v>728.67407407406836</v>
      </c>
      <c r="E149" s="217">
        <f t="shared" si="11"/>
        <v>9302.2222222222226</v>
      </c>
      <c r="F149" s="217">
        <f t="shared" si="13"/>
        <v>10030.896296296291</v>
      </c>
      <c r="G149" s="217">
        <f t="shared" si="14"/>
        <v>427902.22222221876</v>
      </c>
      <c r="H149" s="207"/>
      <c r="I149" s="208"/>
      <c r="J149" s="208"/>
      <c r="K149" s="208"/>
    </row>
    <row r="150" spans="2:11">
      <c r="B150" s="218">
        <v>48669</v>
      </c>
      <c r="C150" s="217">
        <f t="shared" si="12"/>
        <v>427902.22222221876</v>
      </c>
      <c r="D150" s="217">
        <f t="shared" si="15"/>
        <v>713.17037037036459</v>
      </c>
      <c r="E150" s="217">
        <f t="shared" si="11"/>
        <v>9302.2222222222226</v>
      </c>
      <c r="F150" s="217">
        <f t="shared" si="13"/>
        <v>10015.392592592587</v>
      </c>
      <c r="G150" s="217">
        <f t="shared" si="14"/>
        <v>418599.99999999651</v>
      </c>
      <c r="H150" s="207"/>
      <c r="I150" s="208"/>
      <c r="J150" s="208"/>
      <c r="K150" s="208"/>
    </row>
    <row r="151" spans="2:11">
      <c r="B151" s="216">
        <v>48699</v>
      </c>
      <c r="C151" s="217">
        <f t="shared" si="12"/>
        <v>418599.99999999651</v>
      </c>
      <c r="D151" s="217">
        <f t="shared" si="15"/>
        <v>697.66666666666094</v>
      </c>
      <c r="E151" s="217">
        <f t="shared" si="11"/>
        <v>9302.2222222222226</v>
      </c>
      <c r="F151" s="217">
        <f t="shared" si="13"/>
        <v>9999.8888888888832</v>
      </c>
      <c r="G151" s="217">
        <f t="shared" si="14"/>
        <v>409297.77777777426</v>
      </c>
      <c r="H151" s="207"/>
      <c r="I151" s="208"/>
      <c r="J151" s="208"/>
      <c r="K151" s="208"/>
    </row>
    <row r="152" spans="2:11">
      <c r="B152" s="218">
        <v>48730</v>
      </c>
      <c r="C152" s="217">
        <f t="shared" si="12"/>
        <v>409297.77777777426</v>
      </c>
      <c r="D152" s="217">
        <f t="shared" si="15"/>
        <v>682.16296296295707</v>
      </c>
      <c r="E152" s="217">
        <f t="shared" si="11"/>
        <v>9302.2222222222226</v>
      </c>
      <c r="F152" s="217">
        <f t="shared" si="13"/>
        <v>9984.3851851851796</v>
      </c>
      <c r="G152" s="217">
        <f t="shared" si="14"/>
        <v>399995.55555555201</v>
      </c>
      <c r="H152" s="207"/>
      <c r="I152" s="208"/>
      <c r="J152" s="208"/>
      <c r="K152" s="208"/>
    </row>
    <row r="153" spans="2:11">
      <c r="B153" s="218">
        <v>48760</v>
      </c>
      <c r="C153" s="217">
        <f t="shared" si="12"/>
        <v>399995.55555555201</v>
      </c>
      <c r="D153" s="217">
        <f t="shared" si="15"/>
        <v>666.65925925925342</v>
      </c>
      <c r="E153" s="217">
        <f t="shared" si="11"/>
        <v>9302.2222222222226</v>
      </c>
      <c r="F153" s="217">
        <f t="shared" si="13"/>
        <v>9968.8814814814759</v>
      </c>
      <c r="G153" s="217">
        <f t="shared" si="14"/>
        <v>390693.33333332976</v>
      </c>
      <c r="H153" s="207"/>
      <c r="I153" s="208"/>
      <c r="J153" s="208"/>
      <c r="K153" s="208"/>
    </row>
    <row r="154" spans="2:11">
      <c r="B154" s="216">
        <v>48791</v>
      </c>
      <c r="C154" s="217">
        <f t="shared" si="12"/>
        <v>390693.33333332976</v>
      </c>
      <c r="D154" s="217">
        <f t="shared" si="15"/>
        <v>651.15555555554965</v>
      </c>
      <c r="E154" s="217">
        <f t="shared" si="11"/>
        <v>9302.2222222222226</v>
      </c>
      <c r="F154" s="217">
        <f t="shared" si="13"/>
        <v>9953.3777777777723</v>
      </c>
      <c r="G154" s="217">
        <f t="shared" si="14"/>
        <v>381391.11111110752</v>
      </c>
      <c r="H154" s="207"/>
      <c r="I154" s="208"/>
      <c r="J154" s="208"/>
      <c r="K154" s="208"/>
    </row>
    <row r="155" spans="2:11">
      <c r="B155" s="218">
        <v>48822</v>
      </c>
      <c r="C155" s="217">
        <f t="shared" si="12"/>
        <v>381391.11111110752</v>
      </c>
      <c r="D155" s="217">
        <f t="shared" si="15"/>
        <v>635.65185185184589</v>
      </c>
      <c r="E155" s="217">
        <f t="shared" si="11"/>
        <v>9302.2222222222226</v>
      </c>
      <c r="F155" s="217">
        <f t="shared" si="13"/>
        <v>9937.8740740740686</v>
      </c>
      <c r="G155" s="217">
        <f t="shared" si="14"/>
        <v>372088.88888888527</v>
      </c>
      <c r="H155" s="207"/>
      <c r="I155" s="208"/>
      <c r="J155" s="208"/>
      <c r="K155" s="208"/>
    </row>
    <row r="156" spans="2:11">
      <c r="B156" s="216">
        <v>48852</v>
      </c>
      <c r="C156" s="217">
        <f t="shared" si="12"/>
        <v>372088.88888888527</v>
      </c>
      <c r="D156" s="217">
        <f t="shared" si="15"/>
        <v>620.14814814814213</v>
      </c>
      <c r="E156" s="217">
        <f t="shared" si="11"/>
        <v>9302.2222222222226</v>
      </c>
      <c r="F156" s="217">
        <f t="shared" si="13"/>
        <v>9922.370370370365</v>
      </c>
      <c r="G156" s="217">
        <f t="shared" si="14"/>
        <v>362786.66666666302</v>
      </c>
      <c r="H156" s="207"/>
      <c r="I156" s="208"/>
      <c r="J156" s="208"/>
      <c r="K156" s="208"/>
    </row>
    <row r="157" spans="2:11">
      <c r="B157" s="218">
        <v>48883</v>
      </c>
      <c r="C157" s="217">
        <f t="shared" si="12"/>
        <v>362786.66666666302</v>
      </c>
      <c r="D157" s="217">
        <f t="shared" si="15"/>
        <v>604.64444444443836</v>
      </c>
      <c r="E157" s="217">
        <f t="shared" ref="E157:E195" si="16">$J$5/$J$8</f>
        <v>9302.2222222222226</v>
      </c>
      <c r="F157" s="217">
        <f t="shared" si="13"/>
        <v>9906.8666666666613</v>
      </c>
      <c r="G157" s="217">
        <f t="shared" si="14"/>
        <v>353484.44444444077</v>
      </c>
      <c r="H157" s="207"/>
      <c r="I157" s="208"/>
      <c r="J157" s="208"/>
      <c r="K157" s="208"/>
    </row>
    <row r="158" spans="2:11">
      <c r="B158" s="216">
        <v>48913</v>
      </c>
      <c r="C158" s="217">
        <f t="shared" si="12"/>
        <v>353484.44444444077</v>
      </c>
      <c r="D158" s="217">
        <f t="shared" si="15"/>
        <v>589.1407407407346</v>
      </c>
      <c r="E158" s="217">
        <f t="shared" si="16"/>
        <v>9302.2222222222226</v>
      </c>
      <c r="F158" s="217">
        <f t="shared" si="13"/>
        <v>9891.3629629629577</v>
      </c>
      <c r="G158" s="217">
        <f t="shared" si="14"/>
        <v>344182.22222221852</v>
      </c>
      <c r="H158" s="207"/>
      <c r="I158" s="208"/>
      <c r="J158" s="208"/>
      <c r="K158" s="208"/>
    </row>
    <row r="159" spans="2:11">
      <c r="B159" s="219">
        <v>48944</v>
      </c>
      <c r="C159" s="220">
        <f t="shared" si="12"/>
        <v>344182.22222221852</v>
      </c>
      <c r="D159" s="220">
        <f t="shared" si="15"/>
        <v>573.63703703703084</v>
      </c>
      <c r="E159" s="220">
        <f t="shared" si="16"/>
        <v>9302.2222222222226</v>
      </c>
      <c r="F159" s="220">
        <f t="shared" si="13"/>
        <v>9875.859259259254</v>
      </c>
      <c r="G159" s="220">
        <f t="shared" si="14"/>
        <v>334879.99999999627</v>
      </c>
      <c r="H159" s="213"/>
      <c r="I159" s="214">
        <f>SUM(D148:D159)</f>
        <v>7906.8888888888187</v>
      </c>
      <c r="J159" s="214">
        <f>SUM(E148:E159)</f>
        <v>111626.66666666664</v>
      </c>
      <c r="K159" s="214">
        <f>I159+J159</f>
        <v>119533.55555555546</v>
      </c>
    </row>
    <row r="160" spans="2:11">
      <c r="B160" s="218">
        <v>48975</v>
      </c>
      <c r="C160" s="217">
        <f t="shared" si="12"/>
        <v>334879.99999999627</v>
      </c>
      <c r="D160" s="217">
        <f t="shared" si="15"/>
        <v>558.13333333332719</v>
      </c>
      <c r="E160" s="217">
        <f t="shared" si="16"/>
        <v>9302.2222222222226</v>
      </c>
      <c r="F160" s="217">
        <f t="shared" si="13"/>
        <v>9860.3555555555504</v>
      </c>
      <c r="G160" s="217">
        <f t="shared" si="14"/>
        <v>325577.77777777403</v>
      </c>
      <c r="H160" s="207"/>
      <c r="I160" s="208"/>
      <c r="J160" s="208"/>
      <c r="K160" s="208"/>
    </row>
    <row r="161" spans="2:11">
      <c r="B161" s="216">
        <v>49003</v>
      </c>
      <c r="C161" s="217">
        <f t="shared" si="12"/>
        <v>325577.77777777403</v>
      </c>
      <c r="D161" s="217">
        <f t="shared" si="15"/>
        <v>542.62962962962342</v>
      </c>
      <c r="E161" s="217">
        <f t="shared" si="16"/>
        <v>9302.2222222222226</v>
      </c>
      <c r="F161" s="217">
        <f t="shared" si="13"/>
        <v>9844.8518518518467</v>
      </c>
      <c r="G161" s="217">
        <f t="shared" si="14"/>
        <v>316275.55555555178</v>
      </c>
      <c r="H161" s="207"/>
      <c r="I161" s="208"/>
      <c r="J161" s="208"/>
      <c r="K161" s="208"/>
    </row>
    <row r="162" spans="2:11">
      <c r="B162" s="218">
        <v>49034</v>
      </c>
      <c r="C162" s="217">
        <f t="shared" si="12"/>
        <v>316275.55555555178</v>
      </c>
      <c r="D162" s="217">
        <f t="shared" si="15"/>
        <v>527.12592592591966</v>
      </c>
      <c r="E162" s="217">
        <f t="shared" si="16"/>
        <v>9302.2222222222226</v>
      </c>
      <c r="F162" s="217">
        <f t="shared" si="13"/>
        <v>9829.3481481481431</v>
      </c>
      <c r="G162" s="217">
        <f t="shared" si="14"/>
        <v>306973.33333332953</v>
      </c>
      <c r="H162" s="207"/>
      <c r="I162" s="208"/>
      <c r="J162" s="208"/>
      <c r="K162" s="208"/>
    </row>
    <row r="163" spans="2:11">
      <c r="B163" s="216">
        <v>49064</v>
      </c>
      <c r="C163" s="217">
        <f t="shared" si="12"/>
        <v>306973.33333332953</v>
      </c>
      <c r="D163" s="217">
        <f t="shared" si="15"/>
        <v>511.6222222222159</v>
      </c>
      <c r="E163" s="217">
        <f t="shared" si="16"/>
        <v>9302.2222222222226</v>
      </c>
      <c r="F163" s="217">
        <f t="shared" si="13"/>
        <v>9813.8444444444394</v>
      </c>
      <c r="G163" s="217">
        <f t="shared" si="14"/>
        <v>297671.11111110728</v>
      </c>
      <c r="H163" s="207"/>
      <c r="I163" s="208"/>
      <c r="J163" s="208"/>
      <c r="K163" s="208"/>
    </row>
    <row r="164" spans="2:11">
      <c r="B164" s="218">
        <v>49095</v>
      </c>
      <c r="C164" s="217">
        <f t="shared" ref="C164:C195" si="17">G163</f>
        <v>297671.11111110728</v>
      </c>
      <c r="D164" s="217">
        <f t="shared" si="15"/>
        <v>496.11851851851219</v>
      </c>
      <c r="E164" s="217">
        <f t="shared" si="16"/>
        <v>9302.2222222222226</v>
      </c>
      <c r="F164" s="217">
        <f t="shared" si="13"/>
        <v>9798.340740740734</v>
      </c>
      <c r="G164" s="217">
        <f t="shared" si="14"/>
        <v>288368.88888888503</v>
      </c>
      <c r="H164" s="207"/>
      <c r="I164" s="208"/>
      <c r="J164" s="208"/>
      <c r="K164" s="208"/>
    </row>
    <row r="165" spans="2:11">
      <c r="B165" s="218">
        <v>49125</v>
      </c>
      <c r="C165" s="217">
        <f t="shared" si="17"/>
        <v>288368.88888888503</v>
      </c>
      <c r="D165" s="217">
        <f t="shared" si="15"/>
        <v>480.61481481480837</v>
      </c>
      <c r="E165" s="217">
        <f t="shared" si="16"/>
        <v>9302.2222222222226</v>
      </c>
      <c r="F165" s="217">
        <f t="shared" si="13"/>
        <v>9782.8370370370303</v>
      </c>
      <c r="G165" s="217">
        <f t="shared" si="14"/>
        <v>279066.66666666279</v>
      </c>
      <c r="H165" s="207"/>
      <c r="I165" s="208"/>
      <c r="J165" s="208"/>
      <c r="K165" s="208"/>
    </row>
    <row r="166" spans="2:11">
      <c r="B166" s="216">
        <v>49156</v>
      </c>
      <c r="C166" s="217">
        <f t="shared" si="17"/>
        <v>279066.66666666279</v>
      </c>
      <c r="D166" s="217">
        <f t="shared" si="15"/>
        <v>465.11111111110466</v>
      </c>
      <c r="E166" s="217">
        <f t="shared" si="16"/>
        <v>9302.2222222222226</v>
      </c>
      <c r="F166" s="217">
        <f t="shared" si="13"/>
        <v>9767.3333333333267</v>
      </c>
      <c r="G166" s="217">
        <f t="shared" si="14"/>
        <v>269764.44444444054</v>
      </c>
      <c r="H166" s="207"/>
      <c r="I166" s="208"/>
      <c r="J166" s="208"/>
      <c r="K166" s="208"/>
    </row>
    <row r="167" spans="2:11">
      <c r="B167" s="218">
        <v>49187</v>
      </c>
      <c r="C167" s="217">
        <f t="shared" si="17"/>
        <v>269764.44444444054</v>
      </c>
      <c r="D167" s="217">
        <f t="shared" si="15"/>
        <v>449.6074074074009</v>
      </c>
      <c r="E167" s="217">
        <f t="shared" si="16"/>
        <v>9302.2222222222226</v>
      </c>
      <c r="F167" s="217">
        <f t="shared" si="13"/>
        <v>9751.829629629623</v>
      </c>
      <c r="G167" s="217">
        <f t="shared" si="14"/>
        <v>260462.22222221832</v>
      </c>
      <c r="H167" s="207"/>
      <c r="I167" s="208"/>
      <c r="J167" s="208"/>
      <c r="K167" s="208"/>
    </row>
    <row r="168" spans="2:11">
      <c r="B168" s="216">
        <v>49217</v>
      </c>
      <c r="C168" s="217">
        <f t="shared" si="17"/>
        <v>260462.22222221832</v>
      </c>
      <c r="D168" s="217">
        <f t="shared" si="15"/>
        <v>434.10370370369719</v>
      </c>
      <c r="E168" s="217">
        <f t="shared" si="16"/>
        <v>9302.2222222222226</v>
      </c>
      <c r="F168" s="217">
        <f t="shared" si="13"/>
        <v>9736.3259259259194</v>
      </c>
      <c r="G168" s="217">
        <f t="shared" si="14"/>
        <v>251159.9999999961</v>
      </c>
      <c r="H168" s="207"/>
      <c r="I168" s="208"/>
      <c r="J168" s="208"/>
      <c r="K168" s="208"/>
    </row>
    <row r="169" spans="2:11">
      <c r="B169" s="218">
        <v>49248</v>
      </c>
      <c r="C169" s="217">
        <f t="shared" si="17"/>
        <v>251159.9999999961</v>
      </c>
      <c r="D169" s="217">
        <f t="shared" si="15"/>
        <v>418.59999999999354</v>
      </c>
      <c r="E169" s="217">
        <f t="shared" si="16"/>
        <v>9302.2222222222226</v>
      </c>
      <c r="F169" s="217">
        <f t="shared" si="13"/>
        <v>9720.8222222222157</v>
      </c>
      <c r="G169" s="217">
        <f t="shared" si="14"/>
        <v>241857.77777777388</v>
      </c>
      <c r="H169" s="207"/>
      <c r="I169" s="208"/>
      <c r="J169" s="208"/>
      <c r="K169" s="208"/>
    </row>
    <row r="170" spans="2:11">
      <c r="B170" s="216">
        <v>49278</v>
      </c>
      <c r="C170" s="217">
        <f t="shared" si="17"/>
        <v>241857.77777777388</v>
      </c>
      <c r="D170" s="217">
        <f t="shared" si="15"/>
        <v>403.09629629628984</v>
      </c>
      <c r="E170" s="217">
        <f t="shared" si="16"/>
        <v>9302.2222222222226</v>
      </c>
      <c r="F170" s="217">
        <f t="shared" si="13"/>
        <v>9705.3185185185121</v>
      </c>
      <c r="G170" s="217">
        <f t="shared" si="14"/>
        <v>232555.55555555166</v>
      </c>
      <c r="H170" s="207"/>
      <c r="I170" s="208"/>
      <c r="J170" s="208"/>
      <c r="K170" s="208"/>
    </row>
    <row r="171" spans="2:11">
      <c r="B171" s="219">
        <v>49309</v>
      </c>
      <c r="C171" s="220">
        <f t="shared" si="17"/>
        <v>232555.55555555166</v>
      </c>
      <c r="D171" s="220">
        <f t="shared" si="15"/>
        <v>387.59259259258607</v>
      </c>
      <c r="E171" s="220">
        <f t="shared" si="16"/>
        <v>9302.2222222222226</v>
      </c>
      <c r="F171" s="220">
        <f t="shared" si="13"/>
        <v>9689.8148148148084</v>
      </c>
      <c r="G171" s="220">
        <f t="shared" si="14"/>
        <v>223253.33333332944</v>
      </c>
      <c r="H171" s="213"/>
      <c r="I171" s="214">
        <f>SUM(D160:D171)</f>
        <v>5674.3555555554776</v>
      </c>
      <c r="J171" s="214">
        <f>SUM(E160:E171)</f>
        <v>111626.66666666664</v>
      </c>
      <c r="K171" s="214">
        <f>I171+J171</f>
        <v>117301.02222222212</v>
      </c>
    </row>
    <row r="172" spans="2:11">
      <c r="B172" s="218">
        <v>49340</v>
      </c>
      <c r="C172" s="217">
        <f t="shared" si="17"/>
        <v>223253.33333332944</v>
      </c>
      <c r="D172" s="217">
        <f t="shared" si="15"/>
        <v>372.08888888888242</v>
      </c>
      <c r="E172" s="217">
        <f t="shared" si="16"/>
        <v>9302.2222222222226</v>
      </c>
      <c r="F172" s="217">
        <f t="shared" si="13"/>
        <v>9674.3111111111048</v>
      </c>
      <c r="G172" s="217">
        <f t="shared" si="14"/>
        <v>213951.11111110722</v>
      </c>
      <c r="H172" s="207"/>
      <c r="I172" s="208"/>
      <c r="J172" s="208"/>
      <c r="K172" s="208"/>
    </row>
    <row r="173" spans="2:11">
      <c r="B173" s="216">
        <v>49368</v>
      </c>
      <c r="C173" s="217">
        <f t="shared" si="17"/>
        <v>213951.11111110722</v>
      </c>
      <c r="D173" s="217">
        <f t="shared" si="15"/>
        <v>356.58518518517872</v>
      </c>
      <c r="E173" s="217">
        <f t="shared" si="16"/>
        <v>9302.2222222222226</v>
      </c>
      <c r="F173" s="217">
        <f t="shared" si="13"/>
        <v>9658.8074074074011</v>
      </c>
      <c r="G173" s="217">
        <f t="shared" si="14"/>
        <v>204648.88888888501</v>
      </c>
      <c r="H173" s="207"/>
      <c r="I173" s="208"/>
      <c r="J173" s="208"/>
      <c r="K173" s="208"/>
    </row>
    <row r="174" spans="2:11">
      <c r="B174" s="218">
        <v>49399</v>
      </c>
      <c r="C174" s="217">
        <f t="shared" si="17"/>
        <v>204648.88888888501</v>
      </c>
      <c r="D174" s="217">
        <f t="shared" si="15"/>
        <v>341.08148148147501</v>
      </c>
      <c r="E174" s="217">
        <f t="shared" si="16"/>
        <v>9302.2222222222226</v>
      </c>
      <c r="F174" s="217">
        <f t="shared" si="13"/>
        <v>9643.3037037036975</v>
      </c>
      <c r="G174" s="217">
        <f t="shared" si="14"/>
        <v>195346.66666666279</v>
      </c>
      <c r="H174" s="207"/>
      <c r="I174" s="208"/>
      <c r="J174" s="208"/>
      <c r="K174" s="208"/>
    </row>
    <row r="175" spans="2:11">
      <c r="B175" s="216">
        <v>49429</v>
      </c>
      <c r="C175" s="217">
        <f t="shared" si="17"/>
        <v>195346.66666666279</v>
      </c>
      <c r="D175" s="217">
        <f t="shared" si="15"/>
        <v>325.5777777777713</v>
      </c>
      <c r="E175" s="217">
        <f t="shared" si="16"/>
        <v>9302.2222222222226</v>
      </c>
      <c r="F175" s="217">
        <f t="shared" si="13"/>
        <v>9627.7999999999938</v>
      </c>
      <c r="G175" s="217">
        <f t="shared" si="14"/>
        <v>186044.44444444057</v>
      </c>
      <c r="H175" s="207"/>
      <c r="I175" s="208"/>
      <c r="J175" s="208"/>
      <c r="K175" s="208"/>
    </row>
    <row r="176" spans="2:11">
      <c r="B176" s="218">
        <v>49460</v>
      </c>
      <c r="C176" s="217">
        <f t="shared" si="17"/>
        <v>186044.44444444057</v>
      </c>
      <c r="D176" s="217">
        <f t="shared" si="15"/>
        <v>310.0740740740676</v>
      </c>
      <c r="E176" s="217">
        <f t="shared" si="16"/>
        <v>9302.2222222222226</v>
      </c>
      <c r="F176" s="217">
        <f t="shared" si="13"/>
        <v>9612.2962962962902</v>
      </c>
      <c r="G176" s="217">
        <f t="shared" si="14"/>
        <v>176742.22222221835</v>
      </c>
      <c r="H176" s="207"/>
      <c r="I176" s="208"/>
      <c r="J176" s="208"/>
      <c r="K176" s="208"/>
    </row>
    <row r="177" spans="2:11">
      <c r="B177" s="218">
        <v>49490</v>
      </c>
      <c r="C177" s="217">
        <f t="shared" si="17"/>
        <v>176742.22222221835</v>
      </c>
      <c r="D177" s="217">
        <f t="shared" si="15"/>
        <v>294.57037037036395</v>
      </c>
      <c r="E177" s="217">
        <f t="shared" si="16"/>
        <v>9302.2222222222226</v>
      </c>
      <c r="F177" s="217">
        <f t="shared" si="13"/>
        <v>9596.7925925925865</v>
      </c>
      <c r="G177" s="217">
        <f t="shared" si="14"/>
        <v>167439.99999999613</v>
      </c>
      <c r="H177" s="207"/>
      <c r="I177" s="208"/>
      <c r="J177" s="208"/>
      <c r="K177" s="208"/>
    </row>
    <row r="178" spans="2:11">
      <c r="B178" s="216">
        <v>49521</v>
      </c>
      <c r="C178" s="217">
        <f t="shared" si="17"/>
        <v>167439.99999999613</v>
      </c>
      <c r="D178" s="217">
        <f t="shared" si="15"/>
        <v>279.06666666666024</v>
      </c>
      <c r="E178" s="217">
        <f t="shared" si="16"/>
        <v>9302.2222222222226</v>
      </c>
      <c r="F178" s="217">
        <f t="shared" si="13"/>
        <v>9581.2888888888829</v>
      </c>
      <c r="G178" s="217">
        <f t="shared" si="14"/>
        <v>158137.77777777391</v>
      </c>
      <c r="H178" s="207"/>
      <c r="I178" s="208"/>
      <c r="J178" s="208"/>
      <c r="K178" s="208"/>
    </row>
    <row r="179" spans="2:11">
      <c r="B179" s="218">
        <v>49552</v>
      </c>
      <c r="C179" s="217">
        <f t="shared" si="17"/>
        <v>158137.77777777391</v>
      </c>
      <c r="D179" s="217">
        <f t="shared" si="15"/>
        <v>263.56296296295653</v>
      </c>
      <c r="E179" s="217">
        <f t="shared" si="16"/>
        <v>9302.2222222222226</v>
      </c>
      <c r="F179" s="217">
        <f t="shared" si="13"/>
        <v>9565.7851851851792</v>
      </c>
      <c r="G179" s="217">
        <f t="shared" si="14"/>
        <v>148835.55555555169</v>
      </c>
      <c r="H179" s="207"/>
      <c r="I179" s="208"/>
      <c r="J179" s="208"/>
      <c r="K179" s="208"/>
    </row>
    <row r="180" spans="2:11">
      <c r="B180" s="216">
        <v>49582</v>
      </c>
      <c r="C180" s="217">
        <f t="shared" si="17"/>
        <v>148835.55555555169</v>
      </c>
      <c r="D180" s="217">
        <f t="shared" si="15"/>
        <v>248.05925925925283</v>
      </c>
      <c r="E180" s="217">
        <f t="shared" si="16"/>
        <v>9302.2222222222226</v>
      </c>
      <c r="F180" s="217">
        <f t="shared" si="13"/>
        <v>9550.2814814814756</v>
      </c>
      <c r="G180" s="217">
        <f t="shared" si="14"/>
        <v>139533.33333332947</v>
      </c>
      <c r="H180" s="207"/>
      <c r="I180" s="208"/>
      <c r="J180" s="208"/>
      <c r="K180" s="208"/>
    </row>
    <row r="181" spans="2:11">
      <c r="B181" s="218">
        <v>49613</v>
      </c>
      <c r="C181" s="217">
        <f t="shared" si="17"/>
        <v>139533.33333332947</v>
      </c>
      <c r="D181" s="217">
        <f t="shared" si="15"/>
        <v>232.55555555554915</v>
      </c>
      <c r="E181" s="217">
        <f t="shared" si="16"/>
        <v>9302.2222222222226</v>
      </c>
      <c r="F181" s="217">
        <f t="shared" si="13"/>
        <v>9534.7777777777719</v>
      </c>
      <c r="G181" s="217">
        <f t="shared" si="14"/>
        <v>130231.11111110725</v>
      </c>
      <c r="H181" s="207"/>
      <c r="I181" s="208"/>
      <c r="J181" s="208"/>
      <c r="K181" s="208"/>
    </row>
    <row r="182" spans="2:11">
      <c r="B182" s="216">
        <v>49643</v>
      </c>
      <c r="C182" s="217">
        <f t="shared" si="17"/>
        <v>130231.11111110725</v>
      </c>
      <c r="D182" s="217">
        <f t="shared" si="15"/>
        <v>217.05185185184541</v>
      </c>
      <c r="E182" s="217">
        <f t="shared" si="16"/>
        <v>9302.2222222222226</v>
      </c>
      <c r="F182" s="217">
        <f t="shared" si="13"/>
        <v>9519.2740740740683</v>
      </c>
      <c r="G182" s="217">
        <f t="shared" si="14"/>
        <v>120928.88888888503</v>
      </c>
      <c r="H182" s="207"/>
      <c r="I182" s="208"/>
      <c r="J182" s="208"/>
      <c r="K182" s="208"/>
    </row>
    <row r="183" spans="2:11">
      <c r="B183" s="219">
        <v>49674</v>
      </c>
      <c r="C183" s="220">
        <f t="shared" si="17"/>
        <v>120928.88888888503</v>
      </c>
      <c r="D183" s="220">
        <f t="shared" si="15"/>
        <v>201.54814814814173</v>
      </c>
      <c r="E183" s="220">
        <f t="shared" si="16"/>
        <v>9302.2222222222226</v>
      </c>
      <c r="F183" s="220">
        <f t="shared" si="13"/>
        <v>9503.7703703703646</v>
      </c>
      <c r="G183" s="220">
        <f t="shared" si="14"/>
        <v>111626.66666666282</v>
      </c>
      <c r="H183" s="213"/>
      <c r="I183" s="214">
        <f>SUM(D172:D183)</f>
        <v>3441.8222222221452</v>
      </c>
      <c r="J183" s="214">
        <f>SUM(E172:E183)</f>
        <v>111626.66666666664</v>
      </c>
      <c r="K183" s="214">
        <f>I183+J183</f>
        <v>115068.48888888879</v>
      </c>
    </row>
    <row r="184" spans="2:11">
      <c r="B184" s="218">
        <v>49705</v>
      </c>
      <c r="C184" s="217">
        <f t="shared" si="17"/>
        <v>111626.66666666282</v>
      </c>
      <c r="D184" s="217">
        <f t="shared" si="15"/>
        <v>186.04444444443803</v>
      </c>
      <c r="E184" s="217">
        <f t="shared" si="16"/>
        <v>9302.2222222222226</v>
      </c>
      <c r="F184" s="217">
        <f t="shared" si="13"/>
        <v>9488.266666666661</v>
      </c>
      <c r="G184" s="217">
        <f t="shared" si="14"/>
        <v>102324.4444444406</v>
      </c>
      <c r="H184" s="207"/>
      <c r="I184" s="208"/>
      <c r="J184" s="208"/>
      <c r="K184" s="208"/>
    </row>
    <row r="185" spans="2:11">
      <c r="B185" s="216">
        <v>49734</v>
      </c>
      <c r="C185" s="217">
        <f t="shared" si="17"/>
        <v>102324.4444444406</v>
      </c>
      <c r="D185" s="217">
        <f t="shared" si="15"/>
        <v>170.54074074073432</v>
      </c>
      <c r="E185" s="217">
        <f t="shared" si="16"/>
        <v>9302.2222222222226</v>
      </c>
      <c r="F185" s="217">
        <f t="shared" si="13"/>
        <v>9472.7629629629573</v>
      </c>
      <c r="G185" s="217">
        <f t="shared" si="14"/>
        <v>93022.222222218377</v>
      </c>
      <c r="H185" s="207"/>
      <c r="I185" s="208"/>
      <c r="J185" s="208"/>
      <c r="K185" s="208"/>
    </row>
    <row r="186" spans="2:11">
      <c r="B186" s="218">
        <v>49765</v>
      </c>
      <c r="C186" s="217">
        <f t="shared" si="17"/>
        <v>93022.222222218377</v>
      </c>
      <c r="D186" s="217">
        <f t="shared" si="15"/>
        <v>155.03703703703061</v>
      </c>
      <c r="E186" s="217">
        <f t="shared" si="16"/>
        <v>9302.2222222222226</v>
      </c>
      <c r="F186" s="217">
        <f t="shared" si="13"/>
        <v>9457.2592592592537</v>
      </c>
      <c r="G186" s="217">
        <f t="shared" si="14"/>
        <v>83719.999999996158</v>
      </c>
      <c r="H186" s="207"/>
      <c r="I186" s="208"/>
      <c r="J186" s="208"/>
      <c r="K186" s="208"/>
    </row>
    <row r="187" spans="2:11">
      <c r="B187" s="216">
        <v>49795</v>
      </c>
      <c r="C187" s="217">
        <f t="shared" si="17"/>
        <v>83719.999999996158</v>
      </c>
      <c r="D187" s="217">
        <f t="shared" si="15"/>
        <v>139.53333333332694</v>
      </c>
      <c r="E187" s="217">
        <f t="shared" si="16"/>
        <v>9302.2222222222226</v>
      </c>
      <c r="F187" s="217">
        <f t="shared" si="13"/>
        <v>9441.75555555555</v>
      </c>
      <c r="G187" s="217">
        <f t="shared" si="14"/>
        <v>74417.777777773939</v>
      </c>
      <c r="H187" s="207"/>
      <c r="I187" s="208"/>
      <c r="J187" s="208"/>
      <c r="K187" s="208"/>
    </row>
    <row r="188" spans="2:11">
      <c r="B188" s="218">
        <v>49826</v>
      </c>
      <c r="C188" s="217">
        <f t="shared" si="17"/>
        <v>74417.777777773939</v>
      </c>
      <c r="D188" s="217">
        <f t="shared" si="15"/>
        <v>124.02962962962323</v>
      </c>
      <c r="E188" s="217">
        <f t="shared" si="16"/>
        <v>9302.2222222222226</v>
      </c>
      <c r="F188" s="217">
        <f t="shared" si="13"/>
        <v>9426.2518518518464</v>
      </c>
      <c r="G188" s="217">
        <f t="shared" si="14"/>
        <v>65115.55555555172</v>
      </c>
      <c r="H188" s="207"/>
      <c r="I188" s="208"/>
      <c r="J188" s="208"/>
      <c r="K188" s="208"/>
    </row>
    <row r="189" spans="2:11">
      <c r="B189" s="218">
        <v>49856</v>
      </c>
      <c r="C189" s="217">
        <f t="shared" si="17"/>
        <v>65115.55555555172</v>
      </c>
      <c r="D189" s="217">
        <f t="shared" si="15"/>
        <v>108.52592592591954</v>
      </c>
      <c r="E189" s="217">
        <f t="shared" si="16"/>
        <v>9302.2222222222226</v>
      </c>
      <c r="F189" s="217">
        <f t="shared" si="13"/>
        <v>9410.7481481481427</v>
      </c>
      <c r="G189" s="217">
        <f t="shared" si="14"/>
        <v>55813.333333329501</v>
      </c>
      <c r="H189" s="207"/>
      <c r="I189" s="208"/>
      <c r="J189" s="208"/>
      <c r="K189" s="208"/>
    </row>
    <row r="190" spans="2:11">
      <c r="B190" s="216">
        <v>49887</v>
      </c>
      <c r="C190" s="217">
        <f t="shared" si="17"/>
        <v>55813.333333329501</v>
      </c>
      <c r="D190" s="217">
        <f t="shared" si="15"/>
        <v>93.022222222215831</v>
      </c>
      <c r="E190" s="217">
        <f t="shared" si="16"/>
        <v>9302.2222222222226</v>
      </c>
      <c r="F190" s="217">
        <f t="shared" si="13"/>
        <v>9395.2444444444391</v>
      </c>
      <c r="G190" s="217">
        <f t="shared" si="14"/>
        <v>46511.111111107282</v>
      </c>
      <c r="H190" s="207"/>
      <c r="I190" s="208"/>
      <c r="J190" s="208"/>
      <c r="K190" s="208"/>
    </row>
    <row r="191" spans="2:11">
      <c r="B191" s="218">
        <v>49918</v>
      </c>
      <c r="C191" s="217">
        <f t="shared" si="17"/>
        <v>46511.111111107282</v>
      </c>
      <c r="D191" s="217">
        <f t="shared" si="15"/>
        <v>77.518518518512138</v>
      </c>
      <c r="E191" s="217">
        <f t="shared" si="16"/>
        <v>9302.2222222222226</v>
      </c>
      <c r="F191" s="217">
        <f t="shared" si="13"/>
        <v>9379.7407407407354</v>
      </c>
      <c r="G191" s="217">
        <f t="shared" si="14"/>
        <v>37208.888888885063</v>
      </c>
      <c r="H191" s="207"/>
      <c r="I191" s="208"/>
      <c r="J191" s="208"/>
      <c r="K191" s="208"/>
    </row>
    <row r="192" spans="2:11">
      <c r="B192" s="216">
        <v>49948</v>
      </c>
      <c r="C192" s="217">
        <f t="shared" si="17"/>
        <v>37208.888888885063</v>
      </c>
      <c r="D192" s="217">
        <f t="shared" si="15"/>
        <v>62.014814814808439</v>
      </c>
      <c r="E192" s="217">
        <f t="shared" si="16"/>
        <v>9302.2222222222226</v>
      </c>
      <c r="F192" s="217">
        <f t="shared" si="13"/>
        <v>9364.2370370370318</v>
      </c>
      <c r="G192" s="217">
        <f t="shared" si="14"/>
        <v>27906.666666662841</v>
      </c>
      <c r="H192" s="207"/>
      <c r="I192" s="208"/>
      <c r="J192" s="208"/>
      <c r="K192" s="208"/>
    </row>
    <row r="193" spans="2:11">
      <c r="B193" s="218">
        <v>49979</v>
      </c>
      <c r="C193" s="217">
        <f t="shared" si="17"/>
        <v>27906.666666662841</v>
      </c>
      <c r="D193" s="217">
        <f t="shared" si="15"/>
        <v>46.511111111104732</v>
      </c>
      <c r="E193" s="217">
        <f t="shared" si="16"/>
        <v>9302.2222222222226</v>
      </c>
      <c r="F193" s="217">
        <f t="shared" si="13"/>
        <v>9348.7333333333281</v>
      </c>
      <c r="G193" s="217">
        <f t="shared" si="14"/>
        <v>18604.444444440618</v>
      </c>
      <c r="H193" s="207"/>
      <c r="I193" s="208"/>
      <c r="J193" s="208"/>
      <c r="K193" s="208"/>
    </row>
    <row r="194" spans="2:11">
      <c r="B194" s="216">
        <v>50009</v>
      </c>
      <c r="C194" s="217">
        <f t="shared" si="17"/>
        <v>18604.444444440618</v>
      </c>
      <c r="D194" s="217">
        <f t="shared" si="15"/>
        <v>31.007407407401033</v>
      </c>
      <c r="E194" s="217">
        <f t="shared" si="16"/>
        <v>9302.2222222222226</v>
      </c>
      <c r="F194" s="217">
        <f t="shared" si="13"/>
        <v>9333.2296296296245</v>
      </c>
      <c r="G194" s="217">
        <f t="shared" si="14"/>
        <v>9302.2222222183955</v>
      </c>
      <c r="H194" s="207"/>
      <c r="I194" s="208"/>
      <c r="J194" s="208"/>
      <c r="K194" s="208"/>
    </row>
    <row r="195" spans="2:11">
      <c r="B195" s="221">
        <v>50040</v>
      </c>
      <c r="C195" s="220">
        <f t="shared" si="17"/>
        <v>9302.2222222183955</v>
      </c>
      <c r="D195" s="220">
        <f t="shared" si="15"/>
        <v>15.503703703697326</v>
      </c>
      <c r="E195" s="220">
        <f t="shared" si="16"/>
        <v>9302.2222222222226</v>
      </c>
      <c r="F195" s="220">
        <f t="shared" si="13"/>
        <v>9317.7259259259208</v>
      </c>
      <c r="G195" s="220">
        <f t="shared" si="14"/>
        <v>-3.827153705060482E-9</v>
      </c>
      <c r="H195" s="213"/>
      <c r="I195" s="214">
        <f>SUM(D184:D195)</f>
        <v>1209.2888888888122</v>
      </c>
      <c r="J195" s="214">
        <f>SUM(E184:E195)</f>
        <v>111626.66666666664</v>
      </c>
      <c r="K195" s="214">
        <f>I195+J195</f>
        <v>112835.95555555545</v>
      </c>
    </row>
    <row r="196" spans="2:11">
      <c r="C196" s="206"/>
      <c r="D196" s="209">
        <f>SUM(D4:D195)</f>
        <v>228755.3333333327</v>
      </c>
      <c r="E196" s="209">
        <f>SUM(E4:E195)</f>
        <v>1674400.0000000037</v>
      </c>
      <c r="F196" s="210"/>
      <c r="G196" s="206"/>
      <c r="K196" s="206"/>
    </row>
    <row r="197" spans="2:11">
      <c r="C197" s="206"/>
      <c r="D197" s="206"/>
      <c r="E197" s="206"/>
      <c r="F197" s="206"/>
    </row>
    <row r="198" spans="2:11" ht="18">
      <c r="B198" s="211"/>
      <c r="C198" s="212"/>
      <c r="D198" s="206"/>
      <c r="E198" s="206"/>
      <c r="F198" s="206"/>
    </row>
    <row r="199" spans="2:11">
      <c r="C199" s="206"/>
      <c r="D199" s="206"/>
      <c r="E199" s="206"/>
      <c r="F199" s="206"/>
    </row>
    <row r="200" spans="2:11">
      <c r="C200" s="206"/>
      <c r="D200" s="206"/>
      <c r="E200" s="206"/>
      <c r="F200" s="206"/>
    </row>
    <row r="201" spans="2:11">
      <c r="C201" s="206"/>
      <c r="D201" s="206"/>
      <c r="E201" s="206"/>
      <c r="F201" s="206"/>
    </row>
    <row r="202" spans="2:11">
      <c r="C202" s="206"/>
      <c r="D202" s="206"/>
      <c r="E202" s="206"/>
      <c r="F202" s="206"/>
    </row>
    <row r="203" spans="2:11">
      <c r="C203" s="206"/>
      <c r="D203" s="206"/>
      <c r="E203" s="206"/>
      <c r="F203" s="206"/>
    </row>
    <row r="204" spans="2:11">
      <c r="C204" s="206"/>
      <c r="D204" s="206"/>
      <c r="E204" s="206"/>
      <c r="F204" s="206"/>
    </row>
    <row r="205" spans="2:11">
      <c r="C205" s="206"/>
      <c r="D205" s="206"/>
      <c r="E205" s="206"/>
      <c r="F205" s="206"/>
    </row>
    <row r="206" spans="2:11">
      <c r="C206" s="206"/>
      <c r="D206" s="206"/>
      <c r="E206" s="206"/>
      <c r="F206" s="206"/>
    </row>
    <row r="207" spans="2:11">
      <c r="C207" s="206"/>
      <c r="D207" s="206"/>
      <c r="E207" s="206"/>
      <c r="F207" s="206"/>
    </row>
    <row r="208" spans="2:11">
      <c r="C208" s="206"/>
      <c r="D208" s="206"/>
      <c r="E208" s="206"/>
      <c r="F208" s="206"/>
    </row>
    <row r="209" spans="3:6">
      <c r="C209" s="206"/>
      <c r="D209" s="206"/>
      <c r="E209" s="206"/>
      <c r="F209" s="206"/>
    </row>
    <row r="210" spans="3:6">
      <c r="C210" s="206"/>
      <c r="D210" s="206"/>
      <c r="E210" s="206"/>
      <c r="F210" s="206"/>
    </row>
    <row r="211" spans="3:6">
      <c r="C211" s="206"/>
      <c r="D211" s="206"/>
      <c r="E211" s="206"/>
      <c r="F211" s="206"/>
    </row>
    <row r="212" spans="3:6">
      <c r="C212" s="206"/>
      <c r="D212" s="206"/>
      <c r="E212" s="206"/>
      <c r="F212" s="206"/>
    </row>
    <row r="213" spans="3:6">
      <c r="C213" s="206"/>
      <c r="D213" s="206"/>
      <c r="E213" s="206"/>
      <c r="F213" s="206"/>
    </row>
    <row r="214" spans="3:6">
      <c r="C214" s="206"/>
      <c r="D214" s="206"/>
      <c r="E214" s="206"/>
      <c r="F214" s="206"/>
    </row>
    <row r="215" spans="3:6">
      <c r="C215" s="206"/>
      <c r="D215" s="206"/>
      <c r="E215" s="206"/>
      <c r="F215" s="206"/>
    </row>
    <row r="216" spans="3:6">
      <c r="C216" s="206"/>
      <c r="D216" s="206"/>
      <c r="E216" s="206"/>
      <c r="F216" s="206"/>
    </row>
    <row r="217" spans="3:6">
      <c r="C217" s="206"/>
      <c r="D217" s="206"/>
      <c r="E217" s="206"/>
      <c r="F217" s="206"/>
    </row>
    <row r="218" spans="3:6">
      <c r="C218" s="206"/>
      <c r="D218" s="206"/>
      <c r="E218" s="206"/>
      <c r="F218" s="206"/>
    </row>
    <row r="219" spans="3:6">
      <c r="C219" s="206"/>
      <c r="D219" s="206"/>
      <c r="E219" s="206"/>
      <c r="F219" s="206"/>
    </row>
    <row r="220" spans="3:6">
      <c r="C220" s="206"/>
      <c r="D220" s="206"/>
      <c r="E220" s="206"/>
      <c r="F220" s="206"/>
    </row>
    <row r="221" spans="3:6">
      <c r="C221" s="206"/>
      <c r="D221" s="206"/>
      <c r="E221" s="206"/>
      <c r="F221" s="206"/>
    </row>
    <row r="222" spans="3:6">
      <c r="C222" s="206"/>
      <c r="D222" s="206"/>
      <c r="E222" s="206"/>
      <c r="F222" s="206"/>
    </row>
    <row r="223" spans="3:6">
      <c r="C223" s="206"/>
      <c r="D223" s="206"/>
      <c r="E223" s="206"/>
      <c r="F223" s="206"/>
    </row>
    <row r="224" spans="3:6">
      <c r="C224" s="206"/>
      <c r="D224" s="206"/>
      <c r="E224" s="206"/>
      <c r="F224" s="206"/>
    </row>
    <row r="225" spans="3:6">
      <c r="C225" s="206"/>
      <c r="D225" s="206"/>
      <c r="E225" s="206"/>
      <c r="F225" s="206"/>
    </row>
    <row r="226" spans="3:6">
      <c r="C226" s="206"/>
      <c r="D226" s="206"/>
      <c r="E226" s="206"/>
      <c r="F226" s="206"/>
    </row>
    <row r="227" spans="3:6">
      <c r="C227" s="206"/>
      <c r="D227" s="206"/>
      <c r="E227" s="206"/>
      <c r="F227" s="206"/>
    </row>
    <row r="228" spans="3:6">
      <c r="C228" s="206"/>
      <c r="D228" s="206"/>
      <c r="E228" s="206"/>
      <c r="F228" s="206"/>
    </row>
    <row r="229" spans="3:6">
      <c r="C229" s="206"/>
      <c r="D229" s="206"/>
      <c r="E229" s="206"/>
      <c r="F229" s="206"/>
    </row>
    <row r="230" spans="3:6">
      <c r="C230" s="206"/>
      <c r="D230" s="206"/>
      <c r="E230" s="206"/>
      <c r="F230" s="206"/>
    </row>
    <row r="231" spans="3:6">
      <c r="C231" s="206"/>
      <c r="D231" s="206"/>
      <c r="E231" s="206"/>
      <c r="F231" s="206"/>
    </row>
    <row r="232" spans="3:6">
      <c r="C232" s="206"/>
      <c r="D232" s="206"/>
      <c r="E232" s="206"/>
      <c r="F232" s="206"/>
    </row>
    <row r="233" spans="3:6">
      <c r="C233" s="206"/>
      <c r="D233" s="206"/>
      <c r="E233" s="206"/>
      <c r="F233" s="206"/>
    </row>
    <row r="234" spans="3:6">
      <c r="C234" s="206"/>
      <c r="D234" s="206"/>
      <c r="E234" s="206"/>
      <c r="F234" s="206"/>
    </row>
    <row r="235" spans="3:6">
      <c r="C235" s="206"/>
      <c r="D235" s="206"/>
      <c r="E235" s="206"/>
      <c r="F235" s="206"/>
    </row>
    <row r="236" spans="3:6">
      <c r="C236" s="206"/>
      <c r="D236" s="206"/>
      <c r="E236" s="206"/>
      <c r="F236" s="206"/>
    </row>
    <row r="237" spans="3:6">
      <c r="C237" s="206"/>
      <c r="D237" s="206"/>
      <c r="E237" s="206"/>
      <c r="F237" s="206"/>
    </row>
    <row r="238" spans="3:6">
      <c r="C238" s="206"/>
      <c r="D238" s="206"/>
      <c r="E238" s="206"/>
      <c r="F238" s="206"/>
    </row>
    <row r="239" spans="3:6">
      <c r="C239" s="206"/>
      <c r="D239" s="206"/>
      <c r="E239" s="206"/>
      <c r="F239" s="206"/>
    </row>
    <row r="240" spans="3:6">
      <c r="C240" s="206"/>
      <c r="D240" s="206"/>
      <c r="E240" s="206"/>
      <c r="F240" s="206"/>
    </row>
    <row r="241" spans="3:6">
      <c r="C241" s="206"/>
      <c r="D241" s="206"/>
      <c r="E241" s="206"/>
      <c r="F241" s="206"/>
    </row>
    <row r="242" spans="3:6">
      <c r="C242" s="206"/>
      <c r="D242" s="206"/>
      <c r="E242" s="206"/>
      <c r="F242" s="206"/>
    </row>
    <row r="243" spans="3:6">
      <c r="C243" s="206"/>
      <c r="D243" s="206"/>
      <c r="E243" s="206"/>
      <c r="F243" s="206"/>
    </row>
    <row r="244" spans="3:6">
      <c r="C244" s="206"/>
      <c r="D244" s="206"/>
      <c r="E244" s="206"/>
      <c r="F244" s="206"/>
    </row>
    <row r="245" spans="3:6">
      <c r="C245" s="206"/>
      <c r="D245" s="206"/>
      <c r="E245" s="206"/>
      <c r="F245" s="206"/>
    </row>
    <row r="246" spans="3:6">
      <c r="C246" s="206"/>
      <c r="D246" s="206"/>
      <c r="E246" s="206"/>
      <c r="F246" s="206"/>
    </row>
    <row r="247" spans="3:6">
      <c r="C247" s="206"/>
      <c r="D247" s="206"/>
      <c r="E247" s="206"/>
      <c r="F247" s="206"/>
    </row>
    <row r="248" spans="3:6">
      <c r="C248" s="206"/>
      <c r="D248" s="206"/>
      <c r="E248" s="206"/>
      <c r="F248" s="206"/>
    </row>
    <row r="249" spans="3:6">
      <c r="C249" s="206"/>
      <c r="D249" s="206"/>
      <c r="E249" s="206"/>
      <c r="F249" s="206"/>
    </row>
    <row r="250" spans="3:6">
      <c r="C250" s="206"/>
      <c r="D250" s="206"/>
      <c r="E250" s="206"/>
      <c r="F250" s="206"/>
    </row>
    <row r="251" spans="3:6">
      <c r="C251" s="206"/>
      <c r="D251" s="206"/>
      <c r="E251" s="206"/>
      <c r="F251" s="206"/>
    </row>
    <row r="252" spans="3:6">
      <c r="C252" s="206"/>
      <c r="D252" s="206"/>
      <c r="E252" s="206"/>
      <c r="F252" s="206"/>
    </row>
    <row r="253" spans="3:6">
      <c r="C253" s="206"/>
      <c r="D253" s="206"/>
      <c r="E253" s="206"/>
      <c r="F253" s="206"/>
    </row>
    <row r="254" spans="3:6">
      <c r="C254" s="206"/>
      <c r="D254" s="206"/>
      <c r="E254" s="206"/>
      <c r="F254" s="206"/>
    </row>
    <row r="255" spans="3:6">
      <c r="C255" s="206"/>
      <c r="D255" s="206"/>
      <c r="E255" s="206"/>
      <c r="F255" s="206"/>
    </row>
    <row r="256" spans="3:6">
      <c r="C256" s="206"/>
      <c r="D256" s="206"/>
      <c r="E256" s="206"/>
      <c r="F256" s="206"/>
    </row>
    <row r="257" spans="3:6">
      <c r="C257" s="206"/>
      <c r="D257" s="206"/>
      <c r="E257" s="206"/>
      <c r="F257" s="206"/>
    </row>
    <row r="258" spans="3:6">
      <c r="C258" s="206"/>
      <c r="D258" s="206"/>
      <c r="E258" s="206"/>
      <c r="F258" s="206"/>
    </row>
    <row r="259" spans="3:6">
      <c r="C259" s="206"/>
      <c r="D259" s="206"/>
      <c r="E259" s="206"/>
      <c r="F259" s="206"/>
    </row>
    <row r="260" spans="3:6">
      <c r="C260" s="206"/>
      <c r="D260" s="206"/>
      <c r="E260" s="206"/>
      <c r="F260" s="206"/>
    </row>
    <row r="261" spans="3:6">
      <c r="C261" s="206"/>
      <c r="D261" s="206"/>
      <c r="E261" s="206"/>
      <c r="F261" s="206"/>
    </row>
    <row r="262" spans="3:6">
      <c r="C262" s="206"/>
      <c r="D262" s="206"/>
      <c r="E262" s="206"/>
      <c r="F262" s="206"/>
    </row>
    <row r="263" spans="3:6">
      <c r="C263" s="206"/>
      <c r="D263" s="206"/>
      <c r="E263" s="206"/>
      <c r="F263" s="206"/>
    </row>
    <row r="264" spans="3:6">
      <c r="C264" s="206"/>
      <c r="D264" s="206"/>
      <c r="E264" s="206"/>
      <c r="F264" s="206"/>
    </row>
    <row r="265" spans="3:6">
      <c r="C265" s="206"/>
      <c r="D265" s="206"/>
      <c r="E265" s="206"/>
      <c r="F265" s="206"/>
    </row>
    <row r="266" spans="3:6">
      <c r="C266" s="206"/>
      <c r="D266" s="206"/>
      <c r="E266" s="206"/>
      <c r="F266" s="206"/>
    </row>
    <row r="267" spans="3:6">
      <c r="C267" s="206"/>
      <c r="D267" s="206"/>
      <c r="E267" s="206"/>
      <c r="F267" s="206"/>
    </row>
    <row r="268" spans="3:6">
      <c r="C268" s="206"/>
      <c r="D268" s="206"/>
      <c r="E268" s="206"/>
      <c r="F268" s="206"/>
    </row>
    <row r="269" spans="3:6">
      <c r="C269" s="206"/>
      <c r="D269" s="206"/>
      <c r="E269" s="206"/>
      <c r="F269" s="206"/>
    </row>
    <row r="270" spans="3:6">
      <c r="C270" s="206"/>
      <c r="D270" s="206"/>
      <c r="E270" s="206"/>
      <c r="F270" s="206"/>
    </row>
    <row r="271" spans="3:6">
      <c r="C271" s="206"/>
      <c r="D271" s="206"/>
      <c r="E271" s="206"/>
      <c r="F271" s="206"/>
    </row>
    <row r="272" spans="3:6">
      <c r="C272" s="206"/>
      <c r="D272" s="206"/>
      <c r="E272" s="206"/>
      <c r="F272" s="206"/>
    </row>
    <row r="273" spans="3:6">
      <c r="C273" s="206"/>
      <c r="D273" s="206"/>
      <c r="E273" s="206"/>
      <c r="F273" s="206"/>
    </row>
    <row r="274" spans="3:6">
      <c r="C274" s="206"/>
      <c r="D274" s="206"/>
      <c r="E274" s="206"/>
      <c r="F274" s="206"/>
    </row>
    <row r="275" spans="3:6">
      <c r="C275" s="206"/>
      <c r="D275" s="206"/>
      <c r="E275" s="206"/>
      <c r="F275" s="206"/>
    </row>
    <row r="276" spans="3:6">
      <c r="C276" s="206"/>
      <c r="D276" s="206"/>
      <c r="E276" s="206"/>
      <c r="F276" s="206"/>
    </row>
    <row r="277" spans="3:6">
      <c r="C277" s="206"/>
      <c r="D277" s="206"/>
      <c r="E277" s="206"/>
      <c r="F277" s="206"/>
    </row>
    <row r="278" spans="3:6">
      <c r="C278" s="206"/>
      <c r="D278" s="206"/>
      <c r="E278" s="206"/>
      <c r="F278" s="206"/>
    </row>
    <row r="279" spans="3:6">
      <c r="C279" s="206"/>
      <c r="D279" s="206"/>
      <c r="E279" s="206"/>
      <c r="F279" s="206"/>
    </row>
    <row r="280" spans="3:6">
      <c r="C280" s="206"/>
      <c r="D280" s="206"/>
      <c r="E280" s="206"/>
      <c r="F280" s="206"/>
    </row>
    <row r="281" spans="3:6">
      <c r="C281" s="206"/>
      <c r="D281" s="206"/>
      <c r="E281" s="206"/>
      <c r="F281" s="206"/>
    </row>
    <row r="282" spans="3:6">
      <c r="C282" s="206"/>
      <c r="D282" s="206"/>
      <c r="E282" s="206"/>
      <c r="F282" s="206"/>
    </row>
    <row r="283" spans="3:6">
      <c r="C283" s="206"/>
      <c r="D283" s="206"/>
      <c r="E283" s="206"/>
      <c r="F283" s="206"/>
    </row>
    <row r="284" spans="3:6">
      <c r="C284" s="206"/>
      <c r="D284" s="206"/>
      <c r="E284" s="206"/>
      <c r="F284" s="206"/>
    </row>
    <row r="285" spans="3:6">
      <c r="C285" s="206"/>
      <c r="D285" s="206"/>
      <c r="E285" s="206"/>
      <c r="F285" s="206"/>
    </row>
    <row r="286" spans="3:6">
      <c r="C286" s="206"/>
      <c r="D286" s="206"/>
      <c r="E286" s="206"/>
      <c r="F286" s="206"/>
    </row>
    <row r="287" spans="3:6">
      <c r="C287" s="206"/>
      <c r="D287" s="206"/>
      <c r="E287" s="206"/>
      <c r="F287" s="206"/>
    </row>
    <row r="288" spans="3:6">
      <c r="C288" s="206"/>
      <c r="D288" s="206"/>
      <c r="E288" s="206"/>
      <c r="F288" s="206"/>
    </row>
    <row r="289" spans="3:6">
      <c r="C289" s="206"/>
      <c r="D289" s="206"/>
      <c r="E289" s="206"/>
      <c r="F289" s="206"/>
    </row>
    <row r="290" spans="3:6">
      <c r="C290" s="206"/>
      <c r="D290" s="206"/>
      <c r="E290" s="206"/>
      <c r="F290" s="206"/>
    </row>
    <row r="291" spans="3:6">
      <c r="C291" s="206"/>
      <c r="D291" s="206"/>
      <c r="E291" s="206"/>
      <c r="F291" s="206"/>
    </row>
    <row r="292" spans="3:6">
      <c r="C292" s="206"/>
      <c r="D292" s="206"/>
      <c r="E292" s="206"/>
      <c r="F292" s="206"/>
    </row>
    <row r="293" spans="3:6">
      <c r="C293" s="206"/>
      <c r="D293" s="206"/>
      <c r="E293" s="206"/>
      <c r="F293" s="206"/>
    </row>
    <row r="294" spans="3:6">
      <c r="C294" s="206"/>
      <c r="D294" s="206"/>
      <c r="E294" s="206"/>
      <c r="F294" s="206"/>
    </row>
    <row r="295" spans="3:6">
      <c r="C295" s="206"/>
      <c r="D295" s="206"/>
      <c r="E295" s="206"/>
      <c r="F295" s="206"/>
    </row>
    <row r="296" spans="3:6">
      <c r="C296" s="206"/>
      <c r="D296" s="206"/>
      <c r="E296" s="206"/>
      <c r="F296" s="206"/>
    </row>
    <row r="297" spans="3:6">
      <c r="C297" s="206"/>
      <c r="D297" s="206"/>
      <c r="E297" s="206"/>
      <c r="F297" s="206"/>
    </row>
    <row r="298" spans="3:6">
      <c r="C298" s="206"/>
      <c r="D298" s="206"/>
      <c r="E298" s="206"/>
      <c r="F298" s="206"/>
    </row>
    <row r="299" spans="3:6">
      <c r="C299" s="206"/>
      <c r="D299" s="206"/>
      <c r="E299" s="206"/>
      <c r="F299" s="206"/>
    </row>
    <row r="300" spans="3:6">
      <c r="C300" s="206"/>
      <c r="D300" s="206"/>
      <c r="E300" s="206"/>
      <c r="F300" s="206"/>
    </row>
    <row r="301" spans="3:6">
      <c r="C301" s="206"/>
      <c r="D301" s="206"/>
      <c r="E301" s="206"/>
      <c r="F301" s="206"/>
    </row>
    <row r="302" spans="3:6">
      <c r="C302" s="206"/>
      <c r="D302" s="206"/>
      <c r="E302" s="206"/>
      <c r="F302" s="206"/>
    </row>
    <row r="303" spans="3:6">
      <c r="C303" s="206"/>
      <c r="D303" s="206"/>
      <c r="E303" s="206"/>
      <c r="F303" s="206"/>
    </row>
    <row r="304" spans="3:6">
      <c r="C304" s="206"/>
      <c r="D304" s="206"/>
      <c r="E304" s="206"/>
      <c r="F304" s="206"/>
    </row>
    <row r="305" spans="3:6">
      <c r="C305" s="206"/>
      <c r="D305" s="206"/>
      <c r="E305" s="206"/>
      <c r="F305" s="206"/>
    </row>
    <row r="306" spans="3:6">
      <c r="C306" s="206"/>
      <c r="D306" s="206"/>
      <c r="E306" s="206"/>
      <c r="F306" s="206"/>
    </row>
    <row r="307" spans="3:6">
      <c r="C307" s="206"/>
      <c r="D307" s="206"/>
      <c r="E307" s="206"/>
      <c r="F307" s="206"/>
    </row>
    <row r="308" spans="3:6">
      <c r="C308" s="206"/>
      <c r="D308" s="206"/>
      <c r="E308" s="206"/>
      <c r="F308" s="206"/>
    </row>
    <row r="309" spans="3:6">
      <c r="C309" s="206"/>
      <c r="D309" s="206"/>
      <c r="E309" s="206"/>
      <c r="F309" s="206"/>
    </row>
    <row r="310" spans="3:6">
      <c r="C310" s="206"/>
      <c r="D310" s="206"/>
      <c r="E310" s="206"/>
      <c r="F310" s="206"/>
    </row>
    <row r="311" spans="3:6">
      <c r="C311" s="206"/>
      <c r="D311" s="206"/>
      <c r="E311" s="206"/>
      <c r="F311" s="206"/>
    </row>
    <row r="312" spans="3:6">
      <c r="C312" s="206"/>
      <c r="D312" s="206"/>
      <c r="E312" s="206"/>
      <c r="F312" s="206"/>
    </row>
    <row r="313" spans="3:6">
      <c r="C313" s="206"/>
      <c r="D313" s="206"/>
      <c r="E313" s="206"/>
      <c r="F313" s="206"/>
    </row>
    <row r="314" spans="3:6">
      <c r="C314" s="206"/>
      <c r="D314" s="206"/>
      <c r="E314" s="206"/>
      <c r="F314" s="206"/>
    </row>
    <row r="315" spans="3:6">
      <c r="C315" s="206"/>
      <c r="D315" s="206"/>
      <c r="E315" s="206"/>
      <c r="F315" s="206"/>
    </row>
    <row r="316" spans="3:6">
      <c r="C316" s="206"/>
      <c r="D316" s="206"/>
      <c r="E316" s="206"/>
      <c r="F316" s="206"/>
    </row>
    <row r="317" spans="3:6">
      <c r="C317" s="206"/>
      <c r="D317" s="206"/>
      <c r="E317" s="206"/>
      <c r="F317" s="206"/>
    </row>
    <row r="318" spans="3:6">
      <c r="C318" s="206"/>
      <c r="D318" s="206"/>
      <c r="E318" s="206"/>
      <c r="F318" s="206"/>
    </row>
    <row r="319" spans="3:6">
      <c r="C319" s="206"/>
      <c r="D319" s="206"/>
      <c r="E319" s="206"/>
      <c r="F319" s="206"/>
    </row>
    <row r="320" spans="3:6">
      <c r="C320" s="206"/>
      <c r="D320" s="206"/>
      <c r="E320" s="206"/>
      <c r="F320" s="206"/>
    </row>
    <row r="321" spans="3:6">
      <c r="C321" s="206"/>
      <c r="D321" s="206"/>
      <c r="E321" s="206"/>
      <c r="F321" s="206"/>
    </row>
    <row r="322" spans="3:6">
      <c r="C322" s="206"/>
      <c r="D322" s="206"/>
      <c r="E322" s="206"/>
      <c r="F322" s="206"/>
    </row>
    <row r="323" spans="3:6">
      <c r="C323" s="206"/>
      <c r="D323" s="206"/>
      <c r="E323" s="206"/>
      <c r="F323" s="206"/>
    </row>
    <row r="324" spans="3:6">
      <c r="C324" s="206"/>
      <c r="D324" s="206"/>
      <c r="E324" s="206"/>
      <c r="F324" s="206"/>
    </row>
    <row r="325" spans="3:6">
      <c r="C325" s="206"/>
      <c r="D325" s="206"/>
      <c r="E325" s="206"/>
      <c r="F325" s="206"/>
    </row>
    <row r="326" spans="3:6">
      <c r="C326" s="206"/>
      <c r="D326" s="206"/>
      <c r="E326" s="206"/>
      <c r="F326" s="206"/>
    </row>
    <row r="327" spans="3:6">
      <c r="C327" s="206"/>
      <c r="D327" s="206"/>
      <c r="E327" s="206"/>
      <c r="F327" s="206"/>
    </row>
    <row r="328" spans="3:6">
      <c r="C328" s="206"/>
      <c r="D328" s="206"/>
      <c r="E328" s="206"/>
      <c r="F328" s="206"/>
    </row>
    <row r="329" spans="3:6">
      <c r="C329" s="206"/>
      <c r="D329" s="206"/>
      <c r="E329" s="206"/>
      <c r="F329" s="206"/>
    </row>
    <row r="330" spans="3:6">
      <c r="C330" s="206"/>
      <c r="D330" s="206"/>
      <c r="E330" s="206"/>
      <c r="F330" s="206"/>
    </row>
    <row r="331" spans="3:6">
      <c r="C331" s="206"/>
      <c r="D331" s="206"/>
      <c r="E331" s="206"/>
      <c r="F331" s="206"/>
    </row>
    <row r="332" spans="3:6">
      <c r="C332" s="206"/>
      <c r="D332" s="206"/>
      <c r="E332" s="206"/>
      <c r="F332" s="206"/>
    </row>
    <row r="333" spans="3:6">
      <c r="C333" s="206"/>
      <c r="D333" s="206"/>
      <c r="E333" s="206"/>
      <c r="F333" s="206"/>
    </row>
    <row r="334" spans="3:6">
      <c r="C334" s="206"/>
      <c r="D334" s="206"/>
      <c r="E334" s="206"/>
      <c r="F334" s="206"/>
    </row>
    <row r="335" spans="3:6">
      <c r="C335" s="206"/>
      <c r="D335" s="206"/>
      <c r="E335" s="206"/>
      <c r="F335" s="206"/>
    </row>
    <row r="336" spans="3:6">
      <c r="C336" s="206"/>
      <c r="D336" s="206"/>
      <c r="E336" s="206"/>
      <c r="F336" s="206"/>
    </row>
    <row r="337" spans="3:6">
      <c r="C337" s="206"/>
      <c r="D337" s="206"/>
      <c r="E337" s="206"/>
      <c r="F337" s="206"/>
    </row>
    <row r="338" spans="3:6">
      <c r="C338" s="206"/>
      <c r="D338" s="206"/>
      <c r="E338" s="206"/>
      <c r="F338" s="206"/>
    </row>
    <row r="339" spans="3:6">
      <c r="C339" s="206"/>
      <c r="D339" s="206"/>
      <c r="E339" s="206"/>
      <c r="F339" s="206"/>
    </row>
    <row r="340" spans="3:6">
      <c r="C340" s="206"/>
      <c r="D340" s="206"/>
      <c r="E340" s="206"/>
      <c r="F340" s="206"/>
    </row>
    <row r="341" spans="3:6">
      <c r="C341" s="206"/>
      <c r="D341" s="206"/>
      <c r="E341" s="206"/>
      <c r="F341" s="206"/>
    </row>
    <row r="342" spans="3:6">
      <c r="C342" s="206"/>
      <c r="D342" s="206"/>
      <c r="E342" s="206"/>
      <c r="F342" s="206"/>
    </row>
    <row r="343" spans="3:6">
      <c r="C343" s="206"/>
      <c r="D343" s="206"/>
      <c r="E343" s="206"/>
      <c r="F343" s="206"/>
    </row>
    <row r="344" spans="3:6">
      <c r="C344" s="206"/>
      <c r="D344" s="206"/>
      <c r="E344" s="206"/>
      <c r="F344" s="206"/>
    </row>
    <row r="345" spans="3:6">
      <c r="C345" s="206"/>
      <c r="D345" s="206"/>
      <c r="E345" s="206"/>
      <c r="F345" s="206"/>
    </row>
    <row r="346" spans="3:6">
      <c r="C346" s="206"/>
      <c r="D346" s="206"/>
      <c r="E346" s="206"/>
      <c r="F346" s="206"/>
    </row>
    <row r="347" spans="3:6">
      <c r="C347" s="206"/>
      <c r="D347" s="206"/>
      <c r="E347" s="206"/>
      <c r="F347" s="206"/>
    </row>
    <row r="348" spans="3:6">
      <c r="C348" s="206"/>
      <c r="D348" s="206"/>
      <c r="E348" s="206"/>
      <c r="F348" s="206"/>
    </row>
    <row r="349" spans="3:6">
      <c r="C349" s="206"/>
      <c r="D349" s="206"/>
      <c r="E349" s="206"/>
      <c r="F349" s="206"/>
    </row>
    <row r="350" spans="3:6">
      <c r="C350" s="206"/>
      <c r="D350" s="206"/>
      <c r="E350" s="206"/>
      <c r="F350" s="206"/>
    </row>
    <row r="351" spans="3:6">
      <c r="C351" s="206"/>
      <c r="D351" s="206"/>
      <c r="E351" s="206"/>
      <c r="F351" s="206"/>
    </row>
    <row r="352" spans="3:6">
      <c r="C352" s="206"/>
      <c r="D352" s="206"/>
      <c r="E352" s="206"/>
      <c r="F352" s="206"/>
    </row>
    <row r="353" spans="3:6">
      <c r="C353" s="206"/>
      <c r="D353" s="206"/>
      <c r="E353" s="206"/>
      <c r="F353" s="206"/>
    </row>
    <row r="354" spans="3:6">
      <c r="C354" s="206"/>
      <c r="D354" s="206"/>
      <c r="E354" s="206"/>
      <c r="F354" s="206"/>
    </row>
    <row r="355" spans="3:6">
      <c r="C355" s="206"/>
      <c r="D355" s="206"/>
      <c r="E355" s="206"/>
      <c r="F355" s="206"/>
    </row>
    <row r="356" spans="3:6">
      <c r="C356" s="206"/>
      <c r="D356" s="206"/>
      <c r="E356" s="206"/>
      <c r="F356" s="206"/>
    </row>
    <row r="357" spans="3:6">
      <c r="C357" s="206"/>
      <c r="D357" s="206"/>
      <c r="E357" s="206"/>
      <c r="F357" s="206"/>
    </row>
    <row r="358" spans="3:6">
      <c r="C358" s="206"/>
      <c r="D358" s="206"/>
      <c r="E358" s="206"/>
      <c r="F358" s="206"/>
    </row>
    <row r="359" spans="3:6">
      <c r="C359" s="206"/>
      <c r="D359" s="206"/>
      <c r="E359" s="206"/>
      <c r="F359" s="206"/>
    </row>
    <row r="360" spans="3:6">
      <c r="C360" s="206"/>
      <c r="D360" s="206"/>
      <c r="E360" s="206"/>
      <c r="F360" s="206"/>
    </row>
    <row r="361" spans="3:6">
      <c r="C361" s="206"/>
      <c r="D361" s="206"/>
      <c r="E361" s="206"/>
      <c r="F361" s="206"/>
    </row>
    <row r="362" spans="3:6">
      <c r="C362" s="206"/>
      <c r="D362" s="206"/>
      <c r="E362" s="206"/>
      <c r="F362" s="206"/>
    </row>
    <row r="363" spans="3:6">
      <c r="C363" s="206"/>
      <c r="D363" s="206"/>
      <c r="E363" s="206"/>
      <c r="F363" s="206"/>
    </row>
    <row r="364" spans="3:6">
      <c r="C364" s="206"/>
      <c r="D364" s="206"/>
      <c r="E364" s="206"/>
      <c r="F364" s="206"/>
    </row>
    <row r="365" spans="3:6">
      <c r="C365" s="206"/>
      <c r="D365" s="206"/>
      <c r="E365" s="206"/>
      <c r="F365" s="206"/>
    </row>
    <row r="366" spans="3:6">
      <c r="C366" s="206"/>
      <c r="D366" s="206"/>
      <c r="E366" s="206"/>
      <c r="F366" s="206"/>
    </row>
    <row r="367" spans="3:6">
      <c r="C367" s="206"/>
      <c r="D367" s="206"/>
      <c r="E367" s="206"/>
      <c r="F367" s="206"/>
    </row>
    <row r="368" spans="3:6">
      <c r="C368" s="206"/>
      <c r="D368" s="206"/>
      <c r="E368" s="206"/>
      <c r="F368" s="206"/>
    </row>
    <row r="369" spans="3:6">
      <c r="C369" s="206"/>
      <c r="D369" s="206"/>
      <c r="E369" s="206"/>
      <c r="F369" s="206"/>
    </row>
    <row r="370" spans="3:6">
      <c r="C370" s="206"/>
      <c r="D370" s="206"/>
      <c r="E370" s="206"/>
      <c r="F370" s="206"/>
    </row>
    <row r="371" spans="3:6">
      <c r="C371" s="206"/>
      <c r="D371" s="206"/>
      <c r="E371" s="206"/>
      <c r="F371" s="206"/>
    </row>
    <row r="372" spans="3:6">
      <c r="C372" s="206"/>
      <c r="D372" s="206"/>
      <c r="E372" s="206"/>
      <c r="F372" s="206"/>
    </row>
    <row r="373" spans="3:6">
      <c r="C373" s="206"/>
      <c r="D373" s="206"/>
      <c r="E373" s="206"/>
      <c r="F373" s="206"/>
    </row>
    <row r="374" spans="3:6">
      <c r="C374" s="206"/>
      <c r="D374" s="206"/>
      <c r="E374" s="206"/>
      <c r="F374" s="206"/>
    </row>
    <row r="375" spans="3:6">
      <c r="C375" s="206"/>
      <c r="D375" s="206"/>
      <c r="E375" s="206"/>
      <c r="F375" s="206"/>
    </row>
    <row r="376" spans="3:6">
      <c r="C376" s="206"/>
      <c r="D376" s="206"/>
      <c r="E376" s="206"/>
      <c r="F376" s="206"/>
    </row>
    <row r="377" spans="3:6">
      <c r="C377" s="206"/>
      <c r="D377" s="206"/>
      <c r="E377" s="206"/>
      <c r="F377" s="206"/>
    </row>
    <row r="378" spans="3:6">
      <c r="C378" s="206"/>
      <c r="D378" s="206"/>
      <c r="E378" s="206"/>
      <c r="F378" s="206"/>
    </row>
    <row r="379" spans="3:6">
      <c r="C379" s="206"/>
      <c r="D379" s="206"/>
      <c r="E379" s="206"/>
      <c r="F379" s="206"/>
    </row>
    <row r="380" spans="3:6">
      <c r="C380" s="206"/>
      <c r="D380" s="206"/>
      <c r="E380" s="206"/>
      <c r="F380" s="206"/>
    </row>
    <row r="381" spans="3:6">
      <c r="C381" s="206"/>
      <c r="D381" s="206"/>
      <c r="E381" s="206"/>
      <c r="F381" s="206"/>
    </row>
    <row r="382" spans="3:6">
      <c r="C382" s="206"/>
      <c r="D382" s="206"/>
      <c r="E382" s="206"/>
      <c r="F382" s="206"/>
    </row>
    <row r="383" spans="3:6">
      <c r="C383" s="206"/>
      <c r="D383" s="206"/>
      <c r="E383" s="206"/>
      <c r="F383" s="206"/>
    </row>
    <row r="384" spans="3:6">
      <c r="C384" s="206"/>
      <c r="D384" s="206"/>
      <c r="E384" s="206"/>
      <c r="F384" s="206"/>
    </row>
    <row r="385" spans="3:6">
      <c r="C385" s="206"/>
      <c r="D385" s="206"/>
      <c r="E385" s="206"/>
      <c r="F385" s="206"/>
    </row>
    <row r="386" spans="3:6">
      <c r="C386" s="206"/>
      <c r="D386" s="206"/>
      <c r="E386" s="206"/>
      <c r="F386" s="206"/>
    </row>
    <row r="387" spans="3:6">
      <c r="C387" s="206"/>
      <c r="D387" s="206"/>
      <c r="E387" s="206"/>
      <c r="F387" s="206"/>
    </row>
    <row r="388" spans="3:6">
      <c r="C388" s="206"/>
      <c r="D388" s="206"/>
      <c r="E388" s="206"/>
      <c r="F388" s="206"/>
    </row>
    <row r="389" spans="3:6">
      <c r="C389" s="206"/>
      <c r="D389" s="206"/>
      <c r="E389" s="206"/>
      <c r="F389" s="206"/>
    </row>
    <row r="390" spans="3:6">
      <c r="C390" s="206"/>
      <c r="D390" s="206"/>
      <c r="E390" s="206"/>
      <c r="F390" s="206"/>
    </row>
    <row r="391" spans="3:6">
      <c r="C391" s="206"/>
      <c r="D391" s="206"/>
      <c r="E391" s="206"/>
      <c r="F391" s="206"/>
    </row>
    <row r="392" spans="3:6">
      <c r="C392" s="206"/>
      <c r="D392" s="206"/>
      <c r="E392" s="206"/>
      <c r="F392" s="206"/>
    </row>
    <row r="393" spans="3:6">
      <c r="C393" s="206"/>
      <c r="D393" s="206"/>
      <c r="E393" s="206"/>
      <c r="F393" s="206"/>
    </row>
    <row r="394" spans="3:6">
      <c r="C394" s="206"/>
      <c r="D394" s="206"/>
      <c r="E394" s="206"/>
      <c r="F394" s="206"/>
    </row>
    <row r="395" spans="3:6">
      <c r="C395" s="206"/>
      <c r="D395" s="206"/>
      <c r="E395" s="206"/>
      <c r="F395" s="206"/>
    </row>
    <row r="396" spans="3:6">
      <c r="C396" s="206"/>
      <c r="D396" s="206"/>
      <c r="E396" s="206"/>
      <c r="F396" s="206"/>
    </row>
    <row r="397" spans="3:6">
      <c r="C397" s="206"/>
      <c r="D397" s="206"/>
      <c r="E397" s="206"/>
      <c r="F397" s="206"/>
    </row>
    <row r="398" spans="3:6">
      <c r="C398" s="206"/>
      <c r="D398" s="206"/>
      <c r="E398" s="206"/>
      <c r="F398" s="206"/>
    </row>
    <row r="399" spans="3:6">
      <c r="C399" s="206"/>
      <c r="D399" s="206"/>
      <c r="E399" s="206"/>
      <c r="F399" s="206"/>
    </row>
    <row r="400" spans="3:6">
      <c r="C400" s="206"/>
      <c r="D400" s="206"/>
      <c r="E400" s="206"/>
      <c r="F400" s="206"/>
    </row>
    <row r="401" spans="3:6">
      <c r="C401" s="206"/>
      <c r="D401" s="206"/>
      <c r="E401" s="206"/>
      <c r="F401" s="206"/>
    </row>
    <row r="402" spans="3:6">
      <c r="C402" s="206"/>
      <c r="D402" s="206"/>
      <c r="E402" s="206"/>
      <c r="F402" s="206"/>
    </row>
    <row r="403" spans="3:6">
      <c r="C403" s="206"/>
      <c r="D403" s="206"/>
      <c r="E403" s="206"/>
      <c r="F403" s="206"/>
    </row>
    <row r="404" spans="3:6">
      <c r="C404" s="206"/>
      <c r="D404" s="206"/>
      <c r="E404" s="206"/>
      <c r="F404" s="206"/>
    </row>
    <row r="405" spans="3:6">
      <c r="C405" s="206"/>
      <c r="D405" s="206"/>
      <c r="E405" s="206"/>
      <c r="F405" s="206"/>
    </row>
    <row r="406" spans="3:6">
      <c r="C406" s="206"/>
      <c r="D406" s="206"/>
      <c r="E406" s="206"/>
      <c r="F406" s="206"/>
    </row>
    <row r="407" spans="3:6">
      <c r="C407" s="206"/>
      <c r="D407" s="206"/>
      <c r="E407" s="206"/>
      <c r="F407" s="206"/>
    </row>
    <row r="408" spans="3:6">
      <c r="C408" s="206"/>
      <c r="D408" s="206"/>
      <c r="E408" s="206"/>
      <c r="F408" s="206"/>
    </row>
    <row r="409" spans="3:6">
      <c r="C409" s="206"/>
      <c r="D409" s="206"/>
      <c r="E409" s="206"/>
      <c r="F409" s="206"/>
    </row>
    <row r="410" spans="3:6">
      <c r="C410" s="206"/>
      <c r="D410" s="206"/>
      <c r="E410" s="206"/>
      <c r="F410" s="206"/>
    </row>
    <row r="411" spans="3:6">
      <c r="C411" s="206"/>
      <c r="D411" s="206"/>
      <c r="E411" s="206"/>
      <c r="F411" s="206"/>
    </row>
    <row r="412" spans="3:6">
      <c r="C412" s="206"/>
      <c r="D412" s="206"/>
      <c r="E412" s="206"/>
      <c r="F412" s="206"/>
    </row>
    <row r="413" spans="3:6">
      <c r="C413" s="206"/>
      <c r="D413" s="206"/>
      <c r="E413" s="206"/>
      <c r="F413" s="206"/>
    </row>
    <row r="414" spans="3:6">
      <c r="C414" s="206"/>
      <c r="D414" s="206"/>
      <c r="E414" s="206"/>
      <c r="F414" s="206"/>
    </row>
    <row r="415" spans="3:6">
      <c r="C415" s="206"/>
      <c r="D415" s="206"/>
      <c r="E415" s="206"/>
      <c r="F415" s="206"/>
    </row>
    <row r="416" spans="3:6">
      <c r="C416" s="206"/>
      <c r="D416" s="206"/>
      <c r="E416" s="206"/>
      <c r="F416" s="206"/>
    </row>
    <row r="417" spans="3:6">
      <c r="C417" s="206"/>
      <c r="D417" s="206"/>
      <c r="E417" s="206"/>
      <c r="F417" s="206"/>
    </row>
    <row r="418" spans="3:6">
      <c r="C418" s="206"/>
      <c r="D418" s="206"/>
      <c r="E418" s="206"/>
      <c r="F418" s="206"/>
    </row>
    <row r="419" spans="3:6">
      <c r="C419" s="206"/>
      <c r="D419" s="206"/>
      <c r="E419" s="206"/>
      <c r="F419" s="206"/>
    </row>
    <row r="420" spans="3:6">
      <c r="C420" s="206"/>
      <c r="D420" s="206"/>
      <c r="E420" s="206"/>
      <c r="F420" s="206"/>
    </row>
    <row r="421" spans="3:6">
      <c r="C421" s="206"/>
      <c r="D421" s="206"/>
      <c r="E421" s="206"/>
      <c r="F421" s="206"/>
    </row>
    <row r="422" spans="3:6">
      <c r="C422" s="206"/>
      <c r="D422" s="206"/>
      <c r="E422" s="206"/>
      <c r="F422" s="206"/>
    </row>
    <row r="423" spans="3:6">
      <c r="C423" s="206"/>
      <c r="D423" s="206"/>
      <c r="E423" s="206"/>
      <c r="F423" s="206"/>
    </row>
    <row r="424" spans="3:6">
      <c r="C424" s="206"/>
      <c r="D424" s="206"/>
      <c r="E424" s="206"/>
      <c r="F424" s="206"/>
    </row>
    <row r="425" spans="3:6">
      <c r="C425" s="206"/>
      <c r="D425" s="206"/>
      <c r="E425" s="206"/>
      <c r="F425" s="206"/>
    </row>
    <row r="426" spans="3:6">
      <c r="C426" s="206"/>
      <c r="D426" s="206"/>
      <c r="E426" s="206"/>
      <c r="F426" s="206"/>
    </row>
    <row r="427" spans="3:6">
      <c r="C427" s="206"/>
      <c r="D427" s="206"/>
      <c r="E427" s="206"/>
      <c r="F427" s="206"/>
    </row>
    <row r="428" spans="3:6">
      <c r="C428" s="206"/>
      <c r="D428" s="206"/>
      <c r="E428" s="206"/>
      <c r="F428" s="206"/>
    </row>
    <row r="429" spans="3:6">
      <c r="C429" s="206"/>
      <c r="D429" s="206"/>
      <c r="E429" s="206"/>
      <c r="F429" s="206"/>
    </row>
    <row r="430" spans="3:6">
      <c r="C430" s="206"/>
      <c r="D430" s="206"/>
      <c r="E430" s="206"/>
      <c r="F430" s="206"/>
    </row>
    <row r="431" spans="3:6">
      <c r="C431" s="206"/>
      <c r="D431" s="206"/>
      <c r="E431" s="206"/>
      <c r="F431" s="206"/>
    </row>
    <row r="432" spans="3:6">
      <c r="C432" s="206"/>
      <c r="D432" s="206"/>
      <c r="E432" s="206"/>
      <c r="F432" s="206"/>
    </row>
    <row r="433" spans="3:6">
      <c r="C433" s="206"/>
      <c r="D433" s="206"/>
      <c r="E433" s="206"/>
      <c r="F433" s="206"/>
    </row>
    <row r="434" spans="3:6">
      <c r="C434" s="206"/>
      <c r="D434" s="206"/>
      <c r="E434" s="206"/>
      <c r="F434" s="206"/>
    </row>
    <row r="435" spans="3:6">
      <c r="C435" s="206"/>
      <c r="D435" s="206"/>
      <c r="E435" s="206"/>
      <c r="F435" s="206"/>
    </row>
    <row r="436" spans="3:6">
      <c r="C436" s="206"/>
      <c r="D436" s="206"/>
      <c r="E436" s="206"/>
      <c r="F436" s="206"/>
    </row>
    <row r="437" spans="3:6">
      <c r="C437" s="206"/>
      <c r="D437" s="206"/>
      <c r="E437" s="206"/>
      <c r="F437" s="206"/>
    </row>
    <row r="438" spans="3:6">
      <c r="C438" s="206"/>
      <c r="D438" s="206"/>
      <c r="E438" s="206"/>
      <c r="F438" s="206"/>
    </row>
    <row r="439" spans="3:6">
      <c r="C439" s="206"/>
      <c r="D439" s="206"/>
      <c r="E439" s="206"/>
      <c r="F439" s="206"/>
    </row>
    <row r="440" spans="3:6">
      <c r="C440" s="206"/>
      <c r="D440" s="206"/>
      <c r="E440" s="206"/>
      <c r="F440" s="206"/>
    </row>
    <row r="441" spans="3:6">
      <c r="C441" s="206"/>
      <c r="D441" s="206"/>
      <c r="E441" s="206"/>
      <c r="F441" s="206"/>
    </row>
    <row r="442" spans="3:6">
      <c r="C442" s="206"/>
      <c r="D442" s="206"/>
      <c r="E442" s="206"/>
      <c r="F442" s="206"/>
    </row>
    <row r="443" spans="3:6">
      <c r="C443" s="206"/>
      <c r="D443" s="206"/>
      <c r="E443" s="206"/>
      <c r="F443" s="206"/>
    </row>
    <row r="444" spans="3:6">
      <c r="C444" s="206"/>
      <c r="D444" s="206"/>
      <c r="E444" s="206"/>
      <c r="F444" s="206"/>
    </row>
    <row r="445" spans="3:6">
      <c r="C445" s="206"/>
      <c r="D445" s="206"/>
      <c r="E445" s="206"/>
      <c r="F445" s="206"/>
    </row>
    <row r="446" spans="3:6">
      <c r="C446" s="206"/>
      <c r="D446" s="206"/>
      <c r="E446" s="206"/>
      <c r="F446" s="206"/>
    </row>
    <row r="447" spans="3:6">
      <c r="C447" s="206"/>
      <c r="D447" s="206"/>
      <c r="E447" s="206"/>
      <c r="F447" s="206"/>
    </row>
    <row r="448" spans="3:6">
      <c r="C448" s="206"/>
      <c r="D448" s="206"/>
      <c r="E448" s="206"/>
      <c r="F448" s="206"/>
    </row>
    <row r="449" spans="3:6">
      <c r="C449" s="206"/>
      <c r="D449" s="206"/>
      <c r="E449" s="206"/>
      <c r="F449" s="206"/>
    </row>
    <row r="450" spans="3:6">
      <c r="C450" s="206"/>
      <c r="D450" s="206"/>
      <c r="E450" s="206"/>
      <c r="F450" s="206"/>
    </row>
    <row r="451" spans="3:6">
      <c r="C451" s="206"/>
      <c r="D451" s="206"/>
      <c r="E451" s="206"/>
      <c r="F451" s="206"/>
    </row>
    <row r="452" spans="3:6">
      <c r="C452" s="206"/>
      <c r="D452" s="206"/>
      <c r="E452" s="206"/>
      <c r="F452" s="206"/>
    </row>
    <row r="453" spans="3:6">
      <c r="C453" s="206"/>
      <c r="D453" s="206"/>
      <c r="E453" s="206"/>
      <c r="F453" s="206"/>
    </row>
    <row r="454" spans="3:6">
      <c r="C454" s="206"/>
      <c r="D454" s="206"/>
      <c r="E454" s="206"/>
      <c r="F454" s="206"/>
    </row>
    <row r="455" spans="3:6">
      <c r="C455" s="206"/>
      <c r="D455" s="206"/>
      <c r="E455" s="206"/>
      <c r="F455" s="206"/>
    </row>
    <row r="456" spans="3:6">
      <c r="C456" s="206"/>
      <c r="D456" s="206"/>
      <c r="E456" s="206"/>
      <c r="F456" s="206"/>
    </row>
    <row r="457" spans="3:6">
      <c r="C457" s="206"/>
      <c r="D457" s="206"/>
      <c r="E457" s="206"/>
      <c r="F457" s="206"/>
    </row>
    <row r="458" spans="3:6">
      <c r="C458" s="206"/>
      <c r="D458" s="206"/>
      <c r="E458" s="206"/>
      <c r="F458" s="206"/>
    </row>
    <row r="459" spans="3:6">
      <c r="C459" s="206"/>
      <c r="D459" s="206"/>
      <c r="E459" s="206"/>
      <c r="F459" s="206"/>
    </row>
    <row r="460" spans="3:6">
      <c r="C460" s="206"/>
      <c r="D460" s="206"/>
      <c r="E460" s="206"/>
      <c r="F460" s="206"/>
    </row>
    <row r="461" spans="3:6">
      <c r="C461" s="206"/>
      <c r="D461" s="206"/>
      <c r="E461" s="206"/>
      <c r="F461" s="206"/>
    </row>
    <row r="462" spans="3:6">
      <c r="C462" s="206"/>
      <c r="D462" s="206"/>
      <c r="E462" s="206"/>
      <c r="F462" s="206"/>
    </row>
    <row r="463" spans="3:6">
      <c r="C463" s="206"/>
      <c r="D463" s="206"/>
      <c r="E463" s="206"/>
      <c r="F463" s="206"/>
    </row>
    <row r="464" spans="3:6">
      <c r="C464" s="206"/>
      <c r="D464" s="206"/>
      <c r="E464" s="206"/>
      <c r="F464" s="206"/>
    </row>
    <row r="465" spans="3:6">
      <c r="C465" s="206"/>
      <c r="D465" s="206"/>
      <c r="E465" s="206"/>
      <c r="F465" s="206"/>
    </row>
    <row r="466" spans="3:6">
      <c r="C466" s="206"/>
      <c r="D466" s="206"/>
      <c r="E466" s="206"/>
      <c r="F466" s="206"/>
    </row>
    <row r="467" spans="3:6">
      <c r="C467" s="206"/>
      <c r="D467" s="206"/>
      <c r="E467" s="206"/>
      <c r="F467" s="206"/>
    </row>
    <row r="468" spans="3:6">
      <c r="C468" s="206"/>
      <c r="D468" s="206"/>
      <c r="E468" s="206"/>
      <c r="F468" s="206"/>
    </row>
    <row r="469" spans="3:6">
      <c r="C469" s="206"/>
      <c r="D469" s="206"/>
      <c r="E469" s="206"/>
      <c r="F469" s="206"/>
    </row>
    <row r="470" spans="3:6">
      <c r="C470" s="206"/>
      <c r="D470" s="206"/>
      <c r="E470" s="206"/>
      <c r="F470" s="206"/>
    </row>
    <row r="471" spans="3:6">
      <c r="C471" s="206"/>
      <c r="D471" s="206"/>
      <c r="E471" s="206"/>
      <c r="F471" s="206"/>
    </row>
    <row r="472" spans="3:6">
      <c r="C472" s="206"/>
      <c r="D472" s="206"/>
      <c r="E472" s="206"/>
      <c r="F472" s="206"/>
    </row>
    <row r="473" spans="3:6">
      <c r="C473" s="206"/>
      <c r="D473" s="206"/>
      <c r="E473" s="206"/>
      <c r="F473" s="206"/>
    </row>
    <row r="474" spans="3:6">
      <c r="C474" s="206"/>
      <c r="D474" s="206"/>
      <c r="E474" s="206"/>
      <c r="F474" s="206"/>
    </row>
    <row r="475" spans="3:6">
      <c r="C475" s="206"/>
      <c r="D475" s="206"/>
      <c r="E475" s="206"/>
      <c r="F475" s="206"/>
    </row>
    <row r="476" spans="3:6">
      <c r="C476" s="206"/>
      <c r="D476" s="206"/>
      <c r="E476" s="206"/>
      <c r="F476" s="206"/>
    </row>
    <row r="477" spans="3:6">
      <c r="C477" s="206"/>
      <c r="D477" s="206"/>
      <c r="E477" s="206"/>
      <c r="F477" s="206"/>
    </row>
    <row r="478" spans="3:6">
      <c r="C478" s="206"/>
      <c r="D478" s="206"/>
      <c r="E478" s="206"/>
      <c r="F478" s="206"/>
    </row>
    <row r="479" spans="3:6">
      <c r="C479" s="206"/>
      <c r="D479" s="206"/>
      <c r="E479" s="206"/>
      <c r="F479" s="206"/>
    </row>
    <row r="480" spans="3:6">
      <c r="C480" s="206"/>
      <c r="D480" s="206"/>
      <c r="E480" s="206"/>
      <c r="F480" s="206"/>
    </row>
    <row r="481" spans="3:6">
      <c r="C481" s="206"/>
      <c r="D481" s="206"/>
      <c r="E481" s="206"/>
      <c r="F481" s="206"/>
    </row>
    <row r="482" spans="3:6">
      <c r="C482" s="206"/>
      <c r="D482" s="206"/>
      <c r="E482" s="206"/>
      <c r="F482" s="206"/>
    </row>
    <row r="483" spans="3:6">
      <c r="C483" s="206"/>
      <c r="D483" s="206"/>
      <c r="E483" s="206"/>
      <c r="F483" s="206"/>
    </row>
    <row r="484" spans="3:6">
      <c r="C484" s="206"/>
      <c r="D484" s="206"/>
      <c r="E484" s="206"/>
      <c r="F484" s="206"/>
    </row>
    <row r="485" spans="3:6">
      <c r="C485" s="206"/>
      <c r="E485" s="206"/>
      <c r="F485" s="206"/>
    </row>
    <row r="486" spans="3:6">
      <c r="C486" s="206"/>
      <c r="E486" s="206"/>
      <c r="F486" s="206"/>
    </row>
    <row r="487" spans="3:6">
      <c r="C487" s="206"/>
      <c r="E487" s="206"/>
      <c r="F487" s="206"/>
    </row>
    <row r="488" spans="3:6">
      <c r="C488" s="206"/>
      <c r="E488" s="206"/>
      <c r="F488" s="206"/>
    </row>
    <row r="489" spans="3:6">
      <c r="C489" s="206"/>
      <c r="E489" s="206"/>
      <c r="F489" s="206"/>
    </row>
    <row r="490" spans="3:6">
      <c r="C490" s="206"/>
      <c r="E490" s="206"/>
      <c r="F490" s="206"/>
    </row>
    <row r="491" spans="3:6">
      <c r="C491" s="206"/>
      <c r="E491" s="206"/>
      <c r="F491" s="206"/>
    </row>
    <row r="492" spans="3:6">
      <c r="C492" s="206"/>
      <c r="E492" s="206"/>
      <c r="F492" s="206"/>
    </row>
    <row r="493" spans="3:6">
      <c r="C493" s="206"/>
      <c r="E493" s="206"/>
      <c r="F493" s="206"/>
    </row>
    <row r="494" spans="3:6">
      <c r="C494" s="206"/>
      <c r="E494" s="206"/>
      <c r="F494" s="206"/>
    </row>
    <row r="495" spans="3:6">
      <c r="C495" s="206"/>
      <c r="E495" s="206"/>
      <c r="F495" s="206"/>
    </row>
    <row r="496" spans="3:6">
      <c r="C496" s="206"/>
      <c r="E496" s="206"/>
      <c r="F496" s="206"/>
    </row>
    <row r="497" spans="3:6">
      <c r="C497" s="206"/>
      <c r="E497" s="206"/>
      <c r="F497" s="206"/>
    </row>
    <row r="498" spans="3:6">
      <c r="C498" s="206"/>
      <c r="E498" s="206"/>
      <c r="F498" s="206"/>
    </row>
    <row r="499" spans="3:6">
      <c r="C499" s="206"/>
      <c r="E499" s="206"/>
      <c r="F499" s="206"/>
    </row>
    <row r="500" spans="3:6">
      <c r="C500" s="206"/>
      <c r="E500" s="206"/>
      <c r="F500" s="206"/>
    </row>
    <row r="501" spans="3:6">
      <c r="C501" s="206"/>
      <c r="E501" s="206"/>
      <c r="F501" s="206"/>
    </row>
    <row r="502" spans="3:6">
      <c r="C502" s="206"/>
      <c r="E502" s="206"/>
      <c r="F502" s="206"/>
    </row>
    <row r="503" spans="3:6">
      <c r="C503" s="206"/>
      <c r="E503" s="206"/>
      <c r="F503" s="206"/>
    </row>
    <row r="504" spans="3:6">
      <c r="C504" s="206"/>
      <c r="E504" s="206"/>
      <c r="F504" s="206"/>
    </row>
    <row r="505" spans="3:6">
      <c r="C505" s="206"/>
      <c r="E505" s="206"/>
      <c r="F505" s="206"/>
    </row>
    <row r="506" spans="3:6">
      <c r="C506" s="206"/>
      <c r="E506" s="206"/>
      <c r="F506" s="206"/>
    </row>
    <row r="507" spans="3:6">
      <c r="C507" s="206"/>
      <c r="E507" s="206"/>
      <c r="F507" s="206"/>
    </row>
    <row r="508" spans="3:6">
      <c r="C508" s="206"/>
      <c r="E508" s="206"/>
      <c r="F508" s="206"/>
    </row>
    <row r="509" spans="3:6">
      <c r="C509" s="206"/>
      <c r="E509" s="206"/>
      <c r="F509" s="206"/>
    </row>
    <row r="510" spans="3:6">
      <c r="C510" s="206"/>
      <c r="E510" s="206"/>
      <c r="F510" s="206"/>
    </row>
    <row r="511" spans="3:6">
      <c r="C511" s="206"/>
      <c r="E511" s="206"/>
      <c r="F511" s="206"/>
    </row>
    <row r="512" spans="3:6">
      <c r="C512" s="206"/>
      <c r="E512" s="206"/>
      <c r="F512" s="206"/>
    </row>
    <row r="513" spans="3:6">
      <c r="C513" s="206"/>
      <c r="E513" s="206"/>
      <c r="F513" s="206"/>
    </row>
    <row r="514" spans="3:6">
      <c r="C514" s="206"/>
      <c r="E514" s="206"/>
      <c r="F514" s="206"/>
    </row>
    <row r="515" spans="3:6">
      <c r="C515" s="206"/>
      <c r="E515" s="206"/>
      <c r="F515" s="206"/>
    </row>
    <row r="516" spans="3:6">
      <c r="C516" s="206"/>
      <c r="E516" s="206"/>
      <c r="F516" s="206"/>
    </row>
    <row r="517" spans="3:6">
      <c r="C517" s="206"/>
      <c r="E517" s="206"/>
      <c r="F517" s="206"/>
    </row>
    <row r="518" spans="3:6">
      <c r="C518" s="206"/>
      <c r="E518" s="206"/>
      <c r="F518" s="206"/>
    </row>
    <row r="519" spans="3:6">
      <c r="C519" s="206"/>
      <c r="E519" s="206"/>
      <c r="F519" s="206"/>
    </row>
    <row r="520" spans="3:6">
      <c r="C520" s="206"/>
      <c r="E520" s="206"/>
      <c r="F520" s="206"/>
    </row>
    <row r="521" spans="3:6">
      <c r="C521" s="206"/>
      <c r="E521" s="206"/>
      <c r="F521" s="206"/>
    </row>
    <row r="522" spans="3:6">
      <c r="C522" s="206"/>
      <c r="E522" s="206"/>
      <c r="F522" s="206"/>
    </row>
    <row r="523" spans="3:6">
      <c r="C523" s="206"/>
      <c r="E523" s="206"/>
      <c r="F523" s="206"/>
    </row>
    <row r="524" spans="3:6">
      <c r="C524" s="206"/>
      <c r="E524" s="206"/>
      <c r="F524" s="206"/>
    </row>
    <row r="525" spans="3:6">
      <c r="C525" s="206"/>
      <c r="E525" s="206"/>
      <c r="F525" s="206"/>
    </row>
    <row r="526" spans="3:6">
      <c r="C526" s="206"/>
      <c r="E526" s="206"/>
      <c r="F526" s="206"/>
    </row>
    <row r="527" spans="3:6">
      <c r="C527" s="206"/>
      <c r="E527" s="206"/>
      <c r="F527" s="206"/>
    </row>
    <row r="528" spans="3:6">
      <c r="C528" s="206"/>
      <c r="E528" s="206"/>
      <c r="F528" s="206"/>
    </row>
    <row r="529" spans="3:6">
      <c r="C529" s="206"/>
      <c r="E529" s="206"/>
      <c r="F529" s="206"/>
    </row>
    <row r="530" spans="3:6">
      <c r="C530" s="206"/>
      <c r="E530" s="206"/>
      <c r="F530" s="206"/>
    </row>
    <row r="531" spans="3:6">
      <c r="C531" s="206"/>
      <c r="E531" s="206"/>
      <c r="F531" s="206"/>
    </row>
    <row r="532" spans="3:6">
      <c r="C532" s="206"/>
      <c r="E532" s="206"/>
      <c r="F532" s="206"/>
    </row>
    <row r="533" spans="3:6">
      <c r="C533" s="206"/>
      <c r="E533" s="206"/>
      <c r="F533" s="206"/>
    </row>
    <row r="534" spans="3:6">
      <c r="C534" s="206"/>
      <c r="E534" s="206"/>
      <c r="F534" s="206"/>
    </row>
    <row r="535" spans="3:6">
      <c r="C535" s="206"/>
      <c r="E535" s="206"/>
      <c r="F535" s="206"/>
    </row>
    <row r="536" spans="3:6">
      <c r="C536" s="206"/>
      <c r="E536" s="206"/>
      <c r="F536" s="206"/>
    </row>
    <row r="537" spans="3:6">
      <c r="C537" s="206"/>
      <c r="E537" s="206"/>
      <c r="F537" s="206"/>
    </row>
    <row r="538" spans="3:6">
      <c r="C538" s="206"/>
      <c r="E538" s="206"/>
      <c r="F538" s="206"/>
    </row>
    <row r="539" spans="3:6">
      <c r="C539" s="206"/>
      <c r="E539" s="206"/>
      <c r="F539" s="206"/>
    </row>
    <row r="540" spans="3:6">
      <c r="C540" s="206"/>
      <c r="E540" s="206"/>
      <c r="F540" s="206"/>
    </row>
    <row r="541" spans="3:6">
      <c r="C541" s="206"/>
      <c r="E541" s="206"/>
      <c r="F541" s="206"/>
    </row>
    <row r="542" spans="3:6">
      <c r="C542" s="206"/>
      <c r="E542" s="206"/>
      <c r="F542" s="206"/>
    </row>
    <row r="543" spans="3:6">
      <c r="C543" s="206"/>
      <c r="E543" s="206"/>
      <c r="F543" s="206"/>
    </row>
    <row r="544" spans="3:6">
      <c r="C544" s="206"/>
      <c r="E544" s="206"/>
      <c r="F544" s="206"/>
    </row>
    <row r="545" spans="3:6">
      <c r="C545" s="206"/>
      <c r="E545" s="206"/>
      <c r="F545" s="206"/>
    </row>
    <row r="546" spans="3:6">
      <c r="C546" s="206"/>
      <c r="E546" s="206"/>
      <c r="F546" s="206"/>
    </row>
    <row r="547" spans="3:6">
      <c r="C547" s="206"/>
      <c r="E547" s="206"/>
      <c r="F547" s="206"/>
    </row>
    <row r="548" spans="3:6">
      <c r="C548" s="206"/>
      <c r="E548" s="206"/>
      <c r="F548" s="206"/>
    </row>
    <row r="549" spans="3:6">
      <c r="C549" s="206"/>
      <c r="E549" s="206"/>
      <c r="F549" s="206"/>
    </row>
    <row r="550" spans="3:6">
      <c r="C550" s="206"/>
      <c r="E550" s="206"/>
      <c r="F550" s="206"/>
    </row>
    <row r="551" spans="3:6">
      <c r="C551" s="206"/>
      <c r="E551" s="206"/>
      <c r="F551" s="206"/>
    </row>
    <row r="552" spans="3:6">
      <c r="C552" s="206"/>
      <c r="E552" s="206"/>
      <c r="F552" s="206"/>
    </row>
    <row r="553" spans="3:6">
      <c r="C553" s="206"/>
      <c r="E553" s="206"/>
      <c r="F553" s="206"/>
    </row>
    <row r="554" spans="3:6">
      <c r="C554" s="206"/>
      <c r="E554" s="206"/>
      <c r="F554" s="206"/>
    </row>
    <row r="555" spans="3:6">
      <c r="C555" s="206"/>
      <c r="E555" s="206"/>
      <c r="F555" s="206"/>
    </row>
    <row r="556" spans="3:6">
      <c r="C556" s="206"/>
      <c r="E556" s="206"/>
      <c r="F556" s="206"/>
    </row>
    <row r="557" spans="3:6">
      <c r="C557" s="206"/>
      <c r="E557" s="206"/>
      <c r="F557" s="206"/>
    </row>
    <row r="558" spans="3:6">
      <c r="C558" s="206"/>
      <c r="E558" s="206"/>
      <c r="F558" s="206"/>
    </row>
    <row r="559" spans="3:6">
      <c r="C559" s="206"/>
      <c r="E559" s="206"/>
      <c r="F559" s="206"/>
    </row>
    <row r="560" spans="3:6">
      <c r="C560" s="206"/>
      <c r="E560" s="206"/>
      <c r="F560" s="206"/>
    </row>
    <row r="561" spans="3:6">
      <c r="C561" s="206"/>
      <c r="E561" s="206"/>
      <c r="F561" s="206"/>
    </row>
    <row r="562" spans="3:6">
      <c r="C562" s="206"/>
      <c r="E562" s="206"/>
      <c r="F562" s="206"/>
    </row>
    <row r="563" spans="3:6">
      <c r="C563" s="206"/>
      <c r="E563" s="206"/>
      <c r="F563" s="206"/>
    </row>
    <row r="564" spans="3:6">
      <c r="C564" s="206"/>
      <c r="E564" s="206"/>
      <c r="F564" s="206"/>
    </row>
    <row r="565" spans="3:6">
      <c r="C565" s="206"/>
      <c r="E565" s="206"/>
      <c r="F565" s="206"/>
    </row>
    <row r="566" spans="3:6">
      <c r="C566" s="206"/>
      <c r="E566" s="206"/>
      <c r="F566" s="206"/>
    </row>
    <row r="567" spans="3:6">
      <c r="C567" s="206"/>
      <c r="E567" s="206"/>
      <c r="F567" s="206"/>
    </row>
    <row r="568" spans="3:6">
      <c r="C568" s="206"/>
      <c r="E568" s="206"/>
      <c r="F568" s="206"/>
    </row>
    <row r="569" spans="3:6">
      <c r="C569" s="206"/>
      <c r="E569" s="206"/>
      <c r="F569" s="206"/>
    </row>
    <row r="570" spans="3:6">
      <c r="C570" s="206"/>
      <c r="E570" s="206"/>
      <c r="F570" s="206"/>
    </row>
    <row r="571" spans="3:6">
      <c r="C571" s="206"/>
      <c r="E571" s="206"/>
      <c r="F571" s="206"/>
    </row>
    <row r="572" spans="3:6">
      <c r="C572" s="206"/>
      <c r="E572" s="206"/>
      <c r="F572" s="206"/>
    </row>
    <row r="573" spans="3:6">
      <c r="C573" s="206"/>
      <c r="E573" s="206"/>
      <c r="F573" s="206"/>
    </row>
    <row r="574" spans="3:6">
      <c r="C574" s="206"/>
      <c r="E574" s="206"/>
      <c r="F574" s="206"/>
    </row>
    <row r="575" spans="3:6">
      <c r="C575" s="206"/>
      <c r="E575" s="206"/>
      <c r="F575" s="206"/>
    </row>
    <row r="576" spans="3:6">
      <c r="C576" s="206"/>
      <c r="E576" s="206"/>
      <c r="F576" s="206"/>
    </row>
    <row r="577" spans="3:6">
      <c r="C577" s="206"/>
      <c r="E577" s="206"/>
      <c r="F577" s="206"/>
    </row>
    <row r="578" spans="3:6">
      <c r="C578" s="206"/>
      <c r="E578" s="206"/>
      <c r="F578" s="206"/>
    </row>
    <row r="579" spans="3:6">
      <c r="C579" s="206"/>
      <c r="E579" s="206"/>
      <c r="F579" s="206"/>
    </row>
    <row r="580" spans="3:6">
      <c r="C580" s="206"/>
      <c r="E580" s="206"/>
      <c r="F580" s="206"/>
    </row>
    <row r="581" spans="3:6">
      <c r="C581" s="206"/>
      <c r="E581" s="206"/>
      <c r="F581" s="206"/>
    </row>
    <row r="582" spans="3:6">
      <c r="C582" s="206"/>
      <c r="E582" s="206"/>
      <c r="F582" s="206"/>
    </row>
    <row r="583" spans="3:6">
      <c r="C583" s="206"/>
      <c r="E583" s="206"/>
      <c r="F583" s="206"/>
    </row>
    <row r="584" spans="3:6">
      <c r="C584" s="206"/>
      <c r="E584" s="206"/>
      <c r="F584" s="206"/>
    </row>
    <row r="585" spans="3:6">
      <c r="C585" s="206"/>
      <c r="E585" s="206"/>
      <c r="F585" s="206"/>
    </row>
    <row r="586" spans="3:6">
      <c r="C586" s="206"/>
      <c r="E586" s="206"/>
      <c r="F586" s="206"/>
    </row>
    <row r="587" spans="3:6">
      <c r="C587" s="206"/>
      <c r="E587" s="206"/>
      <c r="F587" s="206"/>
    </row>
    <row r="588" spans="3:6">
      <c r="C588" s="206"/>
      <c r="E588" s="206"/>
      <c r="F588" s="206"/>
    </row>
    <row r="589" spans="3:6">
      <c r="C589" s="206"/>
      <c r="E589" s="206"/>
      <c r="F589" s="206"/>
    </row>
    <row r="590" spans="3:6">
      <c r="C590" s="206"/>
      <c r="E590" s="206"/>
      <c r="F590" s="206"/>
    </row>
    <row r="591" spans="3:6">
      <c r="C591" s="206"/>
      <c r="E591" s="206"/>
      <c r="F591" s="206"/>
    </row>
    <row r="592" spans="3:6">
      <c r="C592" s="206"/>
      <c r="E592" s="206"/>
      <c r="F592" s="206"/>
    </row>
    <row r="593" spans="3:6">
      <c r="C593" s="206"/>
      <c r="E593" s="206"/>
      <c r="F593" s="206"/>
    </row>
    <row r="594" spans="3:6">
      <c r="C594" s="206"/>
      <c r="E594" s="206"/>
      <c r="F594" s="206"/>
    </row>
    <row r="595" spans="3:6">
      <c r="C595" s="206"/>
      <c r="E595" s="206"/>
      <c r="F595" s="206"/>
    </row>
    <row r="596" spans="3:6">
      <c r="C596" s="206"/>
      <c r="E596" s="206"/>
      <c r="F596" s="206"/>
    </row>
    <row r="597" spans="3:6">
      <c r="C597" s="206"/>
      <c r="E597" s="206"/>
      <c r="F597" s="206"/>
    </row>
    <row r="598" spans="3:6">
      <c r="C598" s="206"/>
      <c r="E598" s="206"/>
      <c r="F598" s="206"/>
    </row>
    <row r="599" spans="3:6">
      <c r="C599" s="206"/>
      <c r="E599" s="206"/>
      <c r="F599" s="206"/>
    </row>
    <row r="600" spans="3:6">
      <c r="C600" s="206"/>
      <c r="E600" s="206"/>
      <c r="F600" s="206"/>
    </row>
    <row r="601" spans="3:6">
      <c r="C601" s="206"/>
      <c r="E601" s="206"/>
      <c r="F601" s="206"/>
    </row>
    <row r="602" spans="3:6">
      <c r="C602" s="206"/>
      <c r="E602" s="206"/>
      <c r="F602" s="206"/>
    </row>
    <row r="603" spans="3:6">
      <c r="C603" s="206"/>
      <c r="E603" s="206"/>
      <c r="F603" s="206"/>
    </row>
    <row r="604" spans="3:6">
      <c r="C604" s="206"/>
      <c r="E604" s="206"/>
      <c r="F604" s="206"/>
    </row>
    <row r="605" spans="3:6">
      <c r="C605" s="206"/>
      <c r="E605" s="206"/>
      <c r="F605" s="206"/>
    </row>
    <row r="606" spans="3:6">
      <c r="C606" s="206"/>
      <c r="E606" s="206"/>
      <c r="F606" s="206"/>
    </row>
    <row r="607" spans="3:6">
      <c r="C607" s="206"/>
      <c r="E607" s="206"/>
      <c r="F607" s="206"/>
    </row>
    <row r="608" spans="3:6">
      <c r="C608" s="206"/>
      <c r="E608" s="206"/>
      <c r="F608" s="206"/>
    </row>
    <row r="609" spans="3:6">
      <c r="C609" s="206"/>
      <c r="E609" s="206"/>
      <c r="F609" s="206"/>
    </row>
    <row r="610" spans="3:6">
      <c r="C610" s="206"/>
      <c r="E610" s="206"/>
      <c r="F610" s="206"/>
    </row>
    <row r="611" spans="3:6">
      <c r="C611" s="206"/>
      <c r="E611" s="206"/>
      <c r="F611" s="206"/>
    </row>
    <row r="612" spans="3:6">
      <c r="C612" s="206"/>
      <c r="E612" s="206"/>
      <c r="F612" s="206"/>
    </row>
    <row r="613" spans="3:6">
      <c r="C613" s="206"/>
      <c r="E613" s="206"/>
      <c r="F613" s="206"/>
    </row>
    <row r="614" spans="3:6">
      <c r="C614" s="206"/>
      <c r="E614" s="206"/>
      <c r="F614" s="206"/>
    </row>
    <row r="615" spans="3:6">
      <c r="C615" s="206"/>
      <c r="E615" s="206"/>
      <c r="F615" s="206"/>
    </row>
    <row r="616" spans="3:6">
      <c r="C616" s="206"/>
      <c r="E616" s="206"/>
      <c r="F616" s="206"/>
    </row>
    <row r="617" spans="3:6">
      <c r="C617" s="206"/>
      <c r="E617" s="206"/>
      <c r="F617" s="206"/>
    </row>
    <row r="618" spans="3:6">
      <c r="C618" s="206"/>
      <c r="E618" s="206"/>
      <c r="F618" s="206"/>
    </row>
    <row r="619" spans="3:6">
      <c r="C619" s="206"/>
      <c r="E619" s="206"/>
      <c r="F619" s="206"/>
    </row>
    <row r="620" spans="3:6">
      <c r="C620" s="206"/>
      <c r="E620" s="206"/>
      <c r="F620" s="206"/>
    </row>
    <row r="621" spans="3:6">
      <c r="C621" s="206"/>
      <c r="E621" s="206"/>
      <c r="F621" s="206"/>
    </row>
    <row r="622" spans="3:6">
      <c r="C622" s="206"/>
      <c r="E622" s="206"/>
      <c r="F622" s="206"/>
    </row>
    <row r="623" spans="3:6">
      <c r="C623" s="206"/>
      <c r="E623" s="206"/>
      <c r="F623" s="206"/>
    </row>
    <row r="624" spans="3:6">
      <c r="C624" s="206"/>
      <c r="E624" s="206"/>
      <c r="F624" s="206"/>
    </row>
    <row r="625" spans="3:6">
      <c r="C625" s="206"/>
      <c r="E625" s="206"/>
      <c r="F625" s="206"/>
    </row>
    <row r="626" spans="3:6">
      <c r="C626" s="206"/>
      <c r="E626" s="206"/>
      <c r="F626" s="206"/>
    </row>
    <row r="627" spans="3:6">
      <c r="C627" s="206"/>
      <c r="E627" s="206"/>
      <c r="F627" s="206"/>
    </row>
    <row r="628" spans="3:6">
      <c r="C628" s="206"/>
      <c r="E628" s="206"/>
      <c r="F628" s="206"/>
    </row>
    <row r="629" spans="3:6">
      <c r="C629" s="206"/>
      <c r="E629" s="206"/>
      <c r="F629" s="206"/>
    </row>
    <row r="630" spans="3:6">
      <c r="C630" s="206"/>
      <c r="E630" s="206"/>
      <c r="F630" s="206"/>
    </row>
    <row r="631" spans="3:6">
      <c r="C631" s="206"/>
      <c r="E631" s="206"/>
      <c r="F631" s="206"/>
    </row>
    <row r="632" spans="3:6">
      <c r="C632" s="206"/>
      <c r="E632" s="206"/>
      <c r="F632" s="206"/>
    </row>
    <row r="633" spans="3:6">
      <c r="C633" s="206"/>
      <c r="E633" s="206"/>
      <c r="F633" s="206"/>
    </row>
    <row r="634" spans="3:6">
      <c r="C634" s="206"/>
      <c r="E634" s="206"/>
      <c r="F634" s="206"/>
    </row>
    <row r="635" spans="3:6">
      <c r="C635" s="206"/>
      <c r="E635" s="206"/>
      <c r="F635" s="206"/>
    </row>
    <row r="636" spans="3:6">
      <c r="C636" s="206"/>
      <c r="E636" s="206"/>
      <c r="F636" s="206"/>
    </row>
    <row r="637" spans="3:6">
      <c r="C637" s="206"/>
      <c r="E637" s="206"/>
      <c r="F637" s="206"/>
    </row>
    <row r="638" spans="3:6">
      <c r="C638" s="206"/>
      <c r="E638" s="206"/>
      <c r="F638" s="206"/>
    </row>
    <row r="639" spans="3:6">
      <c r="C639" s="206"/>
      <c r="E639" s="206"/>
      <c r="F639" s="206"/>
    </row>
    <row r="640" spans="3:6">
      <c r="C640" s="206"/>
      <c r="E640" s="206"/>
      <c r="F640" s="206"/>
    </row>
    <row r="641" spans="3:6">
      <c r="C641" s="206"/>
      <c r="E641" s="206"/>
      <c r="F641" s="206"/>
    </row>
    <row r="642" spans="3:6">
      <c r="C642" s="206"/>
      <c r="E642" s="206"/>
      <c r="F642" s="206"/>
    </row>
    <row r="643" spans="3:6">
      <c r="C643" s="206"/>
      <c r="E643" s="206"/>
      <c r="F643" s="206"/>
    </row>
    <row r="644" spans="3:6">
      <c r="C644" s="206"/>
      <c r="E644" s="206"/>
      <c r="F644" s="206"/>
    </row>
    <row r="645" spans="3:6">
      <c r="C645" s="206"/>
      <c r="E645" s="206"/>
      <c r="F645" s="206"/>
    </row>
    <row r="646" spans="3:6">
      <c r="C646" s="206"/>
      <c r="E646" s="206"/>
      <c r="F646" s="206"/>
    </row>
    <row r="647" spans="3:6">
      <c r="C647" s="206"/>
      <c r="E647" s="206"/>
      <c r="F647" s="206"/>
    </row>
    <row r="648" spans="3:6">
      <c r="C648" s="206"/>
      <c r="E648" s="206"/>
      <c r="F648" s="206"/>
    </row>
    <row r="649" spans="3:6">
      <c r="C649" s="206"/>
      <c r="E649" s="206"/>
      <c r="F649" s="206"/>
    </row>
    <row r="650" spans="3:6">
      <c r="C650" s="206"/>
      <c r="E650" s="206"/>
      <c r="F650" s="206"/>
    </row>
    <row r="651" spans="3:6">
      <c r="C651" s="206"/>
      <c r="E651" s="206"/>
      <c r="F651" s="206"/>
    </row>
    <row r="652" spans="3:6">
      <c r="C652" s="206"/>
      <c r="E652" s="206"/>
      <c r="F652" s="206"/>
    </row>
    <row r="653" spans="3:6">
      <c r="C653" s="206"/>
      <c r="E653" s="206"/>
      <c r="F653" s="206"/>
    </row>
    <row r="654" spans="3:6">
      <c r="C654" s="206"/>
      <c r="E654" s="206"/>
      <c r="F654" s="206"/>
    </row>
    <row r="655" spans="3:6">
      <c r="C655" s="206"/>
      <c r="E655" s="206"/>
      <c r="F655" s="206"/>
    </row>
    <row r="656" spans="3:6">
      <c r="C656" s="206"/>
      <c r="E656" s="206"/>
      <c r="F656" s="206"/>
    </row>
    <row r="657" spans="3:6">
      <c r="C657" s="206"/>
      <c r="E657" s="206"/>
      <c r="F657" s="206"/>
    </row>
    <row r="658" spans="3:6">
      <c r="C658" s="206"/>
      <c r="E658" s="206"/>
      <c r="F658" s="206"/>
    </row>
    <row r="659" spans="3:6">
      <c r="C659" s="206"/>
      <c r="E659" s="206"/>
      <c r="F659" s="206"/>
    </row>
    <row r="660" spans="3:6">
      <c r="C660" s="206"/>
      <c r="E660" s="206"/>
      <c r="F660" s="206"/>
    </row>
    <row r="661" spans="3:6">
      <c r="C661" s="206"/>
      <c r="E661" s="206"/>
      <c r="F661" s="206"/>
    </row>
    <row r="662" spans="3:6">
      <c r="C662" s="206"/>
      <c r="E662" s="206"/>
      <c r="F662" s="206"/>
    </row>
    <row r="663" spans="3:6">
      <c r="C663" s="206"/>
      <c r="E663" s="206"/>
      <c r="F663" s="206"/>
    </row>
    <row r="664" spans="3:6">
      <c r="C664" s="206"/>
      <c r="E664" s="206"/>
      <c r="F664" s="206"/>
    </row>
    <row r="665" spans="3:6">
      <c r="C665" s="206"/>
      <c r="E665" s="206"/>
      <c r="F665" s="206"/>
    </row>
    <row r="666" spans="3:6">
      <c r="C666" s="206"/>
      <c r="E666" s="206"/>
      <c r="F666" s="206"/>
    </row>
    <row r="667" spans="3:6">
      <c r="C667" s="206"/>
      <c r="E667" s="206"/>
      <c r="F667" s="206"/>
    </row>
    <row r="668" spans="3:6">
      <c r="C668" s="206"/>
      <c r="E668" s="206"/>
      <c r="F668" s="206"/>
    </row>
    <row r="669" spans="3:6">
      <c r="C669" s="206"/>
      <c r="E669" s="206"/>
      <c r="F669" s="206"/>
    </row>
    <row r="670" spans="3:6">
      <c r="C670" s="206"/>
      <c r="E670" s="206"/>
      <c r="F670" s="206"/>
    </row>
    <row r="671" spans="3:6">
      <c r="C671" s="206"/>
      <c r="E671" s="206"/>
      <c r="F671" s="206"/>
    </row>
    <row r="672" spans="3:6">
      <c r="C672" s="206"/>
      <c r="E672" s="206"/>
      <c r="F672" s="206"/>
    </row>
    <row r="673" spans="3:6">
      <c r="C673" s="206"/>
      <c r="E673" s="206"/>
      <c r="F673" s="206"/>
    </row>
    <row r="674" spans="3:6">
      <c r="C674" s="206"/>
      <c r="E674" s="206"/>
      <c r="F674" s="206"/>
    </row>
    <row r="675" spans="3:6">
      <c r="C675" s="206"/>
      <c r="E675" s="206"/>
      <c r="F675" s="206"/>
    </row>
    <row r="676" spans="3:6">
      <c r="C676" s="206"/>
      <c r="E676" s="206"/>
      <c r="F676" s="206"/>
    </row>
    <row r="677" spans="3:6">
      <c r="C677" s="206"/>
      <c r="E677" s="206"/>
      <c r="F677" s="206"/>
    </row>
    <row r="678" spans="3:6">
      <c r="C678" s="206"/>
      <c r="E678" s="206"/>
      <c r="F678" s="206"/>
    </row>
    <row r="679" spans="3:6">
      <c r="C679" s="206"/>
      <c r="E679" s="206"/>
      <c r="F679" s="206"/>
    </row>
    <row r="680" spans="3:6">
      <c r="C680" s="206"/>
      <c r="E680" s="206"/>
      <c r="F680" s="206"/>
    </row>
    <row r="681" spans="3:6">
      <c r="C681" s="206"/>
      <c r="E681" s="206"/>
      <c r="F681" s="206"/>
    </row>
    <row r="682" spans="3:6">
      <c r="C682" s="206"/>
      <c r="E682" s="206"/>
      <c r="F682" s="206"/>
    </row>
    <row r="683" spans="3:6">
      <c r="C683" s="206"/>
      <c r="E683" s="206"/>
      <c r="F683" s="206"/>
    </row>
    <row r="684" spans="3:6">
      <c r="C684" s="206"/>
      <c r="E684" s="206"/>
      <c r="F684" s="206"/>
    </row>
    <row r="685" spans="3:6">
      <c r="C685" s="206"/>
      <c r="E685" s="206"/>
      <c r="F685" s="206"/>
    </row>
    <row r="686" spans="3:6">
      <c r="C686" s="206"/>
      <c r="E686" s="206"/>
      <c r="F686" s="206"/>
    </row>
    <row r="687" spans="3:6">
      <c r="C687" s="206"/>
      <c r="E687" s="206"/>
      <c r="F687" s="206"/>
    </row>
    <row r="688" spans="3:6">
      <c r="C688" s="206"/>
      <c r="E688" s="206"/>
      <c r="F688" s="206"/>
    </row>
    <row r="689" spans="3:6">
      <c r="C689" s="206"/>
      <c r="E689" s="206"/>
      <c r="F689" s="206"/>
    </row>
    <row r="690" spans="3:6">
      <c r="C690" s="206"/>
      <c r="E690" s="206"/>
      <c r="F690" s="206"/>
    </row>
    <row r="691" spans="3:6">
      <c r="C691" s="206"/>
      <c r="E691" s="206"/>
      <c r="F691" s="206"/>
    </row>
    <row r="692" spans="3:6">
      <c r="C692" s="206"/>
      <c r="E692" s="206"/>
      <c r="F692" s="206"/>
    </row>
    <row r="693" spans="3:6">
      <c r="C693" s="206"/>
      <c r="E693" s="206"/>
      <c r="F693" s="206"/>
    </row>
    <row r="694" spans="3:6">
      <c r="C694" s="206"/>
      <c r="E694" s="206"/>
      <c r="F694" s="206"/>
    </row>
    <row r="695" spans="3:6">
      <c r="C695" s="206"/>
      <c r="E695" s="206"/>
      <c r="F695" s="206"/>
    </row>
    <row r="696" spans="3:6">
      <c r="C696" s="206"/>
      <c r="E696" s="206"/>
      <c r="F696" s="206"/>
    </row>
    <row r="697" spans="3:6">
      <c r="C697" s="206"/>
      <c r="E697" s="206"/>
      <c r="F697" s="206"/>
    </row>
    <row r="698" spans="3:6">
      <c r="C698" s="206"/>
      <c r="E698" s="206"/>
      <c r="F698" s="206"/>
    </row>
    <row r="699" spans="3:6">
      <c r="C699" s="206"/>
      <c r="E699" s="206"/>
      <c r="F699" s="206"/>
    </row>
    <row r="700" spans="3:6">
      <c r="C700" s="206"/>
      <c r="E700" s="206"/>
      <c r="F700" s="206"/>
    </row>
    <row r="701" spans="3:6">
      <c r="C701" s="206"/>
      <c r="E701" s="206"/>
      <c r="F701" s="206"/>
    </row>
    <row r="702" spans="3:6">
      <c r="C702" s="206"/>
      <c r="E702" s="206"/>
      <c r="F702" s="206"/>
    </row>
    <row r="703" spans="3:6">
      <c r="C703" s="206"/>
      <c r="E703" s="206"/>
      <c r="F703" s="206"/>
    </row>
    <row r="704" spans="3:6">
      <c r="C704" s="206"/>
      <c r="E704" s="206"/>
      <c r="F704" s="206"/>
    </row>
    <row r="705" spans="3:6">
      <c r="C705" s="206"/>
      <c r="E705" s="206"/>
      <c r="F705" s="206"/>
    </row>
    <row r="706" spans="3:6">
      <c r="C706" s="206"/>
      <c r="E706" s="206"/>
      <c r="F706" s="206"/>
    </row>
    <row r="707" spans="3:6">
      <c r="C707" s="206"/>
      <c r="E707" s="206"/>
      <c r="F707" s="206"/>
    </row>
    <row r="708" spans="3:6">
      <c r="C708" s="206"/>
      <c r="E708" s="206"/>
      <c r="F708" s="206"/>
    </row>
    <row r="709" spans="3:6">
      <c r="C709" s="206"/>
      <c r="E709" s="206"/>
      <c r="F709" s="206"/>
    </row>
    <row r="710" spans="3:6">
      <c r="C710" s="206"/>
      <c r="E710" s="206"/>
      <c r="F710" s="206"/>
    </row>
    <row r="711" spans="3:6">
      <c r="C711" s="206"/>
      <c r="E711" s="206"/>
      <c r="F711" s="206"/>
    </row>
    <row r="712" spans="3:6">
      <c r="C712" s="206"/>
      <c r="E712" s="206"/>
      <c r="F712" s="206"/>
    </row>
    <row r="713" spans="3:6">
      <c r="C713" s="206"/>
      <c r="E713" s="206"/>
      <c r="F713" s="206"/>
    </row>
    <row r="714" spans="3:6">
      <c r="C714" s="206"/>
      <c r="E714" s="206"/>
      <c r="F714" s="206"/>
    </row>
    <row r="715" spans="3:6">
      <c r="C715" s="206"/>
      <c r="E715" s="206"/>
      <c r="F715" s="206"/>
    </row>
    <row r="716" spans="3:6">
      <c r="C716" s="206"/>
      <c r="E716" s="206"/>
      <c r="F716" s="206"/>
    </row>
    <row r="717" spans="3:6">
      <c r="C717" s="206"/>
      <c r="E717" s="206"/>
      <c r="F717" s="206"/>
    </row>
    <row r="718" spans="3:6">
      <c r="C718" s="206"/>
      <c r="E718" s="206"/>
      <c r="F718" s="206"/>
    </row>
    <row r="719" spans="3:6">
      <c r="C719" s="206"/>
      <c r="E719" s="206"/>
      <c r="F719" s="206"/>
    </row>
    <row r="720" spans="3:6">
      <c r="C720" s="206"/>
      <c r="E720" s="206"/>
      <c r="F720" s="206"/>
    </row>
    <row r="721" spans="3:6">
      <c r="C721" s="206"/>
      <c r="E721" s="206"/>
      <c r="F721" s="206"/>
    </row>
    <row r="722" spans="3:6">
      <c r="C722" s="206"/>
      <c r="E722" s="206"/>
      <c r="F722" s="206"/>
    </row>
    <row r="723" spans="3:6">
      <c r="C723" s="206"/>
      <c r="E723" s="206"/>
      <c r="F723" s="206"/>
    </row>
    <row r="724" spans="3:6">
      <c r="C724" s="206"/>
      <c r="E724" s="206"/>
      <c r="F724" s="206"/>
    </row>
    <row r="725" spans="3:6">
      <c r="C725" s="206"/>
      <c r="E725" s="206"/>
      <c r="F725" s="206"/>
    </row>
    <row r="726" spans="3:6">
      <c r="C726" s="206"/>
      <c r="E726" s="206"/>
      <c r="F726" s="206"/>
    </row>
    <row r="727" spans="3:6">
      <c r="C727" s="206"/>
      <c r="E727" s="206"/>
      <c r="F727" s="206"/>
    </row>
    <row r="728" spans="3:6">
      <c r="C728" s="206"/>
      <c r="E728" s="206"/>
      <c r="F728" s="206"/>
    </row>
    <row r="729" spans="3:6">
      <c r="C729" s="206"/>
      <c r="E729" s="206"/>
      <c r="F729" s="206"/>
    </row>
    <row r="730" spans="3:6">
      <c r="C730" s="206"/>
      <c r="E730" s="206"/>
      <c r="F730" s="206"/>
    </row>
    <row r="731" spans="3:6">
      <c r="C731" s="206"/>
      <c r="E731" s="206"/>
      <c r="F731" s="206"/>
    </row>
    <row r="732" spans="3:6">
      <c r="C732" s="206"/>
      <c r="E732" s="206"/>
      <c r="F732" s="206"/>
    </row>
    <row r="733" spans="3:6">
      <c r="C733" s="206"/>
      <c r="E733" s="206"/>
      <c r="F733" s="206"/>
    </row>
    <row r="734" spans="3:6">
      <c r="C734" s="206"/>
      <c r="E734" s="206"/>
      <c r="F734" s="206"/>
    </row>
    <row r="735" spans="3:6">
      <c r="C735" s="206"/>
      <c r="E735" s="206"/>
      <c r="F735" s="206"/>
    </row>
    <row r="736" spans="3:6">
      <c r="C736" s="206"/>
      <c r="E736" s="206"/>
      <c r="F736" s="206"/>
    </row>
    <row r="737" spans="3:6">
      <c r="C737" s="206"/>
      <c r="E737" s="206"/>
      <c r="F737" s="206"/>
    </row>
    <row r="738" spans="3:6">
      <c r="C738" s="206"/>
      <c r="E738" s="206"/>
      <c r="F738" s="206"/>
    </row>
    <row r="739" spans="3:6">
      <c r="C739" s="206"/>
      <c r="E739" s="206"/>
      <c r="F739" s="206"/>
    </row>
    <row r="740" spans="3:6">
      <c r="C740" s="206"/>
      <c r="E740" s="206"/>
      <c r="F740" s="206"/>
    </row>
    <row r="741" spans="3:6">
      <c r="C741" s="206"/>
      <c r="E741" s="206"/>
      <c r="F741" s="206"/>
    </row>
    <row r="742" spans="3:6">
      <c r="C742" s="206"/>
      <c r="E742" s="206"/>
      <c r="F742" s="206"/>
    </row>
    <row r="743" spans="3:6">
      <c r="C743" s="206"/>
      <c r="E743" s="206"/>
      <c r="F743" s="206"/>
    </row>
    <row r="744" spans="3:6">
      <c r="C744" s="206"/>
      <c r="E744" s="206"/>
      <c r="F744" s="206"/>
    </row>
    <row r="745" spans="3:6">
      <c r="C745" s="206"/>
      <c r="E745" s="206"/>
      <c r="F745" s="206"/>
    </row>
    <row r="746" spans="3:6">
      <c r="C746" s="206"/>
      <c r="E746" s="206"/>
      <c r="F746" s="206"/>
    </row>
    <row r="747" spans="3:6">
      <c r="C747" s="206"/>
      <c r="E747" s="206"/>
      <c r="F747" s="206"/>
    </row>
    <row r="748" spans="3:6">
      <c r="C748" s="206"/>
      <c r="E748" s="206"/>
      <c r="F748" s="206"/>
    </row>
    <row r="749" spans="3:6">
      <c r="C749" s="206"/>
      <c r="E749" s="206"/>
      <c r="F749" s="206"/>
    </row>
    <row r="750" spans="3:6">
      <c r="C750" s="206"/>
      <c r="E750" s="206"/>
      <c r="F750" s="206"/>
    </row>
    <row r="751" spans="3:6">
      <c r="C751" s="206"/>
      <c r="E751" s="206"/>
      <c r="F751" s="206"/>
    </row>
    <row r="752" spans="3:6">
      <c r="C752" s="206"/>
      <c r="E752" s="206"/>
      <c r="F752" s="206"/>
    </row>
    <row r="753" spans="3:6">
      <c r="C753" s="206"/>
      <c r="E753" s="206"/>
      <c r="F753" s="206"/>
    </row>
    <row r="754" spans="3:6">
      <c r="C754" s="206"/>
      <c r="E754" s="206"/>
      <c r="F754" s="206"/>
    </row>
    <row r="755" spans="3:6">
      <c r="C755" s="206"/>
      <c r="E755" s="206"/>
      <c r="F755" s="206"/>
    </row>
    <row r="756" spans="3:6">
      <c r="C756" s="206"/>
      <c r="E756" s="206"/>
      <c r="F756" s="206"/>
    </row>
    <row r="757" spans="3:6">
      <c r="C757" s="206"/>
      <c r="E757" s="206"/>
      <c r="F757" s="206"/>
    </row>
    <row r="758" spans="3:6">
      <c r="C758" s="206"/>
      <c r="E758" s="206"/>
      <c r="F758" s="206"/>
    </row>
    <row r="759" spans="3:6">
      <c r="C759" s="206"/>
      <c r="E759" s="206"/>
      <c r="F759" s="206"/>
    </row>
    <row r="760" spans="3:6">
      <c r="C760" s="206"/>
      <c r="E760" s="206"/>
      <c r="F760" s="206"/>
    </row>
    <row r="761" spans="3:6">
      <c r="C761" s="206"/>
      <c r="E761" s="206"/>
      <c r="F761" s="206"/>
    </row>
    <row r="762" spans="3:6">
      <c r="C762" s="206"/>
      <c r="E762" s="206"/>
      <c r="F762" s="206"/>
    </row>
    <row r="763" spans="3:6">
      <c r="C763" s="206"/>
      <c r="E763" s="206"/>
      <c r="F763" s="206"/>
    </row>
    <row r="764" spans="3:6">
      <c r="C764" s="206"/>
      <c r="E764" s="206"/>
      <c r="F764" s="206"/>
    </row>
    <row r="765" spans="3:6">
      <c r="C765" s="206"/>
      <c r="E765" s="206"/>
      <c r="F765" s="206"/>
    </row>
    <row r="766" spans="3:6">
      <c r="C766" s="206"/>
      <c r="E766" s="206"/>
      <c r="F766" s="206"/>
    </row>
    <row r="767" spans="3:6">
      <c r="C767" s="206"/>
      <c r="E767" s="206"/>
      <c r="F767" s="206"/>
    </row>
    <row r="768" spans="3:6">
      <c r="C768" s="206"/>
      <c r="E768" s="206"/>
      <c r="F768" s="206"/>
    </row>
    <row r="769" spans="3:6">
      <c r="C769" s="206"/>
      <c r="E769" s="206"/>
      <c r="F769" s="206"/>
    </row>
    <row r="770" spans="3:6">
      <c r="C770" s="206"/>
      <c r="E770" s="206"/>
      <c r="F770" s="206"/>
    </row>
    <row r="771" spans="3:6">
      <c r="C771" s="206"/>
      <c r="E771" s="206"/>
      <c r="F771" s="206"/>
    </row>
    <row r="772" spans="3:6">
      <c r="C772" s="206"/>
      <c r="E772" s="206"/>
      <c r="F772" s="206"/>
    </row>
    <row r="773" spans="3:6">
      <c r="C773" s="206"/>
      <c r="E773" s="206"/>
      <c r="F773" s="206"/>
    </row>
    <row r="774" spans="3:6">
      <c r="C774" s="206"/>
      <c r="E774" s="206"/>
      <c r="F774" s="206"/>
    </row>
    <row r="775" spans="3:6">
      <c r="C775" s="206"/>
      <c r="E775" s="206"/>
      <c r="F775" s="206"/>
    </row>
    <row r="776" spans="3:6">
      <c r="C776" s="206"/>
      <c r="E776" s="206"/>
      <c r="F776" s="206"/>
    </row>
    <row r="777" spans="3:6">
      <c r="C777" s="206"/>
      <c r="E777" s="206"/>
      <c r="F777" s="206"/>
    </row>
    <row r="778" spans="3:6">
      <c r="C778" s="206"/>
      <c r="E778" s="206"/>
      <c r="F778" s="206"/>
    </row>
    <row r="779" spans="3:6">
      <c r="C779" s="206"/>
      <c r="E779" s="206"/>
      <c r="F779" s="206"/>
    </row>
    <row r="780" spans="3:6">
      <c r="C780" s="206"/>
      <c r="E780" s="206"/>
      <c r="F780" s="206"/>
    </row>
    <row r="781" spans="3:6">
      <c r="C781" s="206"/>
      <c r="E781" s="206"/>
      <c r="F781" s="206"/>
    </row>
    <row r="782" spans="3:6">
      <c r="C782" s="206"/>
      <c r="E782" s="206"/>
      <c r="F782" s="206"/>
    </row>
    <row r="783" spans="3:6">
      <c r="C783" s="206"/>
      <c r="E783" s="206"/>
      <c r="F783" s="206"/>
    </row>
    <row r="784" spans="3:6">
      <c r="C784" s="206"/>
      <c r="E784" s="206"/>
      <c r="F784" s="206"/>
    </row>
    <row r="785" spans="3:6">
      <c r="C785" s="206"/>
      <c r="E785" s="206"/>
      <c r="F785" s="206"/>
    </row>
    <row r="786" spans="3:6">
      <c r="C786" s="206"/>
      <c r="E786" s="206"/>
      <c r="F786" s="206"/>
    </row>
    <row r="787" spans="3:6">
      <c r="C787" s="206"/>
      <c r="E787" s="206"/>
      <c r="F787" s="206"/>
    </row>
    <row r="788" spans="3:6">
      <c r="C788" s="206"/>
      <c r="E788" s="206"/>
      <c r="F788" s="206"/>
    </row>
    <row r="789" spans="3:6">
      <c r="C789" s="206"/>
      <c r="E789" s="206"/>
      <c r="F789" s="206"/>
    </row>
    <row r="790" spans="3:6">
      <c r="C790" s="206"/>
      <c r="E790" s="206"/>
      <c r="F790" s="206"/>
    </row>
    <row r="791" spans="3:6">
      <c r="C791" s="206"/>
      <c r="E791" s="206"/>
      <c r="F791" s="206"/>
    </row>
    <row r="792" spans="3:6">
      <c r="C792" s="206"/>
      <c r="E792" s="206"/>
      <c r="F792" s="206"/>
    </row>
    <row r="793" spans="3:6">
      <c r="C793" s="206"/>
      <c r="E793" s="206"/>
      <c r="F793" s="206"/>
    </row>
    <row r="794" spans="3:6">
      <c r="C794" s="206"/>
      <c r="E794" s="206"/>
      <c r="F794" s="206"/>
    </row>
    <row r="795" spans="3:6">
      <c r="C795" s="206"/>
      <c r="E795" s="206"/>
      <c r="F795" s="206"/>
    </row>
    <row r="796" spans="3:6">
      <c r="C796" s="206"/>
      <c r="E796" s="206"/>
      <c r="F796" s="206"/>
    </row>
    <row r="797" spans="3:6">
      <c r="C797" s="206"/>
      <c r="E797" s="206"/>
      <c r="F797" s="206"/>
    </row>
    <row r="798" spans="3:6">
      <c r="C798" s="206"/>
      <c r="E798" s="206"/>
      <c r="F798" s="206"/>
    </row>
    <row r="799" spans="3:6">
      <c r="C799" s="206"/>
      <c r="E799" s="206"/>
      <c r="F799" s="206"/>
    </row>
    <row r="800" spans="3:6">
      <c r="C800" s="206"/>
      <c r="E800" s="206"/>
      <c r="F800" s="206"/>
    </row>
    <row r="801" spans="3:6">
      <c r="C801" s="206"/>
      <c r="E801" s="206"/>
      <c r="F801" s="206"/>
    </row>
    <row r="802" spans="3:6">
      <c r="C802" s="206"/>
      <c r="E802" s="206"/>
      <c r="F802" s="206"/>
    </row>
    <row r="803" spans="3:6">
      <c r="C803" s="206"/>
      <c r="E803" s="206"/>
      <c r="F803" s="206"/>
    </row>
    <row r="804" spans="3:6">
      <c r="C804" s="206"/>
      <c r="E804" s="206"/>
      <c r="F804" s="206"/>
    </row>
    <row r="805" spans="3:6">
      <c r="C805" s="206"/>
      <c r="E805" s="206"/>
      <c r="F805" s="206"/>
    </row>
    <row r="806" spans="3:6">
      <c r="C806" s="206"/>
      <c r="E806" s="206"/>
      <c r="F806" s="206"/>
    </row>
    <row r="807" spans="3:6">
      <c r="C807" s="206"/>
      <c r="E807" s="206"/>
      <c r="F807" s="206"/>
    </row>
    <row r="808" spans="3:6">
      <c r="C808" s="206"/>
      <c r="E808" s="206"/>
      <c r="F808" s="206"/>
    </row>
    <row r="809" spans="3:6">
      <c r="C809" s="206"/>
      <c r="E809" s="206"/>
      <c r="F809" s="206"/>
    </row>
    <row r="810" spans="3:6">
      <c r="C810" s="206"/>
      <c r="E810" s="206"/>
      <c r="F810" s="206"/>
    </row>
    <row r="811" spans="3:6">
      <c r="C811" s="206"/>
      <c r="E811" s="206"/>
      <c r="F811" s="206"/>
    </row>
    <row r="812" spans="3:6">
      <c r="C812" s="206"/>
      <c r="E812" s="206"/>
      <c r="F812" s="206"/>
    </row>
    <row r="813" spans="3:6">
      <c r="C813" s="206"/>
      <c r="E813" s="206"/>
      <c r="F813" s="206"/>
    </row>
    <row r="814" spans="3:6">
      <c r="C814" s="206"/>
      <c r="E814" s="206"/>
      <c r="F814" s="206"/>
    </row>
    <row r="815" spans="3:6">
      <c r="C815" s="206"/>
      <c r="E815" s="206"/>
      <c r="F815" s="206"/>
    </row>
    <row r="816" spans="3:6">
      <c r="C816" s="206"/>
      <c r="E816" s="206"/>
      <c r="F816" s="206"/>
    </row>
    <row r="817" spans="3:6">
      <c r="C817" s="206"/>
      <c r="E817" s="206"/>
      <c r="F817" s="206"/>
    </row>
    <row r="818" spans="3:6">
      <c r="C818" s="206"/>
      <c r="E818" s="206"/>
      <c r="F818" s="206"/>
    </row>
    <row r="819" spans="3:6">
      <c r="C819" s="206"/>
      <c r="E819" s="206"/>
      <c r="F819" s="206"/>
    </row>
    <row r="820" spans="3:6">
      <c r="C820" s="206"/>
      <c r="E820" s="206"/>
      <c r="F820" s="206"/>
    </row>
    <row r="821" spans="3:6">
      <c r="C821" s="206"/>
      <c r="E821" s="206"/>
      <c r="F821" s="206"/>
    </row>
    <row r="822" spans="3:6">
      <c r="C822" s="206"/>
      <c r="E822" s="206"/>
      <c r="F822" s="206"/>
    </row>
    <row r="823" spans="3:6">
      <c r="C823" s="206"/>
      <c r="E823" s="206"/>
      <c r="F823" s="206"/>
    </row>
    <row r="824" spans="3:6">
      <c r="C824" s="206"/>
      <c r="E824" s="206"/>
      <c r="F824" s="206"/>
    </row>
    <row r="825" spans="3:6">
      <c r="C825" s="206"/>
      <c r="E825" s="206"/>
      <c r="F825" s="206"/>
    </row>
    <row r="826" spans="3:6">
      <c r="C826" s="206"/>
      <c r="E826" s="206"/>
      <c r="F826" s="206"/>
    </row>
    <row r="827" spans="3:6">
      <c r="C827" s="206"/>
      <c r="E827" s="206"/>
      <c r="F827" s="206"/>
    </row>
    <row r="828" spans="3:6">
      <c r="C828" s="206"/>
      <c r="E828" s="206"/>
      <c r="F828" s="206"/>
    </row>
    <row r="829" spans="3:6">
      <c r="C829" s="206"/>
      <c r="E829" s="206"/>
      <c r="F829" s="206"/>
    </row>
    <row r="830" spans="3:6">
      <c r="C830" s="206"/>
      <c r="E830" s="206"/>
      <c r="F830" s="206"/>
    </row>
    <row r="831" spans="3:6">
      <c r="C831" s="206"/>
      <c r="E831" s="206"/>
      <c r="F831" s="206"/>
    </row>
    <row r="832" spans="3:6">
      <c r="C832" s="206"/>
      <c r="E832" s="206"/>
      <c r="F832" s="206"/>
    </row>
    <row r="833" spans="3:6">
      <c r="C833" s="206"/>
      <c r="E833" s="206"/>
      <c r="F833" s="206"/>
    </row>
    <row r="834" spans="3:6">
      <c r="C834" s="206"/>
      <c r="E834" s="206"/>
      <c r="F834" s="206"/>
    </row>
    <row r="835" spans="3:6">
      <c r="C835" s="206"/>
      <c r="E835" s="206"/>
      <c r="F835" s="206"/>
    </row>
    <row r="836" spans="3:6">
      <c r="C836" s="206"/>
      <c r="E836" s="206"/>
      <c r="F836" s="206"/>
    </row>
    <row r="837" spans="3:6">
      <c r="C837" s="206"/>
      <c r="E837" s="206"/>
      <c r="F837" s="206"/>
    </row>
    <row r="838" spans="3:6">
      <c r="C838" s="206"/>
      <c r="E838" s="206"/>
      <c r="F838" s="206"/>
    </row>
    <row r="839" spans="3:6">
      <c r="C839" s="206"/>
      <c r="E839" s="206"/>
      <c r="F839" s="206"/>
    </row>
    <row r="840" spans="3:6">
      <c r="C840" s="206"/>
      <c r="E840" s="206"/>
      <c r="F840" s="206"/>
    </row>
    <row r="841" spans="3:6">
      <c r="C841" s="206"/>
      <c r="E841" s="206"/>
      <c r="F841" s="206"/>
    </row>
    <row r="842" spans="3:6">
      <c r="C842" s="206"/>
      <c r="E842" s="206"/>
      <c r="F842" s="206"/>
    </row>
    <row r="843" spans="3:6">
      <c r="C843" s="206"/>
      <c r="E843" s="206"/>
      <c r="F843" s="206"/>
    </row>
    <row r="844" spans="3:6">
      <c r="C844" s="206"/>
      <c r="E844" s="206"/>
      <c r="F844" s="206"/>
    </row>
    <row r="845" spans="3:6">
      <c r="C845" s="206"/>
      <c r="E845" s="206"/>
      <c r="F845" s="206"/>
    </row>
    <row r="846" spans="3:6">
      <c r="C846" s="206"/>
      <c r="E846" s="206"/>
      <c r="F846" s="206"/>
    </row>
    <row r="847" spans="3:6">
      <c r="C847" s="206"/>
      <c r="E847" s="206"/>
      <c r="F847" s="206"/>
    </row>
    <row r="848" spans="3:6">
      <c r="C848" s="206"/>
      <c r="E848" s="206"/>
      <c r="F848" s="206"/>
    </row>
    <row r="849" spans="3:6">
      <c r="C849" s="206"/>
      <c r="E849" s="206"/>
      <c r="F849" s="206"/>
    </row>
    <row r="850" spans="3:6">
      <c r="C850" s="206"/>
      <c r="E850" s="206"/>
      <c r="F850" s="206"/>
    </row>
    <row r="851" spans="3:6">
      <c r="C851" s="206"/>
      <c r="E851" s="206"/>
      <c r="F851" s="206"/>
    </row>
    <row r="852" spans="3:6">
      <c r="C852" s="206"/>
      <c r="E852" s="206"/>
      <c r="F852" s="206"/>
    </row>
    <row r="853" spans="3:6">
      <c r="C853" s="206"/>
      <c r="E853" s="206"/>
      <c r="F853" s="206"/>
    </row>
    <row r="854" spans="3:6">
      <c r="C854" s="206"/>
      <c r="E854" s="206"/>
      <c r="F854" s="206"/>
    </row>
    <row r="855" spans="3:6">
      <c r="C855" s="206"/>
      <c r="E855" s="206"/>
      <c r="F855" s="206"/>
    </row>
    <row r="856" spans="3:6">
      <c r="C856" s="206"/>
      <c r="E856" s="206"/>
      <c r="F856" s="206"/>
    </row>
    <row r="857" spans="3:6">
      <c r="C857" s="206"/>
      <c r="E857" s="206"/>
      <c r="F857" s="206"/>
    </row>
    <row r="858" spans="3:6">
      <c r="C858" s="206"/>
      <c r="E858" s="206"/>
      <c r="F858" s="206"/>
    </row>
    <row r="859" spans="3:6">
      <c r="C859" s="206"/>
      <c r="E859" s="206"/>
      <c r="F859" s="206"/>
    </row>
    <row r="860" spans="3:6">
      <c r="C860" s="206"/>
      <c r="E860" s="206"/>
      <c r="F860" s="206"/>
    </row>
    <row r="861" spans="3:6">
      <c r="C861" s="206"/>
      <c r="E861" s="206"/>
      <c r="F861" s="206"/>
    </row>
    <row r="862" spans="3:6">
      <c r="C862" s="206"/>
      <c r="E862" s="206"/>
      <c r="F862" s="206"/>
    </row>
    <row r="863" spans="3:6">
      <c r="C863" s="206"/>
      <c r="E863" s="206"/>
      <c r="F863" s="206"/>
    </row>
    <row r="864" spans="3:6">
      <c r="C864" s="206"/>
      <c r="E864" s="206"/>
      <c r="F864" s="206"/>
    </row>
    <row r="865" spans="3:6">
      <c r="C865" s="206"/>
      <c r="E865" s="206"/>
      <c r="F865" s="206"/>
    </row>
    <row r="866" spans="3:6">
      <c r="C866" s="206"/>
      <c r="E866" s="206"/>
      <c r="F866" s="206"/>
    </row>
    <row r="867" spans="3:6">
      <c r="C867" s="206"/>
      <c r="E867" s="206"/>
      <c r="F867" s="206"/>
    </row>
    <row r="868" spans="3:6">
      <c r="C868" s="206"/>
      <c r="E868" s="206"/>
      <c r="F868" s="206"/>
    </row>
    <row r="869" spans="3:6">
      <c r="C869" s="206"/>
      <c r="E869" s="206"/>
      <c r="F869" s="206"/>
    </row>
    <row r="870" spans="3:6">
      <c r="C870" s="206"/>
      <c r="E870" s="206"/>
      <c r="F870" s="206"/>
    </row>
    <row r="871" spans="3:6">
      <c r="C871" s="206"/>
      <c r="E871" s="206"/>
      <c r="F871" s="206"/>
    </row>
    <row r="872" spans="3:6">
      <c r="C872" s="206"/>
      <c r="E872" s="206"/>
      <c r="F872" s="206"/>
    </row>
    <row r="873" spans="3:6">
      <c r="C873" s="206"/>
      <c r="E873" s="206"/>
      <c r="F873" s="206"/>
    </row>
    <row r="874" spans="3:6">
      <c r="C874" s="206"/>
      <c r="E874" s="206"/>
      <c r="F874" s="206"/>
    </row>
    <row r="875" spans="3:6">
      <c r="C875" s="206"/>
      <c r="E875" s="206"/>
      <c r="F875" s="206"/>
    </row>
    <row r="876" spans="3:6">
      <c r="C876" s="206"/>
      <c r="E876" s="206"/>
      <c r="F876" s="206"/>
    </row>
    <row r="877" spans="3:6">
      <c r="C877" s="206"/>
      <c r="E877" s="206"/>
      <c r="F877" s="206"/>
    </row>
    <row r="878" spans="3:6">
      <c r="C878" s="206"/>
      <c r="E878" s="206"/>
      <c r="F878" s="206"/>
    </row>
    <row r="879" spans="3:6">
      <c r="C879" s="206"/>
      <c r="E879" s="206"/>
      <c r="F879" s="206"/>
    </row>
    <row r="880" spans="3:6">
      <c r="C880" s="206"/>
      <c r="E880" s="206"/>
      <c r="F880" s="206"/>
    </row>
    <row r="881" spans="3:6">
      <c r="C881" s="206"/>
      <c r="E881" s="206"/>
      <c r="F881" s="206"/>
    </row>
    <row r="882" spans="3:6">
      <c r="C882" s="206"/>
      <c r="E882" s="206"/>
      <c r="F882" s="206"/>
    </row>
    <row r="883" spans="3:6">
      <c r="C883" s="206"/>
      <c r="E883" s="206"/>
      <c r="F883" s="206"/>
    </row>
    <row r="884" spans="3:6">
      <c r="C884" s="206"/>
      <c r="E884" s="206"/>
      <c r="F884" s="206"/>
    </row>
    <row r="885" spans="3:6">
      <c r="C885" s="206"/>
      <c r="E885" s="206"/>
      <c r="F885" s="206"/>
    </row>
    <row r="886" spans="3:6">
      <c r="C886" s="206"/>
      <c r="E886" s="206"/>
      <c r="F886" s="206"/>
    </row>
    <row r="887" spans="3:6">
      <c r="C887" s="206"/>
      <c r="E887" s="206"/>
      <c r="F887" s="206"/>
    </row>
    <row r="888" spans="3:6">
      <c r="C888" s="206"/>
      <c r="E888" s="206"/>
      <c r="F888" s="206"/>
    </row>
    <row r="889" spans="3:6">
      <c r="C889" s="206"/>
      <c r="E889" s="206"/>
      <c r="F889" s="206"/>
    </row>
    <row r="890" spans="3:6">
      <c r="C890" s="206"/>
      <c r="E890" s="206"/>
      <c r="F890" s="206"/>
    </row>
    <row r="891" spans="3:6">
      <c r="C891" s="206"/>
      <c r="E891" s="206"/>
      <c r="F891" s="206"/>
    </row>
    <row r="892" spans="3:6">
      <c r="C892" s="206"/>
      <c r="E892" s="206"/>
      <c r="F892" s="206"/>
    </row>
    <row r="893" spans="3:6">
      <c r="C893" s="206"/>
      <c r="E893" s="206"/>
      <c r="F893" s="206"/>
    </row>
    <row r="894" spans="3:6">
      <c r="C894" s="206"/>
      <c r="E894" s="206"/>
      <c r="F894" s="206"/>
    </row>
    <row r="895" spans="3:6">
      <c r="C895" s="206"/>
      <c r="E895" s="206"/>
      <c r="F895" s="206"/>
    </row>
    <row r="896" spans="3:6">
      <c r="C896" s="206"/>
      <c r="E896" s="206"/>
      <c r="F896" s="206"/>
    </row>
    <row r="897" spans="3:6">
      <c r="C897" s="206"/>
      <c r="E897" s="206"/>
      <c r="F897" s="206"/>
    </row>
    <row r="898" spans="3:6">
      <c r="C898" s="206"/>
      <c r="E898" s="206"/>
      <c r="F898" s="206"/>
    </row>
    <row r="899" spans="3:6">
      <c r="C899" s="206"/>
      <c r="E899" s="206"/>
      <c r="F899" s="206"/>
    </row>
    <row r="900" spans="3:6">
      <c r="C900" s="206"/>
      <c r="E900" s="206"/>
      <c r="F900" s="206"/>
    </row>
    <row r="901" spans="3:6">
      <c r="C901" s="206"/>
      <c r="E901" s="206"/>
      <c r="F901" s="206"/>
    </row>
    <row r="902" spans="3:6">
      <c r="C902" s="206"/>
      <c r="E902" s="206"/>
      <c r="F902" s="206"/>
    </row>
    <row r="903" spans="3:6">
      <c r="C903" s="206"/>
      <c r="E903" s="206"/>
      <c r="F903" s="206"/>
    </row>
    <row r="904" spans="3:6">
      <c r="C904" s="206"/>
      <c r="E904" s="206"/>
      <c r="F904" s="206"/>
    </row>
    <row r="905" spans="3:6">
      <c r="C905" s="206"/>
      <c r="E905" s="206"/>
      <c r="F905" s="206"/>
    </row>
    <row r="906" spans="3:6">
      <c r="C906" s="206"/>
      <c r="E906" s="206"/>
      <c r="F906" s="206"/>
    </row>
    <row r="907" spans="3:6">
      <c r="C907" s="206"/>
      <c r="E907" s="206"/>
      <c r="F907" s="206"/>
    </row>
    <row r="908" spans="3:6">
      <c r="C908" s="206"/>
      <c r="E908" s="206"/>
      <c r="F908" s="206"/>
    </row>
    <row r="909" spans="3:6">
      <c r="C909" s="206"/>
      <c r="E909" s="206"/>
      <c r="F909" s="206"/>
    </row>
    <row r="910" spans="3:6">
      <c r="C910" s="206"/>
      <c r="E910" s="206"/>
      <c r="F910" s="206"/>
    </row>
    <row r="911" spans="3:6">
      <c r="C911" s="206"/>
      <c r="E911" s="206"/>
      <c r="F911" s="206"/>
    </row>
    <row r="912" spans="3:6">
      <c r="C912" s="206"/>
      <c r="E912" s="206"/>
      <c r="F912" s="206"/>
    </row>
    <row r="913" spans="3:6">
      <c r="C913" s="206"/>
      <c r="E913" s="206"/>
      <c r="F913" s="206"/>
    </row>
    <row r="914" spans="3:6">
      <c r="C914" s="206"/>
      <c r="E914" s="206"/>
      <c r="F914" s="206"/>
    </row>
    <row r="915" spans="3:6">
      <c r="C915" s="206"/>
      <c r="E915" s="206"/>
      <c r="F915" s="206"/>
    </row>
    <row r="916" spans="3:6">
      <c r="C916" s="206"/>
      <c r="E916" s="206"/>
      <c r="F916" s="206"/>
    </row>
    <row r="917" spans="3:6">
      <c r="C917" s="206"/>
      <c r="E917" s="206"/>
      <c r="F917" s="206"/>
    </row>
    <row r="918" spans="3:6">
      <c r="C918" s="206"/>
      <c r="E918" s="206"/>
      <c r="F918" s="206"/>
    </row>
    <row r="919" spans="3:6">
      <c r="C919" s="206"/>
      <c r="E919" s="206"/>
      <c r="F919" s="206"/>
    </row>
    <row r="920" spans="3:6">
      <c r="C920" s="206"/>
      <c r="E920" s="206"/>
      <c r="F920" s="206"/>
    </row>
    <row r="921" spans="3:6">
      <c r="C921" s="206"/>
      <c r="E921" s="206"/>
      <c r="F921" s="206"/>
    </row>
    <row r="922" spans="3:6">
      <c r="C922" s="206"/>
      <c r="E922" s="206"/>
      <c r="F922" s="206"/>
    </row>
    <row r="923" spans="3:6">
      <c r="C923" s="206"/>
      <c r="E923" s="206"/>
      <c r="F923" s="206"/>
    </row>
    <row r="924" spans="3:6">
      <c r="C924" s="206"/>
      <c r="E924" s="206"/>
      <c r="F924" s="206"/>
    </row>
    <row r="925" spans="3:6">
      <c r="C925" s="206"/>
      <c r="E925" s="206"/>
      <c r="F925" s="206"/>
    </row>
    <row r="926" spans="3:6">
      <c r="C926" s="206"/>
      <c r="E926" s="206"/>
      <c r="F926" s="206"/>
    </row>
    <row r="927" spans="3:6">
      <c r="C927" s="206"/>
      <c r="E927" s="206"/>
      <c r="F927" s="206"/>
    </row>
    <row r="928" spans="3:6">
      <c r="C928" s="206"/>
      <c r="E928" s="206"/>
      <c r="F928" s="206"/>
    </row>
    <row r="929" spans="3:6">
      <c r="C929" s="206"/>
      <c r="E929" s="206"/>
      <c r="F929" s="206"/>
    </row>
    <row r="930" spans="3:6">
      <c r="C930" s="206"/>
      <c r="E930" s="206"/>
      <c r="F930" s="206"/>
    </row>
    <row r="931" spans="3:6">
      <c r="C931" s="206"/>
      <c r="E931" s="206"/>
      <c r="F931" s="206"/>
    </row>
    <row r="932" spans="3:6">
      <c r="C932" s="206"/>
      <c r="E932" s="206"/>
      <c r="F932" s="206"/>
    </row>
    <row r="933" spans="3:6">
      <c r="C933" s="206"/>
      <c r="E933" s="206"/>
      <c r="F933" s="206"/>
    </row>
    <row r="934" spans="3:6">
      <c r="C934" s="206"/>
      <c r="E934" s="206"/>
      <c r="F934" s="206"/>
    </row>
    <row r="935" spans="3:6">
      <c r="C935" s="206"/>
      <c r="E935" s="206"/>
      <c r="F935" s="206"/>
    </row>
    <row r="936" spans="3:6">
      <c r="C936" s="206"/>
      <c r="E936" s="206"/>
      <c r="F936" s="206"/>
    </row>
    <row r="937" spans="3:6">
      <c r="C937" s="206"/>
      <c r="E937" s="206"/>
      <c r="F937" s="206"/>
    </row>
    <row r="938" spans="3:6">
      <c r="C938" s="206"/>
      <c r="E938" s="206"/>
      <c r="F938" s="206"/>
    </row>
    <row r="939" spans="3:6">
      <c r="C939" s="206"/>
      <c r="E939" s="206"/>
      <c r="F939" s="206"/>
    </row>
    <row r="940" spans="3:6">
      <c r="C940" s="206"/>
      <c r="E940" s="206"/>
      <c r="F940" s="206"/>
    </row>
    <row r="941" spans="3:6">
      <c r="C941" s="206"/>
      <c r="E941" s="206"/>
      <c r="F941" s="206"/>
    </row>
    <row r="942" spans="3:6">
      <c r="C942" s="206"/>
      <c r="E942" s="206"/>
      <c r="F942" s="206"/>
    </row>
    <row r="943" spans="3:6">
      <c r="C943" s="206"/>
      <c r="E943" s="206"/>
      <c r="F943" s="206"/>
    </row>
    <row r="944" spans="3:6">
      <c r="C944" s="206"/>
      <c r="E944" s="206"/>
      <c r="F944" s="206"/>
    </row>
    <row r="945" spans="3:6">
      <c r="C945" s="206"/>
      <c r="E945" s="206"/>
      <c r="F945" s="206"/>
    </row>
    <row r="946" spans="3:6">
      <c r="C946" s="206"/>
      <c r="E946" s="206"/>
      <c r="F946" s="206"/>
    </row>
    <row r="947" spans="3:6">
      <c r="C947" s="206"/>
      <c r="E947" s="206"/>
      <c r="F947" s="206"/>
    </row>
    <row r="948" spans="3:6">
      <c r="C948" s="206"/>
      <c r="E948" s="206"/>
      <c r="F948" s="206"/>
    </row>
    <row r="949" spans="3:6">
      <c r="C949" s="206"/>
      <c r="E949" s="206"/>
      <c r="F949" s="206"/>
    </row>
    <row r="950" spans="3:6">
      <c r="C950" s="206"/>
      <c r="E950" s="206"/>
      <c r="F950" s="206"/>
    </row>
    <row r="951" spans="3:6">
      <c r="C951" s="206"/>
      <c r="E951" s="206"/>
      <c r="F951" s="206"/>
    </row>
    <row r="952" spans="3:6">
      <c r="C952" s="206"/>
      <c r="E952" s="206"/>
      <c r="F952" s="206"/>
    </row>
    <row r="953" spans="3:6">
      <c r="C953" s="206"/>
      <c r="E953" s="206"/>
      <c r="F953" s="206"/>
    </row>
    <row r="954" spans="3:6">
      <c r="C954" s="206"/>
      <c r="E954" s="206"/>
      <c r="F954" s="206"/>
    </row>
    <row r="955" spans="3:6">
      <c r="C955" s="206"/>
      <c r="E955" s="206"/>
      <c r="F955" s="206"/>
    </row>
    <row r="956" spans="3:6">
      <c r="C956" s="206"/>
      <c r="E956" s="206"/>
      <c r="F956" s="206"/>
    </row>
    <row r="957" spans="3:6">
      <c r="C957" s="206"/>
      <c r="E957" s="206"/>
      <c r="F957" s="206"/>
    </row>
    <row r="958" spans="3:6">
      <c r="C958" s="206"/>
      <c r="E958" s="206"/>
      <c r="F958" s="206"/>
    </row>
    <row r="959" spans="3:6">
      <c r="C959" s="206"/>
      <c r="E959" s="206"/>
      <c r="F959" s="206"/>
    </row>
    <row r="960" spans="3:6">
      <c r="C960" s="206"/>
      <c r="E960" s="206"/>
      <c r="F960" s="206"/>
    </row>
    <row r="961" spans="3:6">
      <c r="C961" s="206"/>
      <c r="E961" s="206"/>
      <c r="F961" s="206"/>
    </row>
    <row r="962" spans="3:6">
      <c r="C962" s="206"/>
      <c r="E962" s="206"/>
      <c r="F962" s="206"/>
    </row>
    <row r="963" spans="3:6">
      <c r="C963" s="206"/>
      <c r="E963" s="206"/>
      <c r="F963" s="206"/>
    </row>
    <row r="964" spans="3:6">
      <c r="C964" s="206"/>
      <c r="E964" s="206"/>
      <c r="F964" s="206"/>
    </row>
    <row r="965" spans="3:6">
      <c r="C965" s="206"/>
      <c r="E965" s="206"/>
      <c r="F965" s="206"/>
    </row>
    <row r="966" spans="3:6">
      <c r="C966" s="206"/>
      <c r="E966" s="206"/>
      <c r="F966" s="206"/>
    </row>
    <row r="967" spans="3:6">
      <c r="C967" s="206"/>
      <c r="E967" s="206"/>
      <c r="F967" s="206"/>
    </row>
    <row r="968" spans="3:6">
      <c r="C968" s="206"/>
      <c r="E968" s="206"/>
      <c r="F968" s="206"/>
    </row>
    <row r="969" spans="3:6">
      <c r="C969" s="206"/>
      <c r="E969" s="206"/>
      <c r="F969" s="206"/>
    </row>
    <row r="970" spans="3:6">
      <c r="C970" s="206"/>
      <c r="E970" s="206"/>
      <c r="F970" s="206"/>
    </row>
    <row r="971" spans="3:6">
      <c r="C971" s="206"/>
      <c r="E971" s="206"/>
      <c r="F971" s="206"/>
    </row>
    <row r="972" spans="3:6">
      <c r="C972" s="206"/>
      <c r="E972" s="206"/>
      <c r="F972" s="206"/>
    </row>
    <row r="973" spans="3:6">
      <c r="C973" s="206"/>
      <c r="E973" s="206"/>
      <c r="F973" s="206"/>
    </row>
    <row r="974" spans="3:6">
      <c r="C974" s="206"/>
      <c r="E974" s="206"/>
      <c r="F974" s="206"/>
    </row>
    <row r="975" spans="3:6">
      <c r="C975" s="206"/>
      <c r="E975" s="206"/>
      <c r="F975" s="206"/>
    </row>
    <row r="976" spans="3:6">
      <c r="C976" s="206"/>
      <c r="E976" s="206"/>
      <c r="F976" s="206"/>
    </row>
    <row r="977" spans="3:6">
      <c r="C977" s="206"/>
      <c r="E977" s="206"/>
      <c r="F977" s="206"/>
    </row>
    <row r="978" spans="3:6">
      <c r="C978" s="206"/>
      <c r="E978" s="206"/>
      <c r="F978" s="206"/>
    </row>
    <row r="979" spans="3:6">
      <c r="C979" s="206"/>
      <c r="E979" s="206"/>
      <c r="F979" s="206"/>
    </row>
    <row r="980" spans="3:6">
      <c r="C980" s="206"/>
      <c r="E980" s="206"/>
      <c r="F980" s="206"/>
    </row>
    <row r="981" spans="3:6">
      <c r="C981" s="206"/>
      <c r="E981" s="206"/>
      <c r="F981" s="206"/>
    </row>
    <row r="982" spans="3:6">
      <c r="C982" s="206"/>
      <c r="E982" s="206"/>
      <c r="F982" s="206"/>
    </row>
    <row r="983" spans="3:6">
      <c r="C983" s="206"/>
      <c r="E983" s="206"/>
      <c r="F983" s="206"/>
    </row>
    <row r="984" spans="3:6">
      <c r="C984" s="206"/>
      <c r="E984" s="206"/>
      <c r="F984" s="206"/>
    </row>
    <row r="985" spans="3:6">
      <c r="C985" s="206"/>
      <c r="E985" s="206"/>
      <c r="F985" s="206"/>
    </row>
    <row r="986" spans="3:6">
      <c r="C986" s="206"/>
      <c r="E986" s="206"/>
      <c r="F986" s="206"/>
    </row>
    <row r="987" spans="3:6">
      <c r="C987" s="206"/>
      <c r="E987" s="206"/>
      <c r="F987" s="206"/>
    </row>
    <row r="988" spans="3:6">
      <c r="C988" s="206"/>
      <c r="E988" s="206"/>
      <c r="F988" s="206"/>
    </row>
    <row r="989" spans="3:6">
      <c r="C989" s="206"/>
      <c r="E989" s="206"/>
      <c r="F989" s="206"/>
    </row>
    <row r="990" spans="3:6">
      <c r="C990" s="206"/>
      <c r="E990" s="206"/>
      <c r="F990" s="206"/>
    </row>
    <row r="991" spans="3:6">
      <c r="C991" s="206"/>
      <c r="E991" s="206"/>
      <c r="F991" s="206"/>
    </row>
    <row r="992" spans="3:6">
      <c r="C992" s="206"/>
      <c r="E992" s="206"/>
      <c r="F992" s="206"/>
    </row>
    <row r="993" spans="3:6">
      <c r="C993" s="206"/>
      <c r="E993" s="206"/>
      <c r="F993" s="206"/>
    </row>
    <row r="994" spans="3:6">
      <c r="C994" s="206"/>
      <c r="E994" s="206"/>
      <c r="F994" s="206"/>
    </row>
    <row r="995" spans="3:6">
      <c r="C995" s="206"/>
      <c r="E995" s="206"/>
      <c r="F995" s="206"/>
    </row>
    <row r="996" spans="3:6">
      <c r="C996" s="206"/>
      <c r="E996" s="206"/>
      <c r="F996" s="206"/>
    </row>
    <row r="997" spans="3:6">
      <c r="C997" s="206"/>
      <c r="E997" s="206"/>
      <c r="F997" s="206"/>
    </row>
    <row r="998" spans="3:6">
      <c r="C998" s="206"/>
      <c r="E998" s="206"/>
      <c r="F998" s="206"/>
    </row>
    <row r="999" spans="3:6">
      <c r="C999" s="206"/>
      <c r="E999" s="206"/>
      <c r="F999" s="206"/>
    </row>
    <row r="1000" spans="3:6">
      <c r="C1000" s="206"/>
      <c r="E1000" s="206"/>
      <c r="F1000" s="206"/>
    </row>
    <row r="1001" spans="3:6">
      <c r="C1001" s="206"/>
      <c r="E1001" s="206"/>
      <c r="F1001" s="206"/>
    </row>
    <row r="1002" spans="3:6">
      <c r="C1002" s="206"/>
      <c r="E1002" s="206"/>
      <c r="F1002" s="206"/>
    </row>
    <row r="1003" spans="3:6">
      <c r="C1003" s="206"/>
      <c r="E1003" s="206"/>
      <c r="F1003" s="206"/>
    </row>
    <row r="1004" spans="3:6">
      <c r="C1004" s="206"/>
      <c r="E1004" s="206"/>
      <c r="F1004" s="206"/>
    </row>
    <row r="1005" spans="3:6">
      <c r="C1005" s="206"/>
      <c r="E1005" s="206"/>
      <c r="F1005" s="206"/>
    </row>
    <row r="1006" spans="3:6">
      <c r="C1006" s="206"/>
      <c r="E1006" s="206"/>
      <c r="F1006" s="206"/>
    </row>
    <row r="1007" spans="3:6">
      <c r="C1007" s="206"/>
      <c r="E1007" s="206"/>
      <c r="F1007" s="206"/>
    </row>
    <row r="1008" spans="3:6">
      <c r="C1008" s="206"/>
      <c r="E1008" s="206"/>
      <c r="F1008" s="206"/>
    </row>
    <row r="1009" spans="3:6">
      <c r="C1009" s="206"/>
      <c r="E1009" s="206"/>
      <c r="F1009" s="206"/>
    </row>
    <row r="1010" spans="3:6">
      <c r="C1010" s="206"/>
      <c r="E1010" s="206"/>
      <c r="F1010" s="206"/>
    </row>
    <row r="1011" spans="3:6">
      <c r="C1011" s="206"/>
      <c r="E1011" s="206"/>
      <c r="F1011" s="206"/>
    </row>
    <row r="1012" spans="3:6">
      <c r="C1012" s="206"/>
      <c r="E1012" s="206"/>
      <c r="F1012" s="206"/>
    </row>
    <row r="1013" spans="3:6">
      <c r="C1013" s="206"/>
      <c r="E1013" s="206"/>
      <c r="F1013" s="206"/>
    </row>
    <row r="1014" spans="3:6">
      <c r="C1014" s="206"/>
      <c r="E1014" s="206"/>
      <c r="F1014" s="206"/>
    </row>
    <row r="1015" spans="3:6">
      <c r="C1015" s="206"/>
      <c r="E1015" s="206"/>
      <c r="F1015" s="206"/>
    </row>
    <row r="1016" spans="3:6">
      <c r="C1016" s="206"/>
      <c r="E1016" s="206"/>
      <c r="F1016" s="206"/>
    </row>
    <row r="1017" spans="3:6">
      <c r="C1017" s="206"/>
      <c r="E1017" s="206"/>
      <c r="F1017" s="206"/>
    </row>
    <row r="1018" spans="3:6">
      <c r="C1018" s="206"/>
      <c r="E1018" s="206"/>
      <c r="F1018" s="206"/>
    </row>
    <row r="1019" spans="3:6">
      <c r="C1019" s="206"/>
      <c r="E1019" s="206"/>
      <c r="F1019" s="206"/>
    </row>
    <row r="1020" spans="3:6">
      <c r="E1020" s="206"/>
      <c r="F1020" s="206"/>
    </row>
    <row r="1021" spans="3:6">
      <c r="E1021" s="206"/>
      <c r="F1021" s="206"/>
    </row>
    <row r="1022" spans="3:6">
      <c r="E1022" s="206"/>
      <c r="F1022" s="206"/>
    </row>
    <row r="1023" spans="3:6">
      <c r="E1023" s="206"/>
      <c r="F1023" s="206"/>
    </row>
    <row r="1024" spans="3:6">
      <c r="E1024" s="206"/>
      <c r="F1024" s="206"/>
    </row>
    <row r="1025" spans="5:6">
      <c r="E1025" s="206"/>
      <c r="F1025" s="206"/>
    </row>
    <row r="1026" spans="5:6">
      <c r="E1026" s="206"/>
      <c r="F1026" s="206"/>
    </row>
    <row r="1027" spans="5:6">
      <c r="E1027" s="206"/>
      <c r="F1027" s="206"/>
    </row>
    <row r="1028" spans="5:6">
      <c r="E1028" s="206"/>
      <c r="F1028" s="206"/>
    </row>
    <row r="1029" spans="5:6">
      <c r="E1029" s="206"/>
      <c r="F1029" s="206"/>
    </row>
    <row r="1030" spans="5:6">
      <c r="E1030" s="206"/>
      <c r="F1030" s="206"/>
    </row>
    <row r="1031" spans="5:6">
      <c r="E1031" s="206"/>
      <c r="F1031" s="206"/>
    </row>
    <row r="1032" spans="5:6">
      <c r="E1032" s="206"/>
      <c r="F1032" s="206"/>
    </row>
    <row r="1033" spans="5:6">
      <c r="E1033" s="206"/>
      <c r="F1033" s="206"/>
    </row>
    <row r="1034" spans="5:6">
      <c r="E1034" s="206"/>
      <c r="F1034" s="206"/>
    </row>
    <row r="1035" spans="5:6">
      <c r="E1035" s="206"/>
      <c r="F1035" s="206"/>
    </row>
    <row r="1036" spans="5:6">
      <c r="E1036" s="206"/>
      <c r="F1036" s="206"/>
    </row>
    <row r="1037" spans="5:6">
      <c r="E1037" s="206"/>
      <c r="F1037" s="206"/>
    </row>
    <row r="1038" spans="5:6">
      <c r="E1038" s="206"/>
      <c r="F1038" s="206"/>
    </row>
    <row r="1039" spans="5:6">
      <c r="E1039" s="206"/>
      <c r="F1039" s="206"/>
    </row>
    <row r="1040" spans="5:6">
      <c r="E1040" s="206"/>
      <c r="F1040" s="206"/>
    </row>
    <row r="1041" spans="5:6">
      <c r="E1041" s="206"/>
      <c r="F1041" s="206"/>
    </row>
    <row r="1042" spans="5:6">
      <c r="E1042" s="206"/>
      <c r="F1042" s="206"/>
    </row>
    <row r="1043" spans="5:6">
      <c r="E1043" s="206"/>
      <c r="F1043" s="206"/>
    </row>
    <row r="1044" spans="5:6">
      <c r="E1044" s="206"/>
      <c r="F1044" s="206"/>
    </row>
    <row r="1045" spans="5:6">
      <c r="E1045" s="206"/>
      <c r="F1045" s="206"/>
    </row>
    <row r="1046" spans="5:6">
      <c r="E1046" s="206"/>
      <c r="F1046" s="206"/>
    </row>
    <row r="1047" spans="5:6">
      <c r="E1047" s="206"/>
      <c r="F1047" s="206"/>
    </row>
    <row r="1048" spans="5:6">
      <c r="E1048" s="206"/>
      <c r="F1048" s="206"/>
    </row>
    <row r="1049" spans="5:6">
      <c r="E1049" s="206"/>
      <c r="F1049" s="206"/>
    </row>
    <row r="1050" spans="5:6">
      <c r="E1050" s="206"/>
      <c r="F1050" s="206"/>
    </row>
    <row r="1051" spans="5:6">
      <c r="E1051" s="206"/>
      <c r="F1051" s="206"/>
    </row>
    <row r="1052" spans="5:6">
      <c r="E1052" s="206"/>
      <c r="F1052" s="206"/>
    </row>
    <row r="1053" spans="5:6">
      <c r="E1053" s="206"/>
      <c r="F1053" s="206"/>
    </row>
    <row r="1054" spans="5:6">
      <c r="E1054" s="206"/>
      <c r="F1054" s="206"/>
    </row>
    <row r="1055" spans="5:6">
      <c r="E1055" s="206"/>
      <c r="F1055" s="206"/>
    </row>
    <row r="1056" spans="5:6">
      <c r="E1056" s="206"/>
      <c r="F1056" s="206"/>
    </row>
    <row r="1057" spans="5:6">
      <c r="E1057" s="206"/>
      <c r="F1057" s="206"/>
    </row>
    <row r="1058" spans="5:6">
      <c r="E1058" s="206"/>
      <c r="F1058" s="206"/>
    </row>
    <row r="1059" spans="5:6">
      <c r="E1059" s="206"/>
      <c r="F1059" s="206"/>
    </row>
    <row r="1060" spans="5:6">
      <c r="E1060" s="206"/>
      <c r="F1060" s="206"/>
    </row>
    <row r="1061" spans="5:6">
      <c r="E1061" s="206"/>
      <c r="F1061" s="206"/>
    </row>
    <row r="1062" spans="5:6">
      <c r="E1062" s="206"/>
      <c r="F1062" s="206"/>
    </row>
    <row r="1063" spans="5:6">
      <c r="E1063" s="206"/>
      <c r="F1063" s="206"/>
    </row>
    <row r="1064" spans="5:6">
      <c r="E1064" s="206"/>
      <c r="F1064" s="206"/>
    </row>
    <row r="1065" spans="5:6">
      <c r="E1065" s="206"/>
      <c r="F1065" s="206"/>
    </row>
    <row r="1066" spans="5:6">
      <c r="E1066" s="206"/>
      <c r="F1066" s="206"/>
    </row>
    <row r="1067" spans="5:6">
      <c r="E1067" s="206"/>
      <c r="F1067" s="206"/>
    </row>
    <row r="1068" spans="5:6">
      <c r="E1068" s="206"/>
      <c r="F1068" s="206"/>
    </row>
    <row r="1069" spans="5:6">
      <c r="E1069" s="206"/>
      <c r="F1069" s="206"/>
    </row>
    <row r="1070" spans="5:6">
      <c r="E1070" s="206"/>
      <c r="F1070" s="206"/>
    </row>
    <row r="1071" spans="5:6">
      <c r="E1071" s="206"/>
      <c r="F1071" s="206"/>
    </row>
    <row r="1072" spans="5:6">
      <c r="E1072" s="206"/>
      <c r="F1072" s="206"/>
    </row>
    <row r="1073" spans="5:6">
      <c r="E1073" s="206"/>
      <c r="F1073" s="206"/>
    </row>
    <row r="1074" spans="5:6">
      <c r="E1074" s="206"/>
      <c r="F1074" s="206"/>
    </row>
    <row r="1075" spans="5:6">
      <c r="E1075" s="206"/>
      <c r="F1075" s="206"/>
    </row>
    <row r="1076" spans="5:6">
      <c r="E1076" s="206"/>
      <c r="F1076" s="206"/>
    </row>
    <row r="1077" spans="5:6">
      <c r="E1077" s="206"/>
      <c r="F1077" s="206"/>
    </row>
    <row r="1078" spans="5:6">
      <c r="E1078" s="206"/>
      <c r="F1078" s="206"/>
    </row>
    <row r="1079" spans="5:6">
      <c r="E1079" s="206"/>
      <c r="F1079" s="206"/>
    </row>
    <row r="1080" spans="5:6">
      <c r="E1080" s="206"/>
      <c r="F1080" s="206"/>
    </row>
    <row r="1081" spans="5:6">
      <c r="E1081" s="206"/>
      <c r="F1081" s="206"/>
    </row>
    <row r="1082" spans="5:6">
      <c r="E1082" s="206"/>
      <c r="F1082" s="206"/>
    </row>
    <row r="1083" spans="5:6">
      <c r="E1083" s="206"/>
      <c r="F1083" s="206"/>
    </row>
    <row r="1084" spans="5:6">
      <c r="E1084" s="206"/>
      <c r="F1084" s="206"/>
    </row>
    <row r="1085" spans="5:6">
      <c r="E1085" s="206"/>
      <c r="F1085" s="206"/>
    </row>
    <row r="1086" spans="5:6">
      <c r="E1086" s="206"/>
      <c r="F1086" s="206"/>
    </row>
    <row r="1087" spans="5:6">
      <c r="E1087" s="206"/>
      <c r="F1087" s="206"/>
    </row>
    <row r="1088" spans="5:6">
      <c r="E1088" s="206"/>
      <c r="F1088" s="206"/>
    </row>
    <row r="1089" spans="5:6">
      <c r="E1089" s="206"/>
      <c r="F1089" s="206"/>
    </row>
    <row r="1090" spans="5:6">
      <c r="E1090" s="206"/>
      <c r="F1090" s="206"/>
    </row>
    <row r="1091" spans="5:6">
      <c r="E1091" s="206"/>
      <c r="F1091" s="206"/>
    </row>
    <row r="1092" spans="5:6">
      <c r="E1092" s="206"/>
      <c r="F1092" s="206"/>
    </row>
    <row r="1093" spans="5:6">
      <c r="E1093" s="206"/>
      <c r="F1093" s="206"/>
    </row>
    <row r="1094" spans="5:6">
      <c r="E1094" s="206"/>
      <c r="F1094" s="206"/>
    </row>
    <row r="1095" spans="5:6">
      <c r="E1095" s="206"/>
      <c r="F1095" s="206"/>
    </row>
    <row r="1096" spans="5:6">
      <c r="E1096" s="206"/>
      <c r="F1096" s="206"/>
    </row>
    <row r="1097" spans="5:6">
      <c r="E1097" s="206"/>
      <c r="F1097" s="206"/>
    </row>
    <row r="1098" spans="5:6">
      <c r="E1098" s="206"/>
      <c r="F1098" s="206"/>
    </row>
    <row r="1099" spans="5:6">
      <c r="E1099" s="206"/>
      <c r="F1099" s="206"/>
    </row>
    <row r="1100" spans="5:6">
      <c r="E1100" s="206"/>
      <c r="F1100" s="206"/>
    </row>
    <row r="1101" spans="5:6">
      <c r="E1101" s="206"/>
      <c r="F1101" s="206"/>
    </row>
    <row r="1102" spans="5:6">
      <c r="E1102" s="206"/>
      <c r="F1102" s="206"/>
    </row>
    <row r="1103" spans="5:6">
      <c r="E1103" s="206"/>
      <c r="F1103" s="206"/>
    </row>
    <row r="1104" spans="5:6">
      <c r="E1104" s="206"/>
      <c r="F1104" s="206"/>
    </row>
    <row r="1105" spans="5:6">
      <c r="E1105" s="206"/>
      <c r="F1105" s="206"/>
    </row>
    <row r="1106" spans="5:6">
      <c r="E1106" s="206"/>
      <c r="F1106" s="206"/>
    </row>
    <row r="1107" spans="5:6">
      <c r="E1107" s="206"/>
      <c r="F1107" s="206"/>
    </row>
    <row r="1108" spans="5:6">
      <c r="E1108" s="206"/>
      <c r="F1108" s="206"/>
    </row>
    <row r="1109" spans="5:6">
      <c r="E1109" s="206"/>
      <c r="F1109" s="206"/>
    </row>
    <row r="1110" spans="5:6">
      <c r="E1110" s="206"/>
      <c r="F1110" s="206"/>
    </row>
    <row r="1111" spans="5:6">
      <c r="E1111" s="206"/>
      <c r="F1111" s="206"/>
    </row>
    <row r="1112" spans="5:6">
      <c r="E1112" s="206"/>
      <c r="F1112" s="206"/>
    </row>
    <row r="1113" spans="5:6">
      <c r="E1113" s="206"/>
      <c r="F1113" s="206"/>
    </row>
    <row r="1114" spans="5:6">
      <c r="E1114" s="206"/>
      <c r="F1114" s="206"/>
    </row>
    <row r="1115" spans="5:6">
      <c r="E1115" s="206"/>
      <c r="F1115" s="206"/>
    </row>
    <row r="1116" spans="5:6">
      <c r="E1116" s="206"/>
      <c r="F1116" s="206"/>
    </row>
    <row r="1117" spans="5:6">
      <c r="E1117" s="206"/>
      <c r="F1117" s="206"/>
    </row>
    <row r="1118" spans="5:6">
      <c r="E1118" s="206"/>
      <c r="F1118" s="206"/>
    </row>
    <row r="1119" spans="5:6">
      <c r="E1119" s="206"/>
      <c r="F1119" s="206"/>
    </row>
    <row r="1120" spans="5:6">
      <c r="E1120" s="206"/>
      <c r="F1120" s="206"/>
    </row>
    <row r="1121" spans="5:6">
      <c r="E1121" s="206"/>
      <c r="F1121" s="206"/>
    </row>
    <row r="1122" spans="5:6">
      <c r="E1122" s="206"/>
      <c r="F1122" s="206"/>
    </row>
    <row r="1123" spans="5:6">
      <c r="E1123" s="206"/>
      <c r="F1123" s="206"/>
    </row>
    <row r="1124" spans="5:6">
      <c r="E1124" s="206"/>
      <c r="F1124" s="206"/>
    </row>
    <row r="1125" spans="5:6">
      <c r="E1125" s="206"/>
      <c r="F1125" s="206"/>
    </row>
    <row r="1126" spans="5:6">
      <c r="E1126" s="206"/>
      <c r="F1126" s="206"/>
    </row>
    <row r="1127" spans="5:6">
      <c r="E1127" s="206"/>
      <c r="F1127" s="206"/>
    </row>
    <row r="1128" spans="5:6">
      <c r="E1128" s="206"/>
      <c r="F1128" s="206"/>
    </row>
    <row r="1129" spans="5:6">
      <c r="E1129" s="206"/>
      <c r="F1129" s="206"/>
    </row>
    <row r="1130" spans="5:6">
      <c r="E1130" s="206"/>
      <c r="F1130" s="206"/>
    </row>
    <row r="1131" spans="5:6">
      <c r="E1131" s="206"/>
      <c r="F1131" s="206"/>
    </row>
    <row r="1132" spans="5:6">
      <c r="E1132" s="206"/>
      <c r="F1132" s="206"/>
    </row>
    <row r="1133" spans="5:6">
      <c r="E1133" s="206"/>
      <c r="F1133" s="206"/>
    </row>
    <row r="1134" spans="5:6">
      <c r="E1134" s="206"/>
      <c r="F1134" s="206"/>
    </row>
    <row r="1135" spans="5:6">
      <c r="E1135" s="206"/>
      <c r="F1135" s="206"/>
    </row>
    <row r="1136" spans="5:6">
      <c r="E1136" s="206"/>
      <c r="F1136" s="206"/>
    </row>
    <row r="1137" spans="5:6">
      <c r="E1137" s="206"/>
      <c r="F1137" s="206"/>
    </row>
    <row r="1138" spans="5:6">
      <c r="E1138" s="206"/>
      <c r="F1138" s="206"/>
    </row>
    <row r="1139" spans="5:6">
      <c r="E1139" s="206"/>
      <c r="F1139" s="206"/>
    </row>
    <row r="1140" spans="5:6">
      <c r="E1140" s="206"/>
      <c r="F1140" s="206"/>
    </row>
    <row r="1141" spans="5:6">
      <c r="E1141" s="206"/>
      <c r="F1141" s="206"/>
    </row>
    <row r="1142" spans="5:6">
      <c r="E1142" s="206"/>
      <c r="F1142" s="206"/>
    </row>
    <row r="1143" spans="5:6">
      <c r="E1143" s="206"/>
      <c r="F1143" s="206"/>
    </row>
    <row r="1144" spans="5:6">
      <c r="E1144" s="206"/>
      <c r="F1144" s="206"/>
    </row>
    <row r="1145" spans="5:6">
      <c r="E1145" s="206"/>
      <c r="F1145" s="206"/>
    </row>
    <row r="1146" spans="5:6">
      <c r="E1146" s="206"/>
      <c r="F1146" s="206"/>
    </row>
    <row r="1147" spans="5:6">
      <c r="E1147" s="206"/>
      <c r="F1147" s="206"/>
    </row>
    <row r="1148" spans="5:6">
      <c r="E1148" s="206"/>
      <c r="F1148" s="206"/>
    </row>
    <row r="1149" spans="5:6">
      <c r="E1149" s="206"/>
      <c r="F1149" s="206"/>
    </row>
    <row r="1150" spans="5:6">
      <c r="E1150" s="206"/>
      <c r="F1150" s="206"/>
    </row>
    <row r="1151" spans="5:6">
      <c r="E1151" s="206"/>
      <c r="F1151" s="206"/>
    </row>
    <row r="1152" spans="5:6">
      <c r="E1152" s="206"/>
      <c r="F1152" s="206"/>
    </row>
    <row r="1153" spans="5:6">
      <c r="E1153" s="206"/>
      <c r="F1153" s="206"/>
    </row>
    <row r="1154" spans="5:6">
      <c r="E1154" s="206"/>
      <c r="F1154" s="206"/>
    </row>
    <row r="1155" spans="5:6">
      <c r="E1155" s="206"/>
      <c r="F1155" s="206"/>
    </row>
    <row r="1156" spans="5:6">
      <c r="E1156" s="206"/>
      <c r="F1156" s="206"/>
    </row>
    <row r="1157" spans="5:6">
      <c r="E1157" s="206"/>
      <c r="F1157" s="206"/>
    </row>
    <row r="1158" spans="5:6">
      <c r="E1158" s="206"/>
      <c r="F1158" s="206"/>
    </row>
    <row r="1159" spans="5:6">
      <c r="E1159" s="206"/>
      <c r="F1159" s="206"/>
    </row>
    <row r="1160" spans="5:6">
      <c r="E1160" s="206"/>
      <c r="F1160" s="206"/>
    </row>
    <row r="1161" spans="5:6">
      <c r="E1161" s="206"/>
      <c r="F1161" s="206"/>
    </row>
    <row r="1162" spans="5:6">
      <c r="E1162" s="206"/>
      <c r="F1162" s="206"/>
    </row>
    <row r="1163" spans="5:6">
      <c r="E1163" s="206"/>
      <c r="F1163" s="206"/>
    </row>
    <row r="1164" spans="5:6">
      <c r="E1164" s="206"/>
      <c r="F1164" s="206"/>
    </row>
    <row r="1165" spans="5:6">
      <c r="E1165" s="206"/>
      <c r="F1165" s="206"/>
    </row>
    <row r="1166" spans="5:6">
      <c r="E1166" s="206"/>
      <c r="F1166" s="206"/>
    </row>
    <row r="1167" spans="5:6">
      <c r="E1167" s="206"/>
      <c r="F1167" s="206"/>
    </row>
    <row r="1168" spans="5:6">
      <c r="E1168" s="206"/>
      <c r="F1168" s="206"/>
    </row>
    <row r="1169" spans="5:6">
      <c r="E1169" s="206"/>
      <c r="F1169" s="206"/>
    </row>
    <row r="1170" spans="5:6">
      <c r="E1170" s="206"/>
      <c r="F1170" s="206"/>
    </row>
    <row r="1171" spans="5:6">
      <c r="E1171" s="206"/>
      <c r="F1171" s="206"/>
    </row>
    <row r="1172" spans="5:6">
      <c r="E1172" s="206"/>
      <c r="F1172" s="206"/>
    </row>
    <row r="1173" spans="5:6">
      <c r="E1173" s="206"/>
      <c r="F1173" s="206"/>
    </row>
    <row r="1174" spans="5:6">
      <c r="E1174" s="206"/>
      <c r="F1174" s="206"/>
    </row>
    <row r="1175" spans="5:6">
      <c r="E1175" s="206"/>
      <c r="F1175" s="206"/>
    </row>
    <row r="1176" spans="5:6">
      <c r="E1176" s="206"/>
      <c r="F1176" s="206"/>
    </row>
    <row r="1177" spans="5:6">
      <c r="E1177" s="206"/>
      <c r="F1177" s="206"/>
    </row>
    <row r="1178" spans="5:6">
      <c r="E1178" s="206"/>
      <c r="F1178" s="206"/>
    </row>
    <row r="1179" spans="5:6">
      <c r="E1179" s="206"/>
      <c r="F1179" s="206"/>
    </row>
    <row r="1180" spans="5:6">
      <c r="E1180" s="206"/>
      <c r="F1180" s="206"/>
    </row>
    <row r="1181" spans="5:6">
      <c r="E1181" s="206"/>
      <c r="F1181" s="206"/>
    </row>
    <row r="1182" spans="5:6">
      <c r="E1182" s="206"/>
      <c r="F1182" s="206"/>
    </row>
    <row r="1183" spans="5:6">
      <c r="E1183" s="206"/>
      <c r="F1183" s="206"/>
    </row>
    <row r="1184" spans="5:6">
      <c r="E1184" s="206"/>
      <c r="F1184" s="206"/>
    </row>
    <row r="1185" spans="5:6">
      <c r="E1185" s="206"/>
      <c r="F1185" s="206"/>
    </row>
    <row r="1186" spans="5:6">
      <c r="E1186" s="206"/>
      <c r="F1186" s="206"/>
    </row>
    <row r="1187" spans="5:6">
      <c r="E1187" s="206"/>
      <c r="F1187" s="206"/>
    </row>
    <row r="1188" spans="5:6">
      <c r="E1188" s="206"/>
      <c r="F1188" s="206"/>
    </row>
    <row r="1189" spans="5:6">
      <c r="E1189" s="206"/>
      <c r="F1189" s="206"/>
    </row>
    <row r="1190" spans="5:6">
      <c r="E1190" s="206"/>
      <c r="F1190" s="206"/>
    </row>
    <row r="1191" spans="5:6">
      <c r="E1191" s="206"/>
      <c r="F1191" s="206"/>
    </row>
    <row r="1192" spans="5:6">
      <c r="E1192" s="206"/>
      <c r="F1192" s="206"/>
    </row>
    <row r="1193" spans="5:6">
      <c r="E1193" s="206"/>
      <c r="F1193" s="206"/>
    </row>
    <row r="1194" spans="5:6">
      <c r="E1194" s="206"/>
      <c r="F1194" s="206"/>
    </row>
    <row r="1195" spans="5:6">
      <c r="E1195" s="206"/>
      <c r="F1195" s="206"/>
    </row>
    <row r="1196" spans="5:6">
      <c r="E1196" s="206"/>
      <c r="F1196" s="206"/>
    </row>
    <row r="1197" spans="5:6">
      <c r="E1197" s="206"/>
      <c r="F1197" s="206"/>
    </row>
    <row r="1198" spans="5:6">
      <c r="E1198" s="206"/>
      <c r="F1198" s="206"/>
    </row>
    <row r="1199" spans="5:6">
      <c r="E1199" s="206"/>
      <c r="F1199" s="206"/>
    </row>
    <row r="1200" spans="5:6">
      <c r="E1200" s="206"/>
      <c r="F1200" s="206"/>
    </row>
    <row r="1201" spans="5:6">
      <c r="E1201" s="206"/>
      <c r="F1201" s="206"/>
    </row>
    <row r="1202" spans="5:6">
      <c r="E1202" s="206"/>
      <c r="F1202" s="206"/>
    </row>
    <row r="1203" spans="5:6">
      <c r="E1203" s="206"/>
      <c r="F1203" s="206"/>
    </row>
    <row r="1204" spans="5:6">
      <c r="E1204" s="206"/>
      <c r="F1204" s="206"/>
    </row>
    <row r="1205" spans="5:6">
      <c r="E1205" s="206"/>
      <c r="F1205" s="206"/>
    </row>
    <row r="1206" spans="5:6">
      <c r="E1206" s="206"/>
      <c r="F1206" s="206"/>
    </row>
    <row r="1207" spans="5:6">
      <c r="E1207" s="206"/>
      <c r="F1207" s="206"/>
    </row>
    <row r="1208" spans="5:6">
      <c r="E1208" s="206"/>
      <c r="F1208" s="206"/>
    </row>
    <row r="1209" spans="5:6">
      <c r="E1209" s="206"/>
      <c r="F1209" s="206"/>
    </row>
    <row r="1210" spans="5:6">
      <c r="E1210" s="206"/>
      <c r="F1210" s="206"/>
    </row>
    <row r="1211" spans="5:6">
      <c r="E1211" s="206"/>
      <c r="F1211" s="206"/>
    </row>
    <row r="1212" spans="5:6">
      <c r="E1212" s="206"/>
      <c r="F1212" s="206"/>
    </row>
    <row r="1213" spans="5:6">
      <c r="E1213" s="206"/>
      <c r="F1213" s="206"/>
    </row>
    <row r="1214" spans="5:6">
      <c r="E1214" s="206"/>
      <c r="F1214" s="206"/>
    </row>
    <row r="1215" spans="5:6">
      <c r="E1215" s="206"/>
      <c r="F1215" s="206"/>
    </row>
    <row r="1216" spans="5:6">
      <c r="E1216" s="206"/>
      <c r="F1216" s="206"/>
    </row>
    <row r="1217" spans="5:6">
      <c r="E1217" s="206"/>
      <c r="F1217" s="206"/>
    </row>
    <row r="1218" spans="5:6">
      <c r="E1218" s="206"/>
      <c r="F1218" s="206"/>
    </row>
    <row r="1219" spans="5:6">
      <c r="E1219" s="206"/>
      <c r="F1219" s="206"/>
    </row>
    <row r="1220" spans="5:6">
      <c r="E1220" s="206"/>
      <c r="F1220" s="206"/>
    </row>
    <row r="1221" spans="5:6">
      <c r="E1221" s="206"/>
      <c r="F1221" s="206"/>
    </row>
    <row r="1222" spans="5:6">
      <c r="E1222" s="206"/>
      <c r="F1222" s="206"/>
    </row>
    <row r="1223" spans="5:6">
      <c r="E1223" s="206"/>
      <c r="F1223" s="206"/>
    </row>
    <row r="1224" spans="5:6">
      <c r="E1224" s="206"/>
      <c r="F1224" s="206"/>
    </row>
    <row r="1225" spans="5:6">
      <c r="E1225" s="206"/>
      <c r="F1225" s="206"/>
    </row>
    <row r="1226" spans="5:6">
      <c r="E1226" s="206"/>
      <c r="F1226" s="206"/>
    </row>
    <row r="1227" spans="5:6">
      <c r="E1227" s="206"/>
      <c r="F1227" s="206"/>
    </row>
    <row r="1228" spans="5:6">
      <c r="E1228" s="206"/>
      <c r="F1228" s="206"/>
    </row>
    <row r="1229" spans="5:6">
      <c r="E1229" s="206"/>
      <c r="F1229" s="206"/>
    </row>
    <row r="1230" spans="5:6">
      <c r="E1230" s="206"/>
      <c r="F1230" s="206"/>
    </row>
    <row r="1231" spans="5:6">
      <c r="E1231" s="206"/>
      <c r="F1231" s="206"/>
    </row>
    <row r="1232" spans="5:6">
      <c r="E1232" s="206"/>
      <c r="F1232" s="206"/>
    </row>
    <row r="1233" spans="5:6">
      <c r="E1233" s="206"/>
      <c r="F1233" s="206"/>
    </row>
    <row r="1234" spans="5:6">
      <c r="E1234" s="206"/>
      <c r="F1234" s="206"/>
    </row>
    <row r="1235" spans="5:6">
      <c r="E1235" s="206"/>
      <c r="F1235" s="206"/>
    </row>
    <row r="1236" spans="5:6">
      <c r="E1236" s="206"/>
      <c r="F1236" s="206"/>
    </row>
    <row r="1237" spans="5:6">
      <c r="E1237" s="206"/>
      <c r="F1237" s="206"/>
    </row>
    <row r="1238" spans="5:6">
      <c r="E1238" s="206"/>
      <c r="F1238" s="206"/>
    </row>
    <row r="1239" spans="5:6">
      <c r="E1239" s="206"/>
      <c r="F1239" s="206"/>
    </row>
    <row r="1240" spans="5:6">
      <c r="E1240" s="206"/>
      <c r="F1240" s="206"/>
    </row>
    <row r="1241" spans="5:6">
      <c r="E1241" s="206"/>
      <c r="F1241" s="206"/>
    </row>
    <row r="1242" spans="5:6">
      <c r="E1242" s="206"/>
      <c r="F1242" s="206"/>
    </row>
    <row r="1243" spans="5:6">
      <c r="E1243" s="206"/>
      <c r="F1243" s="206"/>
    </row>
    <row r="1244" spans="5:6">
      <c r="E1244" s="206"/>
      <c r="F1244" s="206"/>
    </row>
    <row r="1245" spans="5:6">
      <c r="E1245" s="206"/>
      <c r="F1245" s="206"/>
    </row>
    <row r="1246" spans="5:6">
      <c r="E1246" s="206"/>
      <c r="F1246" s="206"/>
    </row>
    <row r="1247" spans="5:6">
      <c r="E1247" s="206"/>
      <c r="F1247" s="206"/>
    </row>
    <row r="1248" spans="5:6">
      <c r="E1248" s="206"/>
      <c r="F1248" s="206"/>
    </row>
    <row r="1249" spans="5:6">
      <c r="E1249" s="206"/>
      <c r="F1249" s="206"/>
    </row>
    <row r="1250" spans="5:6">
      <c r="E1250" s="206"/>
      <c r="F1250" s="206"/>
    </row>
    <row r="1251" spans="5:6">
      <c r="E1251" s="206"/>
      <c r="F1251" s="206"/>
    </row>
    <row r="1252" spans="5:6">
      <c r="E1252" s="206"/>
      <c r="F1252" s="206"/>
    </row>
    <row r="1253" spans="5:6">
      <c r="E1253" s="206"/>
      <c r="F1253" s="206"/>
    </row>
    <row r="1254" spans="5:6">
      <c r="E1254" s="206"/>
      <c r="F1254" s="206"/>
    </row>
    <row r="1255" spans="5:6">
      <c r="E1255" s="206"/>
      <c r="F1255" s="206"/>
    </row>
    <row r="1256" spans="5:6">
      <c r="E1256" s="206"/>
      <c r="F1256" s="206"/>
    </row>
    <row r="1257" spans="5:6">
      <c r="E1257" s="206"/>
      <c r="F1257" s="206"/>
    </row>
    <row r="1258" spans="5:6">
      <c r="E1258" s="206"/>
      <c r="F1258" s="206"/>
    </row>
    <row r="1259" spans="5:6">
      <c r="E1259" s="206"/>
      <c r="F1259" s="206"/>
    </row>
    <row r="1260" spans="5:6">
      <c r="E1260" s="206"/>
      <c r="F1260" s="206"/>
    </row>
    <row r="1261" spans="5:6">
      <c r="E1261" s="206"/>
      <c r="F1261" s="206"/>
    </row>
    <row r="1262" spans="5:6">
      <c r="E1262" s="206"/>
      <c r="F1262" s="206"/>
    </row>
    <row r="1263" spans="5:6">
      <c r="E1263" s="206"/>
      <c r="F1263" s="206"/>
    </row>
    <row r="1264" spans="5:6">
      <c r="E1264" s="206"/>
      <c r="F1264" s="206"/>
    </row>
    <row r="1265" spans="5:6">
      <c r="E1265" s="206"/>
      <c r="F1265" s="206"/>
    </row>
    <row r="1266" spans="5:6">
      <c r="E1266" s="206"/>
      <c r="F1266" s="206"/>
    </row>
    <row r="1267" spans="5:6">
      <c r="E1267" s="206"/>
      <c r="F1267" s="206"/>
    </row>
    <row r="1268" spans="5:6">
      <c r="E1268" s="206"/>
      <c r="F1268" s="206"/>
    </row>
    <row r="1269" spans="5:6">
      <c r="E1269" s="206"/>
      <c r="F1269" s="206"/>
    </row>
    <row r="1270" spans="5:6">
      <c r="E1270" s="206"/>
      <c r="F1270" s="206"/>
    </row>
    <row r="1271" spans="5:6">
      <c r="E1271" s="206"/>
      <c r="F1271" s="206"/>
    </row>
    <row r="1272" spans="5:6">
      <c r="E1272" s="206"/>
      <c r="F1272" s="206"/>
    </row>
    <row r="1273" spans="5:6">
      <c r="E1273" s="206"/>
      <c r="F1273" s="206"/>
    </row>
    <row r="1274" spans="5:6">
      <c r="E1274" s="206"/>
      <c r="F1274" s="206"/>
    </row>
    <row r="1275" spans="5:6">
      <c r="E1275" s="206"/>
      <c r="F1275" s="206"/>
    </row>
    <row r="1276" spans="5:6">
      <c r="E1276" s="206"/>
      <c r="F1276" s="206"/>
    </row>
    <row r="1277" spans="5:6">
      <c r="E1277" s="206"/>
      <c r="F1277" s="206"/>
    </row>
    <row r="1278" spans="5:6">
      <c r="E1278" s="206"/>
      <c r="F1278" s="206"/>
    </row>
    <row r="1279" spans="5:6">
      <c r="E1279" s="206"/>
      <c r="F1279" s="206"/>
    </row>
    <row r="1280" spans="5:6">
      <c r="E1280" s="206"/>
      <c r="F1280" s="206"/>
    </row>
    <row r="1281" spans="5:6">
      <c r="E1281" s="206"/>
      <c r="F1281" s="206"/>
    </row>
    <row r="1282" spans="5:6">
      <c r="E1282" s="206"/>
      <c r="F1282" s="206"/>
    </row>
    <row r="1283" spans="5:6">
      <c r="E1283" s="206"/>
      <c r="F1283" s="206"/>
    </row>
    <row r="1284" spans="5:6">
      <c r="E1284" s="206"/>
      <c r="F1284" s="206"/>
    </row>
    <row r="1285" spans="5:6">
      <c r="E1285" s="206"/>
      <c r="F1285" s="206"/>
    </row>
    <row r="1286" spans="5:6">
      <c r="E1286" s="206"/>
      <c r="F1286" s="206"/>
    </row>
    <row r="1287" spans="5:6">
      <c r="E1287" s="206"/>
      <c r="F1287" s="206"/>
    </row>
    <row r="1288" spans="5:6">
      <c r="E1288" s="206"/>
      <c r="F1288" s="206"/>
    </row>
    <row r="1289" spans="5:6">
      <c r="E1289" s="206"/>
      <c r="F1289" s="206"/>
    </row>
    <row r="1290" spans="5:6">
      <c r="E1290" s="206"/>
      <c r="F1290" s="206"/>
    </row>
    <row r="1291" spans="5:6">
      <c r="E1291" s="206"/>
      <c r="F1291" s="206"/>
    </row>
    <row r="1292" spans="5:6">
      <c r="E1292" s="206"/>
      <c r="F1292" s="206"/>
    </row>
    <row r="1293" spans="5:6">
      <c r="E1293" s="206"/>
      <c r="F1293" s="206"/>
    </row>
    <row r="1294" spans="5:6">
      <c r="E1294" s="206"/>
      <c r="F1294" s="206"/>
    </row>
    <row r="1295" spans="5:6">
      <c r="E1295" s="206"/>
      <c r="F1295" s="206"/>
    </row>
    <row r="1296" spans="5:6">
      <c r="E1296" s="206"/>
      <c r="F1296" s="206"/>
    </row>
    <row r="1297" spans="5:6">
      <c r="E1297" s="206"/>
      <c r="F1297" s="206"/>
    </row>
    <row r="1298" spans="5:6">
      <c r="E1298" s="206"/>
      <c r="F1298" s="206"/>
    </row>
    <row r="1299" spans="5:6">
      <c r="E1299" s="206"/>
      <c r="F1299" s="206"/>
    </row>
    <row r="1300" spans="5:6">
      <c r="E1300" s="206"/>
      <c r="F1300" s="206"/>
    </row>
    <row r="1301" spans="5:6">
      <c r="E1301" s="206"/>
      <c r="F1301" s="206"/>
    </row>
    <row r="1302" spans="5:6">
      <c r="E1302" s="206"/>
      <c r="F1302" s="206"/>
    </row>
    <row r="1303" spans="5:6">
      <c r="E1303" s="206"/>
      <c r="F1303" s="206"/>
    </row>
    <row r="1304" spans="5:6">
      <c r="E1304" s="206"/>
      <c r="F1304" s="206"/>
    </row>
    <row r="1305" spans="5:6">
      <c r="E1305" s="206"/>
      <c r="F1305" s="206"/>
    </row>
    <row r="1306" spans="5:6">
      <c r="E1306" s="206"/>
      <c r="F1306" s="206"/>
    </row>
    <row r="1307" spans="5:6">
      <c r="E1307" s="206"/>
      <c r="F1307" s="206"/>
    </row>
    <row r="1308" spans="5:6">
      <c r="E1308" s="206"/>
      <c r="F1308" s="206"/>
    </row>
    <row r="1309" spans="5:6">
      <c r="E1309" s="206"/>
      <c r="F1309" s="206"/>
    </row>
    <row r="1310" spans="5:6">
      <c r="E1310" s="206"/>
      <c r="F1310" s="206"/>
    </row>
    <row r="1311" spans="5:6">
      <c r="E1311" s="206"/>
      <c r="F1311" s="206"/>
    </row>
    <row r="1312" spans="5:6">
      <c r="E1312" s="206"/>
      <c r="F1312" s="206"/>
    </row>
    <row r="1313" spans="5:6">
      <c r="E1313" s="206"/>
      <c r="F1313" s="206"/>
    </row>
    <row r="1314" spans="5:6">
      <c r="E1314" s="206"/>
      <c r="F1314" s="206"/>
    </row>
    <row r="1315" spans="5:6">
      <c r="E1315" s="206"/>
      <c r="F1315" s="206"/>
    </row>
    <row r="1316" spans="5:6">
      <c r="E1316" s="206"/>
      <c r="F1316" s="206"/>
    </row>
    <row r="1317" spans="5:6">
      <c r="E1317" s="206"/>
      <c r="F1317" s="206"/>
    </row>
    <row r="1318" spans="5:6">
      <c r="E1318" s="206"/>
      <c r="F1318" s="206"/>
    </row>
    <row r="1319" spans="5:6">
      <c r="E1319" s="206"/>
      <c r="F1319" s="206"/>
    </row>
    <row r="1320" spans="5:6">
      <c r="E1320" s="206"/>
      <c r="F1320" s="206"/>
    </row>
    <row r="1321" spans="5:6">
      <c r="E1321" s="206"/>
      <c r="F1321" s="206"/>
    </row>
    <row r="1322" spans="5:6">
      <c r="E1322" s="206"/>
      <c r="F1322" s="206"/>
    </row>
    <row r="1323" spans="5:6">
      <c r="E1323" s="206"/>
      <c r="F1323" s="206"/>
    </row>
    <row r="1324" spans="5:6">
      <c r="E1324" s="206"/>
      <c r="F1324" s="206"/>
    </row>
    <row r="1325" spans="5:6">
      <c r="E1325" s="206"/>
      <c r="F1325" s="206"/>
    </row>
    <row r="1326" spans="5:6">
      <c r="E1326" s="206"/>
      <c r="F1326" s="206"/>
    </row>
    <row r="1327" spans="5:6">
      <c r="E1327" s="206"/>
      <c r="F1327" s="206"/>
    </row>
    <row r="1328" spans="5:6">
      <c r="E1328" s="206"/>
      <c r="F1328" s="206"/>
    </row>
    <row r="1329" spans="5:6">
      <c r="E1329" s="206"/>
      <c r="F1329" s="206"/>
    </row>
    <row r="1330" spans="5:6">
      <c r="E1330" s="206"/>
      <c r="F1330" s="206"/>
    </row>
    <row r="1331" spans="5:6">
      <c r="E1331" s="206"/>
      <c r="F1331" s="206"/>
    </row>
    <row r="1332" spans="5:6">
      <c r="E1332" s="206"/>
      <c r="F1332" s="206"/>
    </row>
    <row r="1333" spans="5:6">
      <c r="E1333" s="206"/>
      <c r="F1333" s="206"/>
    </row>
    <row r="1334" spans="5:6">
      <c r="E1334" s="206"/>
      <c r="F1334" s="206"/>
    </row>
    <row r="1335" spans="5:6">
      <c r="E1335" s="206"/>
      <c r="F1335" s="206"/>
    </row>
    <row r="1336" spans="5:6">
      <c r="E1336" s="206"/>
      <c r="F1336" s="206"/>
    </row>
    <row r="1337" spans="5:6">
      <c r="E1337" s="206"/>
      <c r="F1337" s="206"/>
    </row>
    <row r="1338" spans="5:6">
      <c r="E1338" s="206"/>
      <c r="F1338" s="206"/>
    </row>
    <row r="1339" spans="5:6">
      <c r="E1339" s="206"/>
      <c r="F1339" s="206"/>
    </row>
    <row r="1340" spans="5:6">
      <c r="E1340" s="206"/>
      <c r="F1340" s="206"/>
    </row>
    <row r="1341" spans="5:6">
      <c r="E1341" s="206"/>
      <c r="F1341" s="206"/>
    </row>
    <row r="1342" spans="5:6">
      <c r="E1342" s="206"/>
      <c r="F1342" s="206"/>
    </row>
    <row r="1343" spans="5:6">
      <c r="E1343" s="206"/>
      <c r="F1343" s="206"/>
    </row>
    <row r="1344" spans="5:6">
      <c r="E1344" s="206"/>
      <c r="F1344" s="206"/>
    </row>
    <row r="1345" spans="5:6">
      <c r="E1345" s="206"/>
      <c r="F1345" s="206"/>
    </row>
    <row r="1346" spans="5:6">
      <c r="E1346" s="206"/>
      <c r="F1346" s="206"/>
    </row>
    <row r="1347" spans="5:6">
      <c r="E1347" s="206"/>
      <c r="F1347" s="206"/>
    </row>
    <row r="1348" spans="5:6">
      <c r="E1348" s="206"/>
      <c r="F1348" s="206"/>
    </row>
    <row r="1349" spans="5:6">
      <c r="E1349" s="206"/>
      <c r="F1349" s="206"/>
    </row>
    <row r="1350" spans="5:6">
      <c r="E1350" s="206"/>
      <c r="F1350" s="206"/>
    </row>
    <row r="1351" spans="5:6">
      <c r="E1351" s="206"/>
      <c r="F1351" s="206"/>
    </row>
    <row r="1352" spans="5:6">
      <c r="E1352" s="206"/>
      <c r="F1352" s="206"/>
    </row>
    <row r="1353" spans="5:6">
      <c r="E1353" s="206"/>
      <c r="F1353" s="206"/>
    </row>
    <row r="1354" spans="5:6">
      <c r="E1354" s="206"/>
      <c r="F1354" s="206"/>
    </row>
    <row r="1355" spans="5:6">
      <c r="E1355" s="206"/>
      <c r="F1355" s="206"/>
    </row>
    <row r="1356" spans="5:6">
      <c r="E1356" s="206"/>
      <c r="F1356" s="206"/>
    </row>
    <row r="1357" spans="5:6">
      <c r="E1357" s="206"/>
      <c r="F1357" s="206"/>
    </row>
    <row r="1358" spans="5:6">
      <c r="E1358" s="206"/>
      <c r="F1358" s="206"/>
    </row>
    <row r="1359" spans="5:6">
      <c r="E1359" s="206"/>
      <c r="F1359" s="206"/>
    </row>
    <row r="1360" spans="5:6">
      <c r="E1360" s="206"/>
      <c r="F1360" s="206"/>
    </row>
    <row r="1361" spans="5:6">
      <c r="E1361" s="206"/>
      <c r="F1361" s="206"/>
    </row>
    <row r="1362" spans="5:6">
      <c r="E1362" s="206"/>
      <c r="F1362" s="206"/>
    </row>
    <row r="1363" spans="5:6">
      <c r="E1363" s="206"/>
      <c r="F1363" s="206"/>
    </row>
    <row r="1364" spans="5:6">
      <c r="E1364" s="206"/>
      <c r="F1364" s="206"/>
    </row>
    <row r="1365" spans="5:6">
      <c r="E1365" s="206"/>
      <c r="F1365" s="206"/>
    </row>
    <row r="1366" spans="5:6">
      <c r="E1366" s="206"/>
      <c r="F1366" s="206"/>
    </row>
    <row r="1367" spans="5:6">
      <c r="E1367" s="206"/>
      <c r="F1367" s="206"/>
    </row>
    <row r="1368" spans="5:6">
      <c r="E1368" s="206"/>
      <c r="F1368" s="206"/>
    </row>
    <row r="1369" spans="5:6">
      <c r="E1369" s="206"/>
      <c r="F1369" s="206"/>
    </row>
    <row r="1370" spans="5:6">
      <c r="E1370" s="206"/>
      <c r="F1370" s="206"/>
    </row>
    <row r="1371" spans="5:6">
      <c r="E1371" s="206"/>
      <c r="F1371" s="206"/>
    </row>
    <row r="1372" spans="5:6">
      <c r="E1372" s="206"/>
      <c r="F1372" s="206"/>
    </row>
    <row r="1373" spans="5:6">
      <c r="E1373" s="206"/>
      <c r="F1373" s="206"/>
    </row>
    <row r="1374" spans="5:6">
      <c r="E1374" s="206"/>
      <c r="F1374" s="206"/>
    </row>
    <row r="1375" spans="5:6">
      <c r="E1375" s="206"/>
      <c r="F1375" s="206"/>
    </row>
    <row r="1376" spans="5:6">
      <c r="E1376" s="206"/>
      <c r="F1376" s="206"/>
    </row>
    <row r="1377" spans="5:6">
      <c r="E1377" s="206"/>
      <c r="F1377" s="206"/>
    </row>
    <row r="1378" spans="5:6">
      <c r="E1378" s="206"/>
      <c r="F1378" s="206"/>
    </row>
    <row r="1379" spans="5:6">
      <c r="E1379" s="206"/>
      <c r="F1379" s="206"/>
    </row>
    <row r="1380" spans="5:6">
      <c r="E1380" s="206"/>
      <c r="F1380" s="206"/>
    </row>
    <row r="1381" spans="5:6">
      <c r="E1381" s="206"/>
      <c r="F1381" s="206"/>
    </row>
    <row r="1382" spans="5:6">
      <c r="E1382" s="206"/>
      <c r="F1382" s="206"/>
    </row>
    <row r="1383" spans="5:6">
      <c r="E1383" s="206"/>
      <c r="F1383" s="206"/>
    </row>
    <row r="1384" spans="5:6">
      <c r="E1384" s="206"/>
      <c r="F1384" s="206"/>
    </row>
    <row r="1385" spans="5:6">
      <c r="E1385" s="206"/>
      <c r="F1385" s="206"/>
    </row>
    <row r="1386" spans="5:6">
      <c r="E1386" s="206"/>
      <c r="F1386" s="206"/>
    </row>
    <row r="1387" spans="5:6">
      <c r="E1387" s="206"/>
      <c r="F1387" s="206"/>
    </row>
    <row r="1388" spans="5:6">
      <c r="E1388" s="206"/>
      <c r="F1388" s="206"/>
    </row>
    <row r="1389" spans="5:6">
      <c r="E1389" s="206"/>
      <c r="F1389" s="206"/>
    </row>
    <row r="1390" spans="5:6">
      <c r="E1390" s="206"/>
      <c r="F1390" s="206"/>
    </row>
    <row r="1391" spans="5:6">
      <c r="E1391" s="206"/>
      <c r="F1391" s="206"/>
    </row>
    <row r="1392" spans="5:6">
      <c r="E1392" s="206"/>
      <c r="F1392" s="206"/>
    </row>
    <row r="1393" spans="5:6">
      <c r="E1393" s="206"/>
      <c r="F1393" s="206"/>
    </row>
    <row r="1394" spans="5:6">
      <c r="E1394" s="206"/>
      <c r="F1394" s="206"/>
    </row>
    <row r="1395" spans="5:6">
      <c r="E1395" s="206"/>
      <c r="F1395" s="206"/>
    </row>
    <row r="1396" spans="5:6">
      <c r="E1396" s="206"/>
      <c r="F1396" s="206"/>
    </row>
    <row r="1397" spans="5:6">
      <c r="E1397" s="206"/>
      <c r="F1397" s="206"/>
    </row>
    <row r="1398" spans="5:6">
      <c r="E1398" s="206"/>
      <c r="F1398" s="206"/>
    </row>
    <row r="1399" spans="5:6">
      <c r="E1399" s="206"/>
      <c r="F1399" s="206"/>
    </row>
    <row r="1400" spans="5:6">
      <c r="E1400" s="206"/>
      <c r="F1400" s="206"/>
    </row>
    <row r="1401" spans="5:6">
      <c r="E1401" s="206"/>
      <c r="F1401" s="206"/>
    </row>
    <row r="1402" spans="5:6">
      <c r="E1402" s="206"/>
      <c r="F1402" s="206"/>
    </row>
    <row r="1403" spans="5:6">
      <c r="E1403" s="206"/>
      <c r="F1403" s="206"/>
    </row>
    <row r="1404" spans="5:6">
      <c r="E1404" s="206"/>
      <c r="F1404" s="206"/>
    </row>
    <row r="1405" spans="5:6">
      <c r="E1405" s="206"/>
      <c r="F1405" s="206"/>
    </row>
    <row r="1406" spans="5:6">
      <c r="E1406" s="206"/>
      <c r="F1406" s="206"/>
    </row>
    <row r="1407" spans="5:6">
      <c r="E1407" s="206"/>
      <c r="F1407" s="206"/>
    </row>
    <row r="1408" spans="5:6">
      <c r="E1408" s="206"/>
      <c r="F1408" s="206"/>
    </row>
    <row r="1409" spans="5:6">
      <c r="E1409" s="206"/>
      <c r="F1409" s="206"/>
    </row>
    <row r="1410" spans="5:6">
      <c r="E1410" s="206"/>
      <c r="F1410" s="206"/>
    </row>
    <row r="1411" spans="5:6">
      <c r="E1411" s="206"/>
      <c r="F1411" s="206"/>
    </row>
    <row r="1412" spans="5:6">
      <c r="E1412" s="206"/>
      <c r="F1412" s="206"/>
    </row>
    <row r="1413" spans="5:6">
      <c r="E1413" s="206"/>
      <c r="F1413" s="206"/>
    </row>
    <row r="1414" spans="5:6">
      <c r="E1414" s="206"/>
      <c r="F1414" s="206"/>
    </row>
    <row r="1415" spans="5:6">
      <c r="E1415" s="206"/>
      <c r="F1415" s="206"/>
    </row>
    <row r="1416" spans="5:6">
      <c r="E1416" s="206"/>
      <c r="F1416" s="206"/>
    </row>
    <row r="1417" spans="5:6">
      <c r="E1417" s="206"/>
      <c r="F1417" s="206"/>
    </row>
    <row r="1418" spans="5:6">
      <c r="E1418" s="206"/>
      <c r="F1418" s="206"/>
    </row>
    <row r="1419" spans="5:6">
      <c r="E1419" s="206"/>
      <c r="F1419" s="206"/>
    </row>
    <row r="1420" spans="5:6">
      <c r="E1420" s="206"/>
      <c r="F1420" s="206"/>
    </row>
    <row r="1421" spans="5:6">
      <c r="E1421" s="206"/>
      <c r="F1421" s="206"/>
    </row>
    <row r="1422" spans="5:6">
      <c r="E1422" s="206"/>
      <c r="F1422" s="206"/>
    </row>
    <row r="1423" spans="5:6">
      <c r="E1423" s="206"/>
      <c r="F1423" s="206"/>
    </row>
    <row r="1424" spans="5:6">
      <c r="E1424" s="206"/>
      <c r="F1424" s="206"/>
    </row>
    <row r="1425" spans="5:6">
      <c r="E1425" s="206"/>
      <c r="F1425" s="206"/>
    </row>
    <row r="1426" spans="5:6">
      <c r="E1426" s="206"/>
      <c r="F1426" s="206"/>
    </row>
    <row r="1427" spans="5:6">
      <c r="E1427" s="206"/>
      <c r="F1427" s="206"/>
    </row>
    <row r="1428" spans="5:6">
      <c r="E1428" s="206"/>
      <c r="F1428" s="206"/>
    </row>
    <row r="1429" spans="5:6">
      <c r="E1429" s="206"/>
      <c r="F1429" s="206"/>
    </row>
    <row r="1430" spans="5:6">
      <c r="E1430" s="206"/>
      <c r="F1430" s="206"/>
    </row>
    <row r="1431" spans="5:6">
      <c r="E1431" s="206"/>
      <c r="F1431" s="206"/>
    </row>
    <row r="1432" spans="5:6">
      <c r="E1432" s="206"/>
      <c r="F1432" s="206"/>
    </row>
    <row r="1433" spans="5:6">
      <c r="E1433" s="206"/>
      <c r="F1433" s="206"/>
    </row>
    <row r="1434" spans="5:6">
      <c r="E1434" s="206"/>
      <c r="F1434" s="206"/>
    </row>
    <row r="1435" spans="5:6">
      <c r="E1435" s="206"/>
      <c r="F1435" s="206"/>
    </row>
    <row r="1436" spans="5:6">
      <c r="E1436" s="206"/>
      <c r="F1436" s="206"/>
    </row>
    <row r="1437" spans="5:6">
      <c r="E1437" s="206"/>
      <c r="F1437" s="206"/>
    </row>
    <row r="1438" spans="5:6">
      <c r="E1438" s="206"/>
      <c r="F1438" s="206"/>
    </row>
    <row r="1439" spans="5:6">
      <c r="E1439" s="206"/>
      <c r="F1439" s="206"/>
    </row>
    <row r="1440" spans="5:6">
      <c r="E1440" s="206"/>
      <c r="F1440" s="206"/>
    </row>
    <row r="1441" spans="5:6">
      <c r="E1441" s="206"/>
      <c r="F1441" s="206"/>
    </row>
    <row r="1442" spans="5:6">
      <c r="E1442" s="206"/>
      <c r="F1442" s="206"/>
    </row>
    <row r="1443" spans="5:6">
      <c r="E1443" s="206"/>
      <c r="F1443" s="206"/>
    </row>
    <row r="1444" spans="5:6">
      <c r="E1444" s="206"/>
      <c r="F1444" s="206"/>
    </row>
    <row r="1445" spans="5:6">
      <c r="E1445" s="206"/>
      <c r="F1445" s="206"/>
    </row>
    <row r="1446" spans="5:6">
      <c r="E1446" s="206"/>
      <c r="F1446" s="206"/>
    </row>
    <row r="1447" spans="5:6">
      <c r="E1447" s="206"/>
      <c r="F1447" s="206"/>
    </row>
    <row r="1448" spans="5:6">
      <c r="E1448" s="206"/>
      <c r="F1448" s="206"/>
    </row>
    <row r="1449" spans="5:6">
      <c r="E1449" s="206"/>
      <c r="F1449" s="206"/>
    </row>
    <row r="1450" spans="5:6">
      <c r="E1450" s="206"/>
      <c r="F1450" s="206"/>
    </row>
    <row r="1451" spans="5:6">
      <c r="E1451" s="206"/>
      <c r="F1451" s="206"/>
    </row>
    <row r="1452" spans="5:6">
      <c r="E1452" s="206"/>
      <c r="F1452" s="206"/>
    </row>
    <row r="1453" spans="5:6">
      <c r="E1453" s="206"/>
      <c r="F1453" s="206"/>
    </row>
    <row r="1454" spans="5:6">
      <c r="E1454" s="206"/>
      <c r="F1454" s="206"/>
    </row>
    <row r="1455" spans="5:6">
      <c r="E1455" s="206"/>
      <c r="F1455" s="206"/>
    </row>
    <row r="1456" spans="5:6">
      <c r="E1456" s="206"/>
      <c r="F1456" s="206"/>
    </row>
    <row r="1457" spans="5:6">
      <c r="E1457" s="206"/>
      <c r="F1457" s="206"/>
    </row>
    <row r="1458" spans="5:6">
      <c r="E1458" s="206"/>
      <c r="F1458" s="206"/>
    </row>
    <row r="1459" spans="5:6">
      <c r="E1459" s="206"/>
      <c r="F1459" s="206"/>
    </row>
    <row r="1460" spans="5:6">
      <c r="E1460" s="206"/>
      <c r="F1460" s="206"/>
    </row>
    <row r="1461" spans="5:6">
      <c r="E1461" s="206"/>
      <c r="F1461" s="206"/>
    </row>
    <row r="1462" spans="5:6">
      <c r="E1462" s="206"/>
      <c r="F1462" s="206"/>
    </row>
    <row r="1463" spans="5:6">
      <c r="E1463" s="206"/>
      <c r="F1463" s="206"/>
    </row>
    <row r="1464" spans="5:6">
      <c r="E1464" s="206"/>
      <c r="F1464" s="206"/>
    </row>
    <row r="1465" spans="5:6">
      <c r="E1465" s="206"/>
      <c r="F1465" s="206"/>
    </row>
    <row r="1466" spans="5:6">
      <c r="E1466" s="206"/>
      <c r="F1466" s="206"/>
    </row>
    <row r="1467" spans="5:6">
      <c r="E1467" s="206"/>
      <c r="F1467" s="206"/>
    </row>
    <row r="1468" spans="5:6">
      <c r="E1468" s="206"/>
      <c r="F1468" s="206"/>
    </row>
    <row r="1469" spans="5:6">
      <c r="E1469" s="206"/>
      <c r="F1469" s="206"/>
    </row>
    <row r="1470" spans="5:6">
      <c r="E1470" s="206"/>
      <c r="F1470" s="206"/>
    </row>
    <row r="1471" spans="5:6">
      <c r="E1471" s="206"/>
      <c r="F1471" s="206"/>
    </row>
    <row r="1472" spans="5:6">
      <c r="E1472" s="206"/>
      <c r="F1472" s="206"/>
    </row>
    <row r="1473" spans="5:6">
      <c r="E1473" s="206"/>
      <c r="F1473" s="206"/>
    </row>
    <row r="1474" spans="5:6">
      <c r="E1474" s="206"/>
      <c r="F1474" s="206"/>
    </row>
    <row r="1475" spans="5:6">
      <c r="E1475" s="206"/>
      <c r="F1475" s="206"/>
    </row>
    <row r="1476" spans="5:6">
      <c r="E1476" s="206"/>
      <c r="F1476" s="206"/>
    </row>
    <row r="1477" spans="5:6">
      <c r="E1477" s="206"/>
      <c r="F1477" s="206"/>
    </row>
    <row r="1478" spans="5:6">
      <c r="E1478" s="206"/>
      <c r="F1478" s="206"/>
    </row>
    <row r="1479" spans="5:6">
      <c r="E1479" s="206"/>
      <c r="F1479" s="206"/>
    </row>
    <row r="1480" spans="5:6">
      <c r="E1480" s="206"/>
      <c r="F1480" s="206"/>
    </row>
    <row r="1481" spans="5:6">
      <c r="E1481" s="206"/>
      <c r="F1481" s="206"/>
    </row>
    <row r="1482" spans="5:6">
      <c r="E1482" s="206"/>
      <c r="F1482" s="206"/>
    </row>
    <row r="1483" spans="5:6">
      <c r="E1483" s="206"/>
      <c r="F1483" s="206"/>
    </row>
    <row r="1484" spans="5:6">
      <c r="E1484" s="206"/>
      <c r="F1484" s="206"/>
    </row>
    <row r="1485" spans="5:6">
      <c r="E1485" s="206"/>
      <c r="F1485" s="206"/>
    </row>
    <row r="1486" spans="5:6">
      <c r="E1486" s="206"/>
      <c r="F1486" s="206"/>
    </row>
    <row r="1487" spans="5:6">
      <c r="E1487" s="206"/>
      <c r="F1487" s="206"/>
    </row>
    <row r="1488" spans="5:6">
      <c r="E1488" s="206"/>
      <c r="F1488" s="206"/>
    </row>
    <row r="1489" spans="5:6">
      <c r="E1489" s="206"/>
      <c r="F1489" s="206"/>
    </row>
    <row r="1490" spans="5:6">
      <c r="E1490" s="206"/>
      <c r="F1490" s="206"/>
    </row>
    <row r="1491" spans="5:6">
      <c r="E1491" s="206"/>
      <c r="F1491" s="206"/>
    </row>
    <row r="1492" spans="5:6">
      <c r="E1492" s="206"/>
      <c r="F1492" s="206"/>
    </row>
    <row r="1493" spans="5:6">
      <c r="E1493" s="206"/>
      <c r="F1493" s="206"/>
    </row>
    <row r="1494" spans="5:6">
      <c r="E1494" s="206"/>
      <c r="F1494" s="206"/>
    </row>
    <row r="1495" spans="5:6">
      <c r="E1495" s="206"/>
      <c r="F1495" s="206"/>
    </row>
    <row r="1496" spans="5:6">
      <c r="E1496" s="206"/>
      <c r="F1496" s="206"/>
    </row>
    <row r="1497" spans="5:6">
      <c r="E1497" s="206"/>
      <c r="F1497" s="206"/>
    </row>
    <row r="1498" spans="5:6">
      <c r="E1498" s="206"/>
      <c r="F1498" s="206"/>
    </row>
    <row r="1499" spans="5:6">
      <c r="E1499" s="206"/>
      <c r="F1499" s="206"/>
    </row>
    <row r="1500" spans="5:6">
      <c r="E1500" s="206"/>
      <c r="F1500" s="206"/>
    </row>
    <row r="1501" spans="5:6">
      <c r="E1501" s="206"/>
      <c r="F1501" s="206"/>
    </row>
    <row r="1502" spans="5:6">
      <c r="E1502" s="206"/>
      <c r="F1502" s="206"/>
    </row>
    <row r="1503" spans="5:6">
      <c r="E1503" s="206"/>
      <c r="F1503" s="206"/>
    </row>
    <row r="1504" spans="5:6">
      <c r="E1504" s="206"/>
      <c r="F1504" s="206"/>
    </row>
    <row r="1505" spans="5:6">
      <c r="E1505" s="206"/>
      <c r="F1505" s="206"/>
    </row>
    <row r="1506" spans="5:6">
      <c r="E1506" s="206"/>
      <c r="F1506" s="206"/>
    </row>
    <row r="1507" spans="5:6">
      <c r="E1507" s="206"/>
      <c r="F1507" s="206"/>
    </row>
    <row r="1508" spans="5:6">
      <c r="E1508" s="206"/>
      <c r="F1508" s="206"/>
    </row>
    <row r="1509" spans="5:6">
      <c r="E1509" s="206"/>
      <c r="F1509" s="206"/>
    </row>
    <row r="1510" spans="5:6">
      <c r="E1510" s="206"/>
      <c r="F1510" s="206"/>
    </row>
    <row r="1511" spans="5:6">
      <c r="E1511" s="206"/>
      <c r="F1511" s="206"/>
    </row>
    <row r="1512" spans="5:6">
      <c r="E1512" s="206"/>
      <c r="F1512" s="206"/>
    </row>
    <row r="1513" spans="5:6">
      <c r="E1513" s="206"/>
      <c r="F1513" s="206"/>
    </row>
    <row r="1514" spans="5:6">
      <c r="E1514" s="206"/>
      <c r="F1514" s="206"/>
    </row>
    <row r="1515" spans="5:6">
      <c r="E1515" s="206"/>
      <c r="F1515" s="206"/>
    </row>
    <row r="1516" spans="5:6">
      <c r="E1516" s="206"/>
      <c r="F1516" s="206"/>
    </row>
    <row r="1517" spans="5:6">
      <c r="E1517" s="206"/>
      <c r="F1517" s="206"/>
    </row>
    <row r="1518" spans="5:6">
      <c r="E1518" s="206"/>
      <c r="F1518" s="206"/>
    </row>
    <row r="1519" spans="5:6">
      <c r="E1519" s="206"/>
      <c r="F1519" s="206"/>
    </row>
    <row r="1520" spans="5:6">
      <c r="E1520" s="206"/>
      <c r="F1520" s="206"/>
    </row>
    <row r="1521" spans="5:6">
      <c r="E1521" s="206"/>
      <c r="F1521" s="206"/>
    </row>
    <row r="1522" spans="5:6">
      <c r="E1522" s="206"/>
      <c r="F1522" s="206"/>
    </row>
    <row r="1523" spans="5:6">
      <c r="E1523" s="206"/>
      <c r="F1523" s="206"/>
    </row>
    <row r="1524" spans="5:6">
      <c r="E1524" s="206"/>
      <c r="F1524" s="206"/>
    </row>
    <row r="1525" spans="5:6">
      <c r="E1525" s="206"/>
      <c r="F1525" s="206"/>
    </row>
    <row r="1526" spans="5:6">
      <c r="E1526" s="206"/>
      <c r="F1526" s="206"/>
    </row>
    <row r="1527" spans="5:6">
      <c r="E1527" s="206"/>
      <c r="F1527" s="206"/>
    </row>
    <row r="1528" spans="5:6">
      <c r="E1528" s="206"/>
      <c r="F1528" s="206"/>
    </row>
    <row r="1529" spans="5:6">
      <c r="E1529" s="206"/>
      <c r="F1529" s="206"/>
    </row>
    <row r="1530" spans="5:6">
      <c r="E1530" s="206"/>
      <c r="F1530" s="206"/>
    </row>
    <row r="1531" spans="5:6">
      <c r="E1531" s="206"/>
      <c r="F1531" s="206"/>
    </row>
    <row r="1532" spans="5:6">
      <c r="E1532" s="206"/>
      <c r="F1532" s="206"/>
    </row>
    <row r="1533" spans="5:6">
      <c r="E1533" s="206"/>
      <c r="F1533" s="206"/>
    </row>
    <row r="1534" spans="5:6">
      <c r="E1534" s="206"/>
      <c r="F1534" s="206"/>
    </row>
    <row r="1535" spans="5:6">
      <c r="E1535" s="206"/>
      <c r="F1535" s="206"/>
    </row>
    <row r="1536" spans="5:6">
      <c r="E1536" s="206"/>
      <c r="F1536" s="206"/>
    </row>
    <row r="1537" spans="5:6">
      <c r="E1537" s="206"/>
      <c r="F1537" s="206"/>
    </row>
    <row r="1538" spans="5:6">
      <c r="E1538" s="206"/>
      <c r="F1538" s="206"/>
    </row>
    <row r="1539" spans="5:6">
      <c r="E1539" s="206"/>
      <c r="F1539" s="206"/>
    </row>
    <row r="1540" spans="5:6">
      <c r="E1540" s="206"/>
      <c r="F1540" s="206"/>
    </row>
    <row r="1541" spans="5:6">
      <c r="E1541" s="206"/>
      <c r="F1541" s="206"/>
    </row>
    <row r="1542" spans="5:6">
      <c r="E1542" s="206"/>
      <c r="F1542" s="206"/>
    </row>
    <row r="1543" spans="5:6">
      <c r="E1543" s="206"/>
      <c r="F1543" s="206"/>
    </row>
    <row r="1544" spans="5:6">
      <c r="E1544" s="206"/>
      <c r="F1544" s="206"/>
    </row>
    <row r="1545" spans="5:6">
      <c r="E1545" s="206"/>
      <c r="F1545" s="206"/>
    </row>
    <row r="1546" spans="5:6">
      <c r="E1546" s="206"/>
      <c r="F1546" s="206"/>
    </row>
    <row r="1547" spans="5:6">
      <c r="E1547" s="206"/>
      <c r="F1547" s="206"/>
    </row>
    <row r="1548" spans="5:6">
      <c r="E1548" s="206"/>
      <c r="F1548" s="206"/>
    </row>
    <row r="1549" spans="5:6">
      <c r="E1549" s="206"/>
      <c r="F1549" s="206"/>
    </row>
    <row r="1550" spans="5:6">
      <c r="E1550" s="206"/>
      <c r="F1550" s="206"/>
    </row>
    <row r="1551" spans="5:6">
      <c r="E1551" s="206"/>
      <c r="F1551" s="206"/>
    </row>
    <row r="1552" spans="5:6">
      <c r="E1552" s="206"/>
      <c r="F1552" s="206"/>
    </row>
    <row r="1553" spans="5:6">
      <c r="E1553" s="206"/>
      <c r="F1553" s="206"/>
    </row>
    <row r="1554" spans="5:6">
      <c r="E1554" s="206"/>
      <c r="F1554" s="206"/>
    </row>
    <row r="1555" spans="5:6">
      <c r="E1555" s="206"/>
      <c r="F1555" s="206"/>
    </row>
    <row r="1556" spans="5:6">
      <c r="E1556" s="206"/>
      <c r="F1556" s="206"/>
    </row>
    <row r="1557" spans="5:6">
      <c r="E1557" s="206"/>
      <c r="F1557" s="206"/>
    </row>
    <row r="1558" spans="5:6">
      <c r="E1558" s="206"/>
      <c r="F1558" s="206"/>
    </row>
    <row r="1559" spans="5:6">
      <c r="E1559" s="206"/>
      <c r="F1559" s="206"/>
    </row>
    <row r="1560" spans="5:6">
      <c r="E1560" s="206"/>
      <c r="F1560" s="206"/>
    </row>
    <row r="1561" spans="5:6">
      <c r="E1561" s="206"/>
      <c r="F1561" s="206"/>
    </row>
    <row r="1562" spans="5:6">
      <c r="E1562" s="206"/>
      <c r="F1562" s="206"/>
    </row>
    <row r="1563" spans="5:6">
      <c r="E1563" s="206"/>
      <c r="F1563" s="206"/>
    </row>
    <row r="1564" spans="5:6">
      <c r="E1564" s="206"/>
      <c r="F1564" s="206"/>
    </row>
    <row r="1565" spans="5:6">
      <c r="E1565" s="206"/>
      <c r="F1565" s="206"/>
    </row>
    <row r="1566" spans="5:6">
      <c r="E1566" s="206"/>
      <c r="F1566" s="206"/>
    </row>
    <row r="1567" spans="5:6">
      <c r="E1567" s="206"/>
      <c r="F1567" s="206"/>
    </row>
    <row r="1568" spans="5:6">
      <c r="E1568" s="206"/>
      <c r="F1568" s="206"/>
    </row>
    <row r="1569" spans="5:6">
      <c r="E1569" s="206"/>
      <c r="F1569" s="206"/>
    </row>
    <row r="1570" spans="5:6">
      <c r="E1570" s="206"/>
      <c r="F1570" s="206"/>
    </row>
    <row r="1571" spans="5:6">
      <c r="E1571" s="206"/>
      <c r="F1571" s="206"/>
    </row>
    <row r="1572" spans="5:6">
      <c r="E1572" s="206"/>
      <c r="F1572" s="206"/>
    </row>
    <row r="1573" spans="5:6">
      <c r="E1573" s="206"/>
      <c r="F1573" s="206"/>
    </row>
    <row r="1574" spans="5:6">
      <c r="E1574" s="206"/>
      <c r="F1574" s="206"/>
    </row>
    <row r="1575" spans="5:6">
      <c r="E1575" s="206"/>
      <c r="F1575" s="206"/>
    </row>
    <row r="1576" spans="5:6">
      <c r="E1576" s="206"/>
      <c r="F1576" s="206"/>
    </row>
    <row r="1577" spans="5:6">
      <c r="E1577" s="206"/>
      <c r="F1577" s="206"/>
    </row>
    <row r="1578" spans="5:6">
      <c r="E1578" s="206"/>
      <c r="F1578" s="206"/>
    </row>
    <row r="1579" spans="5:6">
      <c r="E1579" s="206"/>
      <c r="F1579" s="206"/>
    </row>
    <row r="1580" spans="5:6">
      <c r="E1580" s="206"/>
      <c r="F1580" s="206"/>
    </row>
    <row r="1581" spans="5:6">
      <c r="E1581" s="206"/>
      <c r="F1581" s="206"/>
    </row>
    <row r="1582" spans="5:6">
      <c r="E1582" s="206"/>
      <c r="F1582" s="206"/>
    </row>
    <row r="1583" spans="5:6">
      <c r="E1583" s="206"/>
      <c r="F1583" s="206"/>
    </row>
    <row r="1584" spans="5:6">
      <c r="E1584" s="206"/>
      <c r="F1584" s="206"/>
    </row>
    <row r="1585" spans="5:6">
      <c r="E1585" s="206"/>
      <c r="F1585" s="206"/>
    </row>
    <row r="1586" spans="5:6">
      <c r="E1586" s="206"/>
      <c r="F1586" s="206"/>
    </row>
    <row r="1587" spans="5:6">
      <c r="E1587" s="206"/>
      <c r="F1587" s="206"/>
    </row>
    <row r="1588" spans="5:6">
      <c r="E1588" s="206"/>
      <c r="F1588" s="206"/>
    </row>
    <row r="1589" spans="5:6">
      <c r="E1589" s="206"/>
      <c r="F1589" s="206"/>
    </row>
    <row r="1590" spans="5:6">
      <c r="E1590" s="206"/>
      <c r="F1590" s="206"/>
    </row>
    <row r="1591" spans="5:6">
      <c r="E1591" s="206"/>
      <c r="F1591" s="206"/>
    </row>
    <row r="1592" spans="5:6">
      <c r="E1592" s="206"/>
      <c r="F1592" s="206"/>
    </row>
    <row r="1593" spans="5:6">
      <c r="E1593" s="206"/>
      <c r="F1593" s="206"/>
    </row>
    <row r="1594" spans="5:6">
      <c r="E1594" s="206"/>
      <c r="F1594" s="206"/>
    </row>
    <row r="1595" spans="5:6">
      <c r="E1595" s="206"/>
      <c r="F1595" s="206"/>
    </row>
    <row r="1596" spans="5:6">
      <c r="E1596" s="206"/>
      <c r="F1596" s="206"/>
    </row>
    <row r="1597" spans="5:6">
      <c r="E1597" s="206"/>
      <c r="F1597" s="206"/>
    </row>
    <row r="1598" spans="5:6">
      <c r="E1598" s="206"/>
      <c r="F1598" s="206"/>
    </row>
    <row r="1599" spans="5:6">
      <c r="E1599" s="206"/>
      <c r="F1599" s="206"/>
    </row>
    <row r="1600" spans="5:6">
      <c r="E1600" s="206"/>
      <c r="F1600" s="206"/>
    </row>
    <row r="1601" spans="5:6">
      <c r="E1601" s="206"/>
      <c r="F1601" s="206"/>
    </row>
    <row r="1602" spans="5:6">
      <c r="E1602" s="206"/>
      <c r="F1602" s="206"/>
    </row>
    <row r="1603" spans="5:6">
      <c r="E1603" s="206"/>
      <c r="F1603" s="206"/>
    </row>
    <row r="1604" spans="5:6">
      <c r="E1604" s="206"/>
      <c r="F1604" s="206"/>
    </row>
    <row r="1605" spans="5:6">
      <c r="E1605" s="206"/>
      <c r="F1605" s="206"/>
    </row>
    <row r="1606" spans="5:6">
      <c r="E1606" s="206"/>
      <c r="F1606" s="206"/>
    </row>
    <row r="1607" spans="5:6">
      <c r="E1607" s="206"/>
      <c r="F1607" s="206"/>
    </row>
    <row r="1608" spans="5:6">
      <c r="E1608" s="206"/>
      <c r="F1608" s="206"/>
    </row>
    <row r="1609" spans="5:6">
      <c r="E1609" s="206"/>
      <c r="F1609" s="206"/>
    </row>
    <row r="1610" spans="5:6">
      <c r="E1610" s="206"/>
      <c r="F1610" s="206"/>
    </row>
    <row r="1611" spans="5:6">
      <c r="E1611" s="206"/>
      <c r="F1611" s="206"/>
    </row>
    <row r="1612" spans="5:6">
      <c r="E1612" s="206"/>
      <c r="F1612" s="206"/>
    </row>
    <row r="1613" spans="5:6">
      <c r="E1613" s="206"/>
      <c r="F1613" s="206"/>
    </row>
    <row r="1614" spans="5:6">
      <c r="E1614" s="206"/>
      <c r="F1614" s="206"/>
    </row>
    <row r="1615" spans="5:6">
      <c r="E1615" s="206"/>
      <c r="F1615" s="206"/>
    </row>
    <row r="1616" spans="5:6">
      <c r="E1616" s="206"/>
      <c r="F1616" s="206"/>
    </row>
    <row r="1617" spans="5:6">
      <c r="E1617" s="206"/>
      <c r="F1617" s="206"/>
    </row>
    <row r="1618" spans="5:6">
      <c r="E1618" s="206"/>
      <c r="F1618" s="206"/>
    </row>
    <row r="1619" spans="5:6">
      <c r="E1619" s="206"/>
      <c r="F1619" s="206"/>
    </row>
    <row r="1620" spans="5:6">
      <c r="E1620" s="206"/>
      <c r="F1620" s="206"/>
    </row>
    <row r="1621" spans="5:6">
      <c r="E1621" s="206"/>
      <c r="F1621" s="206"/>
    </row>
    <row r="1622" spans="5:6">
      <c r="E1622" s="206"/>
      <c r="F1622" s="206"/>
    </row>
    <row r="1623" spans="5:6">
      <c r="E1623" s="206"/>
      <c r="F1623" s="206"/>
    </row>
    <row r="1624" spans="5:6">
      <c r="E1624" s="206"/>
      <c r="F1624" s="206"/>
    </row>
    <row r="1625" spans="5:6">
      <c r="E1625" s="206"/>
      <c r="F1625" s="206"/>
    </row>
    <row r="1626" spans="5:6">
      <c r="E1626" s="206"/>
      <c r="F1626" s="206"/>
    </row>
    <row r="1627" spans="5:6">
      <c r="E1627" s="206"/>
      <c r="F1627" s="206"/>
    </row>
    <row r="1628" spans="5:6">
      <c r="E1628" s="206"/>
      <c r="F1628" s="206"/>
    </row>
    <row r="1629" spans="5:6">
      <c r="E1629" s="206"/>
      <c r="F1629" s="206"/>
    </row>
    <row r="1630" spans="5:6">
      <c r="E1630" s="206"/>
      <c r="F1630" s="206"/>
    </row>
    <row r="1631" spans="5:6">
      <c r="E1631" s="206"/>
      <c r="F1631" s="206"/>
    </row>
    <row r="1632" spans="5:6">
      <c r="E1632" s="206"/>
      <c r="F1632" s="206"/>
    </row>
    <row r="1633" spans="5:6">
      <c r="E1633" s="206"/>
      <c r="F1633" s="206"/>
    </row>
    <row r="1634" spans="5:6">
      <c r="E1634" s="206"/>
      <c r="F1634" s="206"/>
    </row>
    <row r="1635" spans="5:6">
      <c r="E1635" s="206"/>
      <c r="F1635" s="206"/>
    </row>
    <row r="1636" spans="5:6">
      <c r="E1636" s="206"/>
      <c r="F1636" s="206"/>
    </row>
    <row r="1637" spans="5:6">
      <c r="E1637" s="206"/>
      <c r="F1637" s="206"/>
    </row>
    <row r="1638" spans="5:6">
      <c r="E1638" s="206"/>
      <c r="F1638" s="206"/>
    </row>
    <row r="1639" spans="5:6">
      <c r="E1639" s="206"/>
      <c r="F1639" s="206"/>
    </row>
    <row r="1640" spans="5:6">
      <c r="E1640" s="206"/>
      <c r="F1640" s="206"/>
    </row>
    <row r="1641" spans="5:6">
      <c r="E1641" s="206"/>
      <c r="F1641" s="206"/>
    </row>
    <row r="1642" spans="5:6">
      <c r="E1642" s="206"/>
      <c r="F1642" s="206"/>
    </row>
    <row r="1643" spans="5:6">
      <c r="E1643" s="206"/>
      <c r="F1643" s="206"/>
    </row>
    <row r="1644" spans="5:6">
      <c r="E1644" s="206"/>
      <c r="F1644" s="206"/>
    </row>
    <row r="1645" spans="5:6">
      <c r="E1645" s="206"/>
      <c r="F1645" s="206"/>
    </row>
    <row r="1646" spans="5:6">
      <c r="E1646" s="206"/>
      <c r="F1646" s="206"/>
    </row>
    <row r="1647" spans="5:6">
      <c r="E1647" s="206"/>
      <c r="F1647" s="206"/>
    </row>
    <row r="1648" spans="5:6">
      <c r="E1648" s="206"/>
      <c r="F1648" s="206"/>
    </row>
    <row r="1649" spans="5:6">
      <c r="E1649" s="206"/>
      <c r="F1649" s="206"/>
    </row>
    <row r="1650" spans="5:6">
      <c r="E1650" s="206"/>
      <c r="F1650" s="206"/>
    </row>
    <row r="1651" spans="5:6">
      <c r="E1651" s="206"/>
      <c r="F1651" s="206"/>
    </row>
    <row r="1652" spans="5:6">
      <c r="E1652" s="206"/>
      <c r="F1652" s="206"/>
    </row>
    <row r="1653" spans="5:6">
      <c r="E1653" s="206"/>
      <c r="F1653" s="206"/>
    </row>
    <row r="1654" spans="5:6">
      <c r="E1654" s="206"/>
      <c r="F1654" s="206"/>
    </row>
    <row r="1655" spans="5:6">
      <c r="E1655" s="206"/>
      <c r="F1655" s="206"/>
    </row>
    <row r="1656" spans="5:6">
      <c r="E1656" s="206"/>
      <c r="F1656" s="206"/>
    </row>
    <row r="1657" spans="5:6">
      <c r="E1657" s="206"/>
      <c r="F1657" s="206"/>
    </row>
    <row r="1658" spans="5:6">
      <c r="E1658" s="206"/>
      <c r="F1658" s="206"/>
    </row>
    <row r="1659" spans="5:6">
      <c r="E1659" s="206"/>
      <c r="F1659" s="206"/>
    </row>
    <row r="1660" spans="5:6">
      <c r="E1660" s="206"/>
      <c r="F1660" s="206"/>
    </row>
    <row r="1661" spans="5:6">
      <c r="E1661" s="206"/>
      <c r="F1661" s="206"/>
    </row>
    <row r="1662" spans="5:6">
      <c r="E1662" s="206"/>
      <c r="F1662" s="206"/>
    </row>
    <row r="1663" spans="5:6">
      <c r="E1663" s="206"/>
      <c r="F1663" s="206"/>
    </row>
    <row r="1664" spans="5:6">
      <c r="E1664" s="206"/>
      <c r="F1664" s="206"/>
    </row>
    <row r="1665" spans="5:6">
      <c r="E1665" s="206"/>
      <c r="F1665" s="206"/>
    </row>
    <row r="1666" spans="5:6">
      <c r="E1666" s="206"/>
      <c r="F1666" s="206"/>
    </row>
    <row r="1667" spans="5:6">
      <c r="E1667" s="206"/>
      <c r="F1667" s="206"/>
    </row>
    <row r="1668" spans="5:6">
      <c r="E1668" s="206"/>
      <c r="F1668" s="206"/>
    </row>
    <row r="1669" spans="5:6">
      <c r="E1669" s="206"/>
      <c r="F1669" s="206"/>
    </row>
    <row r="1670" spans="5:6">
      <c r="E1670" s="206"/>
      <c r="F1670" s="206"/>
    </row>
    <row r="1671" spans="5:6">
      <c r="E1671" s="206"/>
      <c r="F1671" s="206"/>
    </row>
    <row r="1672" spans="5:6">
      <c r="E1672" s="206"/>
      <c r="F1672" s="206"/>
    </row>
    <row r="1673" spans="5:6">
      <c r="E1673" s="206"/>
      <c r="F1673" s="206"/>
    </row>
    <row r="1674" spans="5:6">
      <c r="E1674" s="206"/>
      <c r="F1674" s="206"/>
    </row>
    <row r="1675" spans="5:6">
      <c r="E1675" s="206"/>
      <c r="F1675" s="206"/>
    </row>
    <row r="1676" spans="5:6">
      <c r="E1676" s="206"/>
      <c r="F1676" s="206"/>
    </row>
    <row r="1677" spans="5:6">
      <c r="E1677" s="206"/>
      <c r="F1677" s="206"/>
    </row>
    <row r="1678" spans="5:6">
      <c r="E1678" s="206"/>
      <c r="F1678" s="206"/>
    </row>
    <row r="1679" spans="5:6">
      <c r="E1679" s="206"/>
      <c r="F1679" s="206"/>
    </row>
    <row r="1680" spans="5:6">
      <c r="E1680" s="206"/>
      <c r="F1680" s="206"/>
    </row>
    <row r="1681" spans="5:6">
      <c r="E1681" s="206"/>
      <c r="F1681" s="206"/>
    </row>
    <row r="1682" spans="5:6">
      <c r="E1682" s="206"/>
      <c r="F1682" s="206"/>
    </row>
    <row r="1683" spans="5:6">
      <c r="E1683" s="206"/>
      <c r="F1683" s="206"/>
    </row>
    <row r="1684" spans="5:6">
      <c r="E1684" s="206"/>
      <c r="F1684" s="206"/>
    </row>
    <row r="1685" spans="5:6">
      <c r="E1685" s="206"/>
      <c r="F1685" s="206"/>
    </row>
    <row r="1686" spans="5:6">
      <c r="E1686" s="206"/>
      <c r="F1686" s="206"/>
    </row>
    <row r="1687" spans="5:6">
      <c r="E1687" s="206"/>
      <c r="F1687" s="206"/>
    </row>
    <row r="1688" spans="5:6">
      <c r="E1688" s="206"/>
      <c r="F1688" s="206"/>
    </row>
    <row r="1689" spans="5:6">
      <c r="E1689" s="206"/>
      <c r="F1689" s="206"/>
    </row>
    <row r="1690" spans="5:6">
      <c r="E1690" s="206"/>
      <c r="F1690" s="206"/>
    </row>
    <row r="1691" spans="5:6">
      <c r="E1691" s="206"/>
      <c r="F1691" s="206"/>
    </row>
    <row r="1692" spans="5:6">
      <c r="E1692" s="206"/>
      <c r="F1692" s="206"/>
    </row>
    <row r="1693" spans="5:6">
      <c r="E1693" s="206"/>
      <c r="F1693" s="206"/>
    </row>
    <row r="1694" spans="5:6">
      <c r="E1694" s="206"/>
      <c r="F1694" s="206"/>
    </row>
    <row r="1695" spans="5:6">
      <c r="E1695" s="206"/>
      <c r="F1695" s="206"/>
    </row>
    <row r="1696" spans="5:6">
      <c r="E1696" s="206"/>
      <c r="F1696" s="206"/>
    </row>
    <row r="1697" spans="5:6">
      <c r="E1697" s="206"/>
      <c r="F1697" s="206"/>
    </row>
    <row r="1698" spans="5:6">
      <c r="E1698" s="206"/>
      <c r="F1698" s="206"/>
    </row>
    <row r="1699" spans="5:6">
      <c r="E1699" s="206"/>
      <c r="F1699" s="206"/>
    </row>
    <row r="1700" spans="5:6">
      <c r="E1700" s="206"/>
      <c r="F1700" s="206"/>
    </row>
    <row r="1701" spans="5:6">
      <c r="E1701" s="206"/>
      <c r="F1701" s="206"/>
    </row>
    <row r="1702" spans="5:6">
      <c r="E1702" s="206"/>
      <c r="F1702" s="206"/>
    </row>
    <row r="1703" spans="5:6">
      <c r="E1703" s="206"/>
      <c r="F1703" s="206"/>
    </row>
    <row r="1704" spans="5:6">
      <c r="E1704" s="206"/>
      <c r="F1704" s="206"/>
    </row>
    <row r="1705" spans="5:6">
      <c r="E1705" s="206"/>
      <c r="F1705" s="206"/>
    </row>
    <row r="1706" spans="5:6">
      <c r="E1706" s="206"/>
      <c r="F1706" s="206"/>
    </row>
    <row r="1707" spans="5:6">
      <c r="E1707" s="206"/>
      <c r="F1707" s="206"/>
    </row>
    <row r="1708" spans="5:6">
      <c r="E1708" s="206"/>
      <c r="F1708" s="206"/>
    </row>
    <row r="1709" spans="5:6">
      <c r="E1709" s="206"/>
      <c r="F1709" s="206"/>
    </row>
    <row r="1710" spans="5:6">
      <c r="E1710" s="206"/>
      <c r="F1710" s="206"/>
    </row>
    <row r="1711" spans="5:6">
      <c r="E1711" s="206"/>
      <c r="F1711" s="206"/>
    </row>
    <row r="1712" spans="5:6">
      <c r="E1712" s="206"/>
      <c r="F1712" s="206"/>
    </row>
    <row r="1713" spans="5:6">
      <c r="E1713" s="206"/>
      <c r="F1713" s="206"/>
    </row>
    <row r="1714" spans="5:6">
      <c r="E1714" s="206"/>
      <c r="F1714" s="206"/>
    </row>
    <row r="1715" spans="5:6">
      <c r="E1715" s="206"/>
      <c r="F1715" s="206"/>
    </row>
    <row r="1716" spans="5:6">
      <c r="E1716" s="206"/>
      <c r="F1716" s="206"/>
    </row>
    <row r="1717" spans="5:6">
      <c r="E1717" s="206"/>
      <c r="F1717" s="206"/>
    </row>
    <row r="1718" spans="5:6">
      <c r="E1718" s="206"/>
      <c r="F1718" s="206"/>
    </row>
    <row r="1719" spans="5:6">
      <c r="E1719" s="206"/>
      <c r="F1719" s="206"/>
    </row>
    <row r="1720" spans="5:6">
      <c r="E1720" s="206"/>
      <c r="F1720" s="206"/>
    </row>
    <row r="1721" spans="5:6">
      <c r="E1721" s="206"/>
      <c r="F1721" s="206"/>
    </row>
    <row r="1722" spans="5:6">
      <c r="E1722" s="206"/>
      <c r="F1722" s="206"/>
    </row>
    <row r="1723" spans="5:6">
      <c r="E1723" s="206"/>
      <c r="F1723" s="206"/>
    </row>
    <row r="1724" spans="5:6">
      <c r="E1724" s="206"/>
      <c r="F1724" s="206"/>
    </row>
    <row r="1725" spans="5:6">
      <c r="E1725" s="206"/>
      <c r="F1725" s="206"/>
    </row>
    <row r="1726" spans="5:6">
      <c r="E1726" s="206"/>
      <c r="F1726" s="206"/>
    </row>
    <row r="1727" spans="5:6">
      <c r="E1727" s="206"/>
      <c r="F1727" s="206"/>
    </row>
    <row r="1728" spans="5:6">
      <c r="E1728" s="206"/>
      <c r="F1728" s="206"/>
    </row>
    <row r="1729" spans="5:6">
      <c r="E1729" s="206"/>
      <c r="F1729" s="206"/>
    </row>
    <row r="1730" spans="5:6">
      <c r="E1730" s="206"/>
      <c r="F1730" s="206"/>
    </row>
    <row r="1731" spans="5:6">
      <c r="E1731" s="206"/>
      <c r="F1731" s="206"/>
    </row>
    <row r="1732" spans="5:6">
      <c r="E1732" s="206"/>
      <c r="F1732" s="206"/>
    </row>
    <row r="1733" spans="5:6">
      <c r="E1733" s="206"/>
      <c r="F1733" s="206"/>
    </row>
    <row r="1734" spans="5:6">
      <c r="E1734" s="206"/>
      <c r="F1734" s="206"/>
    </row>
    <row r="1735" spans="5:6">
      <c r="E1735" s="206"/>
      <c r="F1735" s="206"/>
    </row>
    <row r="1736" spans="5:6">
      <c r="E1736" s="206"/>
      <c r="F1736" s="206"/>
    </row>
    <row r="1737" spans="5:6">
      <c r="E1737" s="206"/>
      <c r="F1737" s="206"/>
    </row>
    <row r="1738" spans="5:6">
      <c r="E1738" s="206"/>
      <c r="F1738" s="206"/>
    </row>
    <row r="1739" spans="5:6">
      <c r="E1739" s="206"/>
      <c r="F1739" s="206"/>
    </row>
    <row r="1740" spans="5:6">
      <c r="E1740" s="206"/>
      <c r="F1740" s="206"/>
    </row>
    <row r="1741" spans="5:6">
      <c r="E1741" s="206"/>
      <c r="F1741" s="206"/>
    </row>
    <row r="1742" spans="5:6">
      <c r="E1742" s="206"/>
      <c r="F1742" s="206"/>
    </row>
    <row r="1743" spans="5:6">
      <c r="E1743" s="206"/>
      <c r="F1743" s="206"/>
    </row>
    <row r="1744" spans="5:6">
      <c r="E1744" s="206"/>
      <c r="F1744" s="206"/>
    </row>
    <row r="1745" spans="5:6">
      <c r="E1745" s="206"/>
      <c r="F1745" s="206"/>
    </row>
    <row r="1746" spans="5:6">
      <c r="E1746" s="206"/>
      <c r="F1746" s="206"/>
    </row>
    <row r="1747" spans="5:6">
      <c r="E1747" s="206"/>
      <c r="F1747" s="206"/>
    </row>
    <row r="1748" spans="5:6">
      <c r="E1748" s="206"/>
      <c r="F1748" s="206"/>
    </row>
    <row r="1749" spans="5:6">
      <c r="E1749" s="206"/>
      <c r="F1749" s="206"/>
    </row>
    <row r="1750" spans="5:6">
      <c r="E1750" s="206"/>
      <c r="F1750" s="206"/>
    </row>
    <row r="1751" spans="5:6">
      <c r="E1751" s="206"/>
      <c r="F1751" s="206"/>
    </row>
    <row r="1752" spans="5:6">
      <c r="E1752" s="206"/>
      <c r="F1752" s="206"/>
    </row>
    <row r="1753" spans="5:6">
      <c r="E1753" s="206"/>
      <c r="F1753" s="206"/>
    </row>
    <row r="1754" spans="5:6">
      <c r="E1754" s="206"/>
      <c r="F1754" s="206"/>
    </row>
    <row r="1755" spans="5:6">
      <c r="E1755" s="206"/>
      <c r="F1755" s="206"/>
    </row>
    <row r="1756" spans="5:6">
      <c r="E1756" s="206"/>
      <c r="F1756" s="206"/>
    </row>
    <row r="1757" spans="5:6">
      <c r="E1757" s="206"/>
      <c r="F1757" s="206"/>
    </row>
    <row r="1758" spans="5:6">
      <c r="E1758" s="206"/>
      <c r="F1758" s="206"/>
    </row>
    <row r="1759" spans="5:6">
      <c r="E1759" s="206"/>
      <c r="F1759" s="206"/>
    </row>
    <row r="1760" spans="5:6">
      <c r="E1760" s="206"/>
      <c r="F1760" s="206"/>
    </row>
    <row r="1761" spans="5:6">
      <c r="E1761" s="206"/>
      <c r="F1761" s="206"/>
    </row>
    <row r="1762" spans="5:6">
      <c r="E1762" s="206"/>
      <c r="F1762" s="206"/>
    </row>
    <row r="1763" spans="5:6">
      <c r="E1763" s="206"/>
      <c r="F1763" s="206"/>
    </row>
    <row r="1764" spans="5:6">
      <c r="E1764" s="206"/>
      <c r="F1764" s="206"/>
    </row>
    <row r="1765" spans="5:6">
      <c r="E1765" s="206"/>
      <c r="F1765" s="206"/>
    </row>
    <row r="1766" spans="5:6">
      <c r="E1766" s="206"/>
      <c r="F1766" s="206"/>
    </row>
    <row r="1767" spans="5:6">
      <c r="E1767" s="206"/>
      <c r="F1767" s="206"/>
    </row>
    <row r="1768" spans="5:6">
      <c r="E1768" s="206"/>
      <c r="F1768" s="206"/>
    </row>
    <row r="1769" spans="5:6">
      <c r="E1769" s="206"/>
      <c r="F1769" s="206"/>
    </row>
    <row r="1770" spans="5:6">
      <c r="E1770" s="206"/>
      <c r="F1770" s="206"/>
    </row>
    <row r="1771" spans="5:6">
      <c r="E1771" s="206"/>
      <c r="F1771" s="206"/>
    </row>
    <row r="1772" spans="5:6">
      <c r="E1772" s="206"/>
      <c r="F1772" s="206"/>
    </row>
    <row r="1773" spans="5:6">
      <c r="E1773" s="206"/>
      <c r="F1773" s="206"/>
    </row>
    <row r="1774" spans="5:6">
      <c r="E1774" s="206"/>
      <c r="F1774" s="206"/>
    </row>
    <row r="1775" spans="5:6">
      <c r="E1775" s="206"/>
      <c r="F1775" s="206"/>
    </row>
    <row r="1776" spans="5:6">
      <c r="E1776" s="206"/>
      <c r="F1776" s="206"/>
    </row>
    <row r="1777" spans="5:6">
      <c r="E1777" s="206"/>
      <c r="F1777" s="206"/>
    </row>
    <row r="1778" spans="5:6">
      <c r="E1778" s="206"/>
      <c r="F1778" s="206"/>
    </row>
    <row r="1779" spans="5:6">
      <c r="E1779" s="206"/>
      <c r="F1779" s="206"/>
    </row>
    <row r="1780" spans="5:6">
      <c r="E1780" s="206"/>
      <c r="F1780" s="206"/>
    </row>
    <row r="1781" spans="5:6">
      <c r="E1781" s="206"/>
      <c r="F1781" s="206"/>
    </row>
    <row r="1782" spans="5:6">
      <c r="E1782" s="206"/>
      <c r="F1782" s="206"/>
    </row>
    <row r="1783" spans="5:6">
      <c r="E1783" s="206"/>
      <c r="F1783" s="206"/>
    </row>
    <row r="1784" spans="5:6">
      <c r="E1784" s="206"/>
      <c r="F1784" s="206"/>
    </row>
    <row r="1785" spans="5:6">
      <c r="E1785" s="206"/>
      <c r="F1785" s="206"/>
    </row>
    <row r="1786" spans="5:6">
      <c r="E1786" s="206"/>
      <c r="F1786" s="206"/>
    </row>
    <row r="1787" spans="5:6">
      <c r="E1787" s="206"/>
      <c r="F1787" s="206"/>
    </row>
    <row r="1788" spans="5:6">
      <c r="E1788" s="206"/>
      <c r="F1788" s="206"/>
    </row>
    <row r="1789" spans="5:6">
      <c r="E1789" s="206"/>
      <c r="F1789" s="206"/>
    </row>
    <row r="1790" spans="5:6">
      <c r="E1790" s="206"/>
      <c r="F1790" s="206"/>
    </row>
    <row r="1791" spans="5:6">
      <c r="E1791" s="206"/>
      <c r="F1791" s="206"/>
    </row>
    <row r="1792" spans="5:6">
      <c r="E1792" s="206"/>
      <c r="F1792" s="206"/>
    </row>
    <row r="1793" spans="5:6">
      <c r="E1793" s="206"/>
      <c r="F1793" s="206"/>
    </row>
    <row r="1794" spans="5:6">
      <c r="E1794" s="206"/>
      <c r="F1794" s="206"/>
    </row>
    <row r="1795" spans="5:6">
      <c r="E1795" s="206"/>
      <c r="F1795" s="206"/>
    </row>
    <row r="1796" spans="5:6">
      <c r="E1796" s="206"/>
      <c r="F1796" s="206"/>
    </row>
    <row r="1797" spans="5:6">
      <c r="E1797" s="206"/>
      <c r="F1797" s="206"/>
    </row>
    <row r="1798" spans="5:6">
      <c r="E1798" s="206"/>
      <c r="F1798" s="206"/>
    </row>
    <row r="1799" spans="5:6">
      <c r="E1799" s="206"/>
      <c r="F1799" s="206"/>
    </row>
    <row r="1800" spans="5:6">
      <c r="E1800" s="206"/>
      <c r="F1800" s="206"/>
    </row>
    <row r="1801" spans="5:6">
      <c r="E1801" s="206"/>
      <c r="F1801" s="206"/>
    </row>
    <row r="1802" spans="5:6">
      <c r="E1802" s="206"/>
      <c r="F1802" s="206"/>
    </row>
    <row r="1803" spans="5:6">
      <c r="E1803" s="206"/>
      <c r="F1803" s="206"/>
    </row>
    <row r="1804" spans="5:6">
      <c r="E1804" s="206"/>
      <c r="F1804" s="206"/>
    </row>
    <row r="1805" spans="5:6">
      <c r="E1805" s="206"/>
      <c r="F1805" s="206"/>
    </row>
    <row r="1806" spans="5:6">
      <c r="E1806" s="206"/>
      <c r="F1806" s="206"/>
    </row>
    <row r="1807" spans="5:6">
      <c r="E1807" s="206"/>
      <c r="F1807" s="206"/>
    </row>
    <row r="1808" spans="5:6">
      <c r="E1808" s="206"/>
      <c r="F1808" s="206"/>
    </row>
    <row r="1809" spans="5:6">
      <c r="E1809" s="206"/>
      <c r="F1809" s="206"/>
    </row>
    <row r="1810" spans="5:6">
      <c r="E1810" s="206"/>
      <c r="F1810" s="206"/>
    </row>
    <row r="1811" spans="5:6">
      <c r="E1811" s="206"/>
      <c r="F1811" s="206"/>
    </row>
    <row r="1812" spans="5:6">
      <c r="E1812" s="206"/>
      <c r="F1812" s="206"/>
    </row>
    <row r="1813" spans="5:6">
      <c r="E1813" s="206"/>
      <c r="F1813" s="206"/>
    </row>
    <row r="1814" spans="5:6">
      <c r="E1814" s="206"/>
      <c r="F1814" s="206"/>
    </row>
    <row r="1815" spans="5:6">
      <c r="E1815" s="206"/>
      <c r="F1815" s="206"/>
    </row>
    <row r="1816" spans="5:6">
      <c r="E1816" s="206"/>
      <c r="F1816" s="206"/>
    </row>
    <row r="1817" spans="5:6">
      <c r="E1817" s="206"/>
      <c r="F1817" s="206"/>
    </row>
    <row r="1818" spans="5:6">
      <c r="E1818" s="206"/>
      <c r="F1818" s="206"/>
    </row>
    <row r="1819" spans="5:6">
      <c r="E1819" s="206"/>
      <c r="F1819" s="206"/>
    </row>
    <row r="1820" spans="5:6">
      <c r="E1820" s="206"/>
      <c r="F1820" s="206"/>
    </row>
    <row r="1821" spans="5:6">
      <c r="E1821" s="206"/>
      <c r="F1821" s="206"/>
    </row>
    <row r="1822" spans="5:6">
      <c r="E1822" s="206"/>
      <c r="F1822" s="206"/>
    </row>
    <row r="1823" spans="5:6">
      <c r="E1823" s="206"/>
      <c r="F1823" s="206"/>
    </row>
    <row r="1824" spans="5:6">
      <c r="E1824" s="206"/>
      <c r="F1824" s="206"/>
    </row>
    <row r="1825" spans="5:6">
      <c r="E1825" s="206"/>
      <c r="F1825" s="206"/>
    </row>
    <row r="1826" spans="5:6">
      <c r="E1826" s="206"/>
      <c r="F1826" s="206"/>
    </row>
    <row r="1827" spans="5:6">
      <c r="E1827" s="206"/>
      <c r="F1827" s="206"/>
    </row>
    <row r="1828" spans="5:6">
      <c r="E1828" s="206"/>
      <c r="F1828" s="206"/>
    </row>
    <row r="1829" spans="5:6">
      <c r="E1829" s="206"/>
      <c r="F1829" s="206"/>
    </row>
    <row r="1830" spans="5:6">
      <c r="E1830" s="206"/>
      <c r="F1830" s="206"/>
    </row>
    <row r="1831" spans="5:6">
      <c r="E1831" s="206"/>
      <c r="F1831" s="206"/>
    </row>
    <row r="1832" spans="5:6">
      <c r="E1832" s="206"/>
      <c r="F1832" s="206"/>
    </row>
    <row r="1833" spans="5:6">
      <c r="E1833" s="206"/>
      <c r="F1833" s="206"/>
    </row>
    <row r="1834" spans="5:6">
      <c r="E1834" s="206"/>
      <c r="F1834" s="206"/>
    </row>
    <row r="1835" spans="5:6">
      <c r="E1835" s="206"/>
      <c r="F1835" s="206"/>
    </row>
    <row r="1836" spans="5:6">
      <c r="E1836" s="206"/>
      <c r="F1836" s="206"/>
    </row>
    <row r="1837" spans="5:6">
      <c r="E1837" s="206"/>
      <c r="F1837" s="206"/>
    </row>
    <row r="1838" spans="5:6">
      <c r="E1838" s="206"/>
      <c r="F1838" s="206"/>
    </row>
    <row r="1839" spans="5:6">
      <c r="E1839" s="206"/>
      <c r="F1839" s="206"/>
    </row>
    <row r="1840" spans="5:6">
      <c r="E1840" s="206"/>
      <c r="F1840" s="206"/>
    </row>
    <row r="1841" spans="5:6">
      <c r="E1841" s="206"/>
      <c r="F1841" s="206"/>
    </row>
    <row r="1842" spans="5:6">
      <c r="E1842" s="206"/>
      <c r="F1842" s="206"/>
    </row>
    <row r="1843" spans="5:6">
      <c r="E1843" s="206"/>
      <c r="F1843" s="206"/>
    </row>
    <row r="1844" spans="5:6">
      <c r="E1844" s="206"/>
      <c r="F1844" s="206"/>
    </row>
    <row r="1845" spans="5:6">
      <c r="E1845" s="206"/>
      <c r="F1845" s="206"/>
    </row>
    <row r="1846" spans="5:6">
      <c r="E1846" s="206"/>
      <c r="F1846" s="206"/>
    </row>
    <row r="1847" spans="5:6">
      <c r="E1847" s="206"/>
      <c r="F1847" s="206"/>
    </row>
    <row r="1848" spans="5:6">
      <c r="E1848" s="206"/>
      <c r="F1848" s="206"/>
    </row>
    <row r="1849" spans="5:6">
      <c r="E1849" s="206"/>
      <c r="F1849" s="206"/>
    </row>
    <row r="1850" spans="5:6">
      <c r="E1850" s="206"/>
      <c r="F1850" s="206"/>
    </row>
    <row r="1851" spans="5:6">
      <c r="E1851" s="206"/>
      <c r="F1851" s="206"/>
    </row>
    <row r="1852" spans="5:6">
      <c r="E1852" s="206"/>
      <c r="F1852" s="206"/>
    </row>
    <row r="1853" spans="5:6">
      <c r="E1853" s="206"/>
      <c r="F1853" s="206"/>
    </row>
    <row r="1854" spans="5:6">
      <c r="E1854" s="206"/>
      <c r="F1854" s="206"/>
    </row>
    <row r="1855" spans="5:6">
      <c r="E1855" s="206"/>
      <c r="F1855" s="206"/>
    </row>
    <row r="1856" spans="5:6">
      <c r="E1856" s="206"/>
      <c r="F1856" s="206"/>
    </row>
    <row r="1857" spans="5:6">
      <c r="E1857" s="206"/>
      <c r="F1857" s="206"/>
    </row>
    <row r="1858" spans="5:6">
      <c r="E1858" s="206"/>
      <c r="F1858" s="206"/>
    </row>
    <row r="1859" spans="5:6">
      <c r="E1859" s="206"/>
      <c r="F1859" s="206"/>
    </row>
    <row r="1860" spans="5:6">
      <c r="E1860" s="206"/>
      <c r="F1860" s="206"/>
    </row>
    <row r="1861" spans="5:6">
      <c r="E1861" s="206"/>
      <c r="F1861" s="206"/>
    </row>
    <row r="1862" spans="5:6">
      <c r="E1862" s="206"/>
      <c r="F1862" s="206"/>
    </row>
    <row r="1863" spans="5:6">
      <c r="E1863" s="206"/>
      <c r="F1863" s="206"/>
    </row>
    <row r="1864" spans="5:6">
      <c r="E1864" s="206"/>
      <c r="F1864" s="206"/>
    </row>
    <row r="1865" spans="5:6">
      <c r="E1865" s="206"/>
      <c r="F1865" s="206"/>
    </row>
    <row r="1866" spans="5:6">
      <c r="E1866" s="206"/>
      <c r="F1866" s="206"/>
    </row>
    <row r="1867" spans="5:6">
      <c r="E1867" s="206"/>
      <c r="F1867" s="206"/>
    </row>
    <row r="1868" spans="5:6">
      <c r="E1868" s="206"/>
      <c r="F1868" s="206"/>
    </row>
    <row r="1869" spans="5:6">
      <c r="E1869" s="206"/>
      <c r="F1869" s="206"/>
    </row>
    <row r="1870" spans="5:6">
      <c r="E1870" s="206"/>
      <c r="F1870" s="206"/>
    </row>
    <row r="1871" spans="5:6">
      <c r="E1871" s="206"/>
      <c r="F1871" s="206"/>
    </row>
    <row r="1872" spans="5:6">
      <c r="E1872" s="206"/>
      <c r="F1872" s="206"/>
    </row>
    <row r="1873" spans="5:6">
      <c r="E1873" s="206"/>
      <c r="F1873" s="206"/>
    </row>
    <row r="1874" spans="5:6">
      <c r="E1874" s="206"/>
      <c r="F1874" s="206"/>
    </row>
    <row r="1875" spans="5:6">
      <c r="E1875" s="206"/>
      <c r="F1875" s="206"/>
    </row>
    <row r="1876" spans="5:6">
      <c r="E1876" s="206"/>
      <c r="F1876" s="206"/>
    </row>
    <row r="1877" spans="5:6">
      <c r="E1877" s="206"/>
      <c r="F1877" s="206"/>
    </row>
    <row r="1878" spans="5:6">
      <c r="E1878" s="206"/>
      <c r="F1878" s="206"/>
    </row>
    <row r="1879" spans="5:6">
      <c r="E1879" s="206"/>
      <c r="F1879" s="206"/>
    </row>
    <row r="1880" spans="5:6">
      <c r="E1880" s="206"/>
      <c r="F1880" s="206"/>
    </row>
    <row r="1881" spans="5:6">
      <c r="E1881" s="206"/>
      <c r="F1881" s="206"/>
    </row>
    <row r="1882" spans="5:6">
      <c r="E1882" s="206"/>
      <c r="F1882" s="206"/>
    </row>
    <row r="1883" spans="5:6">
      <c r="E1883" s="206"/>
      <c r="F1883" s="206"/>
    </row>
    <row r="1884" spans="5:6">
      <c r="E1884" s="206"/>
      <c r="F1884" s="206"/>
    </row>
    <row r="1885" spans="5:6">
      <c r="E1885" s="206"/>
      <c r="F1885" s="206"/>
    </row>
    <row r="1886" spans="5:6">
      <c r="E1886" s="206"/>
      <c r="F1886" s="206"/>
    </row>
    <row r="1887" spans="5:6">
      <c r="E1887" s="206"/>
      <c r="F1887" s="206"/>
    </row>
    <row r="1888" spans="5:6">
      <c r="E1888" s="206"/>
      <c r="F1888" s="206"/>
    </row>
    <row r="1889" spans="5:6">
      <c r="E1889" s="206"/>
      <c r="F1889" s="206"/>
    </row>
    <row r="1890" spans="5:6">
      <c r="E1890" s="206"/>
      <c r="F1890" s="206"/>
    </row>
    <row r="1891" spans="5:6">
      <c r="E1891" s="206"/>
      <c r="F1891" s="206"/>
    </row>
    <row r="1892" spans="5:6">
      <c r="E1892" s="206"/>
      <c r="F1892" s="206"/>
    </row>
    <row r="1893" spans="5:6">
      <c r="E1893" s="206"/>
      <c r="F1893" s="206"/>
    </row>
    <row r="1894" spans="5:6">
      <c r="E1894" s="206"/>
      <c r="F1894" s="206"/>
    </row>
    <row r="1895" spans="5:6">
      <c r="E1895" s="206"/>
      <c r="F1895" s="206"/>
    </row>
    <row r="1896" spans="5:6">
      <c r="E1896" s="206"/>
      <c r="F1896" s="206"/>
    </row>
    <row r="1897" spans="5:6">
      <c r="E1897" s="206"/>
      <c r="F1897" s="206"/>
    </row>
    <row r="1898" spans="5:6">
      <c r="E1898" s="206"/>
      <c r="F1898" s="206"/>
    </row>
    <row r="1899" spans="5:6">
      <c r="E1899" s="206"/>
      <c r="F1899" s="206"/>
    </row>
    <row r="1900" spans="5:6">
      <c r="E1900" s="206"/>
      <c r="F1900" s="206"/>
    </row>
    <row r="1901" spans="5:6">
      <c r="E1901" s="206"/>
      <c r="F1901" s="206"/>
    </row>
    <row r="1902" spans="5:6">
      <c r="E1902" s="206"/>
      <c r="F1902" s="206"/>
    </row>
    <row r="1903" spans="5:6">
      <c r="E1903" s="206"/>
      <c r="F1903" s="206"/>
    </row>
    <row r="1904" spans="5:6">
      <c r="E1904" s="206"/>
      <c r="F1904" s="206"/>
    </row>
    <row r="1905" spans="5:6">
      <c r="E1905" s="206"/>
      <c r="F1905" s="206"/>
    </row>
    <row r="1906" spans="5:6">
      <c r="E1906" s="206"/>
      <c r="F1906" s="206"/>
    </row>
    <row r="1907" spans="5:6">
      <c r="E1907" s="206"/>
      <c r="F1907" s="206"/>
    </row>
    <row r="1908" spans="5:6">
      <c r="E1908" s="206"/>
      <c r="F1908" s="206"/>
    </row>
    <row r="1909" spans="5:6">
      <c r="E1909" s="206"/>
      <c r="F1909" s="206"/>
    </row>
    <row r="1910" spans="5:6">
      <c r="E1910" s="206"/>
      <c r="F1910" s="206"/>
    </row>
    <row r="1911" spans="5:6">
      <c r="E1911" s="206"/>
      <c r="F1911" s="206"/>
    </row>
    <row r="1912" spans="5:6">
      <c r="E1912" s="206"/>
      <c r="F1912" s="206"/>
    </row>
    <row r="1913" spans="5:6">
      <c r="E1913" s="206"/>
      <c r="F1913" s="206"/>
    </row>
    <row r="1914" spans="5:6">
      <c r="E1914" s="206"/>
      <c r="F1914" s="206"/>
    </row>
    <row r="1915" spans="5:6">
      <c r="E1915" s="206"/>
      <c r="F1915" s="206"/>
    </row>
    <row r="1916" spans="5:6">
      <c r="E1916" s="206"/>
      <c r="F1916" s="206"/>
    </row>
    <row r="1917" spans="5:6">
      <c r="E1917" s="206"/>
      <c r="F1917" s="206"/>
    </row>
    <row r="1918" spans="5:6">
      <c r="E1918" s="206"/>
      <c r="F1918" s="206"/>
    </row>
    <row r="1919" spans="5:6">
      <c r="E1919" s="206"/>
      <c r="F1919" s="206"/>
    </row>
    <row r="1920" spans="5:6">
      <c r="E1920" s="206"/>
      <c r="F1920" s="206"/>
    </row>
    <row r="1921" spans="5:6">
      <c r="E1921" s="206"/>
      <c r="F1921" s="206"/>
    </row>
    <row r="1922" spans="5:6">
      <c r="E1922" s="206"/>
      <c r="F1922" s="206"/>
    </row>
    <row r="1923" spans="5:6">
      <c r="E1923" s="206"/>
      <c r="F1923" s="206"/>
    </row>
    <row r="1924" spans="5:6">
      <c r="E1924" s="206"/>
      <c r="F1924" s="206"/>
    </row>
    <row r="1925" spans="5:6">
      <c r="E1925" s="206"/>
      <c r="F1925" s="206"/>
    </row>
    <row r="1926" spans="5:6">
      <c r="E1926" s="206"/>
      <c r="F1926" s="206"/>
    </row>
    <row r="1927" spans="5:6">
      <c r="E1927" s="206"/>
      <c r="F1927" s="206"/>
    </row>
    <row r="1928" spans="5:6">
      <c r="E1928" s="206"/>
      <c r="F1928" s="206"/>
    </row>
    <row r="1929" spans="5:6">
      <c r="E1929" s="206"/>
      <c r="F1929" s="206"/>
    </row>
    <row r="1930" spans="5:6">
      <c r="E1930" s="206"/>
      <c r="F1930" s="206"/>
    </row>
    <row r="1931" spans="5:6">
      <c r="E1931" s="206"/>
      <c r="F1931" s="206"/>
    </row>
    <row r="1932" spans="5:6">
      <c r="E1932" s="206"/>
      <c r="F1932" s="206"/>
    </row>
    <row r="1933" spans="5:6">
      <c r="E1933" s="206"/>
      <c r="F1933" s="206"/>
    </row>
    <row r="1934" spans="5:6">
      <c r="E1934" s="206"/>
      <c r="F1934" s="206"/>
    </row>
    <row r="1935" spans="5:6">
      <c r="E1935" s="206"/>
      <c r="F1935" s="206"/>
    </row>
    <row r="1936" spans="5:6">
      <c r="E1936" s="206"/>
      <c r="F1936" s="206"/>
    </row>
    <row r="1937" spans="5:6">
      <c r="E1937" s="206"/>
      <c r="F1937" s="206"/>
    </row>
    <row r="1938" spans="5:6">
      <c r="E1938" s="206"/>
      <c r="F1938" s="206"/>
    </row>
    <row r="1939" spans="5:6">
      <c r="E1939" s="206"/>
      <c r="F1939" s="206"/>
    </row>
    <row r="1940" spans="5:6">
      <c r="E1940" s="206"/>
      <c r="F1940" s="206"/>
    </row>
    <row r="1941" spans="5:6">
      <c r="E1941" s="206"/>
      <c r="F1941" s="206"/>
    </row>
    <row r="1942" spans="5:6">
      <c r="E1942" s="206"/>
      <c r="F1942" s="206"/>
    </row>
    <row r="1943" spans="5:6">
      <c r="E1943" s="206"/>
      <c r="F1943" s="206"/>
    </row>
    <row r="1944" spans="5:6">
      <c r="E1944" s="206"/>
      <c r="F1944" s="206"/>
    </row>
    <row r="1945" spans="5:6">
      <c r="E1945" s="206"/>
      <c r="F1945" s="206"/>
    </row>
    <row r="1946" spans="5:6">
      <c r="E1946" s="206"/>
      <c r="F1946" s="206"/>
    </row>
    <row r="1947" spans="5:6">
      <c r="E1947" s="206"/>
      <c r="F1947" s="206"/>
    </row>
    <row r="1948" spans="5:6">
      <c r="E1948" s="206"/>
      <c r="F1948" s="206"/>
    </row>
    <row r="1949" spans="5:6">
      <c r="E1949" s="206"/>
      <c r="F1949" s="206"/>
    </row>
    <row r="1950" spans="5:6">
      <c r="E1950" s="206"/>
      <c r="F1950" s="206"/>
    </row>
    <row r="1951" spans="5:6">
      <c r="E1951" s="206"/>
      <c r="F1951" s="206"/>
    </row>
    <row r="1952" spans="5:6">
      <c r="E1952" s="206"/>
      <c r="F1952" s="206"/>
    </row>
    <row r="1953" spans="5:6">
      <c r="E1953" s="206"/>
      <c r="F1953" s="206"/>
    </row>
    <row r="1954" spans="5:6">
      <c r="E1954" s="206"/>
      <c r="F1954" s="206"/>
    </row>
    <row r="1955" spans="5:6">
      <c r="E1955" s="206"/>
      <c r="F1955" s="206"/>
    </row>
    <row r="1956" spans="5:6">
      <c r="E1956" s="206"/>
      <c r="F1956" s="206"/>
    </row>
    <row r="1957" spans="5:6">
      <c r="E1957" s="206"/>
      <c r="F1957" s="206"/>
    </row>
    <row r="1958" spans="5:6">
      <c r="E1958" s="206"/>
      <c r="F1958" s="206"/>
    </row>
    <row r="1959" spans="5:6">
      <c r="E1959" s="206"/>
      <c r="F1959" s="206"/>
    </row>
    <row r="1960" spans="5:6">
      <c r="E1960" s="206"/>
      <c r="F1960" s="206"/>
    </row>
    <row r="1961" spans="5:6">
      <c r="E1961" s="206"/>
      <c r="F1961" s="206"/>
    </row>
    <row r="1962" spans="5:6">
      <c r="E1962" s="206"/>
      <c r="F1962" s="206"/>
    </row>
    <row r="1963" spans="5:6">
      <c r="E1963" s="206"/>
      <c r="F1963" s="206"/>
    </row>
    <row r="1964" spans="5:6">
      <c r="E1964" s="206"/>
      <c r="F1964" s="206"/>
    </row>
    <row r="1965" spans="5:6">
      <c r="E1965" s="206"/>
      <c r="F1965" s="206"/>
    </row>
    <row r="1966" spans="5:6">
      <c r="E1966" s="206"/>
      <c r="F1966" s="206"/>
    </row>
    <row r="1967" spans="5:6">
      <c r="E1967" s="206"/>
      <c r="F1967" s="206"/>
    </row>
    <row r="1968" spans="5:6">
      <c r="E1968" s="206"/>
      <c r="F1968" s="206"/>
    </row>
    <row r="1969" spans="5:6">
      <c r="E1969" s="206"/>
      <c r="F1969" s="206"/>
    </row>
    <row r="1970" spans="5:6">
      <c r="E1970" s="206"/>
      <c r="F1970" s="206"/>
    </row>
    <row r="1971" spans="5:6">
      <c r="E1971" s="206"/>
      <c r="F1971" s="206"/>
    </row>
    <row r="1972" spans="5:6">
      <c r="E1972" s="206"/>
      <c r="F1972" s="206"/>
    </row>
    <row r="1973" spans="5:6">
      <c r="E1973" s="206"/>
      <c r="F1973" s="206"/>
    </row>
    <row r="1974" spans="5:6">
      <c r="E1974" s="206"/>
      <c r="F1974" s="206"/>
    </row>
    <row r="1975" spans="5:6">
      <c r="E1975" s="206"/>
      <c r="F1975" s="206"/>
    </row>
    <row r="1976" spans="5:6">
      <c r="E1976" s="206"/>
      <c r="F1976" s="206"/>
    </row>
    <row r="1977" spans="5:6">
      <c r="E1977" s="206"/>
      <c r="F1977" s="206"/>
    </row>
    <row r="1978" spans="5:6">
      <c r="E1978" s="206"/>
      <c r="F1978" s="206"/>
    </row>
    <row r="1979" spans="5:6">
      <c r="E1979" s="206"/>
      <c r="F1979" s="206"/>
    </row>
    <row r="1980" spans="5:6">
      <c r="E1980" s="206"/>
      <c r="F1980" s="206"/>
    </row>
    <row r="1981" spans="5:6">
      <c r="E1981" s="206"/>
      <c r="F1981" s="206"/>
    </row>
    <row r="1982" spans="5:6">
      <c r="E1982" s="206"/>
      <c r="F1982" s="206"/>
    </row>
    <row r="1983" spans="5:6">
      <c r="E1983" s="206"/>
      <c r="F1983" s="206"/>
    </row>
    <row r="1984" spans="5:6">
      <c r="E1984" s="206"/>
      <c r="F1984" s="206"/>
    </row>
    <row r="1985" spans="5:6">
      <c r="E1985" s="206"/>
      <c r="F1985" s="206"/>
    </row>
    <row r="1986" spans="5:6">
      <c r="E1986" s="206"/>
      <c r="F1986" s="206"/>
    </row>
    <row r="1987" spans="5:6">
      <c r="E1987" s="206"/>
      <c r="F1987" s="206"/>
    </row>
    <row r="1988" spans="5:6">
      <c r="E1988" s="206"/>
      <c r="F1988" s="206"/>
    </row>
    <row r="1989" spans="5:6">
      <c r="E1989" s="206"/>
      <c r="F1989" s="206"/>
    </row>
    <row r="1990" spans="5:6">
      <c r="E1990" s="206"/>
      <c r="F1990" s="206"/>
    </row>
    <row r="1991" spans="5:6">
      <c r="E1991" s="206"/>
      <c r="F1991" s="206"/>
    </row>
    <row r="1992" spans="5:6">
      <c r="E1992" s="206"/>
      <c r="F1992" s="206"/>
    </row>
    <row r="1993" spans="5:6">
      <c r="E1993" s="206"/>
      <c r="F1993" s="206"/>
    </row>
    <row r="1994" spans="5:6">
      <c r="E1994" s="206"/>
      <c r="F1994" s="206"/>
    </row>
    <row r="1995" spans="5:6">
      <c r="E1995" s="206"/>
      <c r="F1995" s="206"/>
    </row>
    <row r="1996" spans="5:6">
      <c r="E1996" s="206"/>
      <c r="F1996" s="206"/>
    </row>
    <row r="1997" spans="5:6">
      <c r="E1997" s="206"/>
      <c r="F1997" s="206"/>
    </row>
    <row r="1998" spans="5:6">
      <c r="E1998" s="206"/>
      <c r="F1998" s="206"/>
    </row>
    <row r="1999" spans="5:6">
      <c r="E1999" s="206"/>
      <c r="F1999" s="206"/>
    </row>
    <row r="2000" spans="5:6">
      <c r="E2000" s="206"/>
      <c r="F2000" s="206"/>
    </row>
    <row r="2001" spans="5:6">
      <c r="E2001" s="206"/>
      <c r="F2001" s="206"/>
    </row>
    <row r="2002" spans="5:6">
      <c r="E2002" s="206"/>
      <c r="F2002" s="206"/>
    </row>
    <row r="2003" spans="5:6">
      <c r="E2003" s="206"/>
      <c r="F2003" s="206"/>
    </row>
    <row r="2004" spans="5:6">
      <c r="E2004" s="206"/>
      <c r="F2004" s="206"/>
    </row>
    <row r="2005" spans="5:6">
      <c r="E2005" s="206"/>
      <c r="F2005" s="206"/>
    </row>
    <row r="2006" spans="5:6">
      <c r="E2006" s="206"/>
      <c r="F2006" s="206"/>
    </row>
    <row r="2007" spans="5:6">
      <c r="E2007" s="206"/>
      <c r="F2007" s="206"/>
    </row>
    <row r="2008" spans="5:6">
      <c r="E2008" s="206"/>
      <c r="F2008" s="206"/>
    </row>
    <row r="2009" spans="5:6">
      <c r="E2009" s="206"/>
      <c r="F2009" s="206"/>
    </row>
    <row r="2010" spans="5:6">
      <c r="E2010" s="206"/>
      <c r="F2010" s="206"/>
    </row>
    <row r="2011" spans="5:6">
      <c r="E2011" s="206"/>
      <c r="F2011" s="206"/>
    </row>
    <row r="2012" spans="5:6">
      <c r="E2012" s="206"/>
      <c r="F2012" s="206"/>
    </row>
    <row r="2013" spans="5:6">
      <c r="E2013" s="206"/>
      <c r="F2013" s="206"/>
    </row>
    <row r="2014" spans="5:6">
      <c r="E2014" s="206"/>
      <c r="F2014" s="206"/>
    </row>
    <row r="2015" spans="5:6">
      <c r="E2015" s="206"/>
      <c r="F2015" s="206"/>
    </row>
    <row r="2016" spans="5:6">
      <c r="E2016" s="206"/>
      <c r="F2016" s="206"/>
    </row>
    <row r="2017" spans="5:6">
      <c r="E2017" s="206"/>
      <c r="F2017" s="206"/>
    </row>
    <row r="2018" spans="5:6">
      <c r="E2018" s="206"/>
      <c r="F2018" s="206"/>
    </row>
    <row r="2019" spans="5:6">
      <c r="E2019" s="206"/>
      <c r="F2019" s="206"/>
    </row>
    <row r="2020" spans="5:6">
      <c r="E2020" s="206"/>
      <c r="F2020" s="206"/>
    </row>
    <row r="2021" spans="5:6">
      <c r="E2021" s="206"/>
      <c r="F2021" s="206"/>
    </row>
    <row r="2022" spans="5:6">
      <c r="E2022" s="206"/>
      <c r="F2022" s="206"/>
    </row>
    <row r="2023" spans="5:6">
      <c r="E2023" s="206"/>
      <c r="F2023" s="206"/>
    </row>
    <row r="2024" spans="5:6">
      <c r="E2024" s="206"/>
      <c r="F2024" s="206"/>
    </row>
    <row r="2025" spans="5:6">
      <c r="E2025" s="206"/>
      <c r="F2025" s="206"/>
    </row>
    <row r="2026" spans="5:6">
      <c r="E2026" s="206"/>
      <c r="F2026" s="206"/>
    </row>
    <row r="2027" spans="5:6">
      <c r="E2027" s="206"/>
      <c r="F2027" s="206"/>
    </row>
    <row r="2028" spans="5:6">
      <c r="E2028" s="206"/>
      <c r="F2028" s="206"/>
    </row>
    <row r="2029" spans="5:6">
      <c r="E2029" s="206"/>
      <c r="F2029" s="206"/>
    </row>
    <row r="2030" spans="5:6">
      <c r="E2030" s="206"/>
      <c r="F2030" s="206"/>
    </row>
    <row r="2031" spans="5:6">
      <c r="E2031" s="206"/>
      <c r="F2031" s="206"/>
    </row>
    <row r="2032" spans="5:6">
      <c r="E2032" s="206"/>
      <c r="F2032" s="206"/>
    </row>
    <row r="2033" spans="5:6">
      <c r="E2033" s="206"/>
      <c r="F2033" s="206"/>
    </row>
    <row r="2034" spans="5:6">
      <c r="E2034" s="206"/>
      <c r="F2034" s="206"/>
    </row>
    <row r="2035" spans="5:6">
      <c r="E2035" s="206"/>
      <c r="F2035" s="206"/>
    </row>
    <row r="2036" spans="5:6">
      <c r="E2036" s="206"/>
      <c r="F2036" s="206"/>
    </row>
    <row r="2037" spans="5:6">
      <c r="E2037" s="206"/>
      <c r="F2037" s="206"/>
    </row>
    <row r="2038" spans="5:6">
      <c r="E2038" s="206"/>
      <c r="F2038" s="206"/>
    </row>
    <row r="2039" spans="5:6">
      <c r="E2039" s="206"/>
      <c r="F2039" s="206"/>
    </row>
    <row r="2040" spans="5:6">
      <c r="E2040" s="206"/>
      <c r="F2040" s="206"/>
    </row>
    <row r="2041" spans="5:6">
      <c r="E2041" s="206"/>
      <c r="F2041" s="206"/>
    </row>
    <row r="2042" spans="5:6">
      <c r="E2042" s="206"/>
      <c r="F2042" s="206"/>
    </row>
    <row r="2043" spans="5:6">
      <c r="E2043" s="206"/>
      <c r="F2043" s="206"/>
    </row>
    <row r="2044" spans="5:6">
      <c r="E2044" s="206"/>
      <c r="F2044" s="206"/>
    </row>
    <row r="2045" spans="5:6">
      <c r="E2045" s="206"/>
      <c r="F2045" s="206"/>
    </row>
    <row r="2046" spans="5:6">
      <c r="E2046" s="206"/>
      <c r="F2046" s="206"/>
    </row>
    <row r="2047" spans="5:6">
      <c r="E2047" s="206"/>
      <c r="F2047" s="206"/>
    </row>
    <row r="2048" spans="5:6">
      <c r="E2048" s="206"/>
      <c r="F2048" s="206"/>
    </row>
    <row r="2049" spans="5:6">
      <c r="E2049" s="206"/>
      <c r="F2049" s="206"/>
    </row>
    <row r="2050" spans="5:6">
      <c r="E2050" s="206"/>
      <c r="F2050" s="206"/>
    </row>
    <row r="2051" spans="5:6">
      <c r="E2051" s="206"/>
      <c r="F2051" s="206"/>
    </row>
    <row r="2052" spans="5:6">
      <c r="E2052" s="206"/>
      <c r="F2052" s="206"/>
    </row>
    <row r="2053" spans="5:6">
      <c r="E2053" s="206"/>
      <c r="F2053" s="206"/>
    </row>
    <row r="2054" spans="5:6">
      <c r="E2054" s="206"/>
      <c r="F2054" s="206"/>
    </row>
    <row r="2055" spans="5:6">
      <c r="E2055" s="206"/>
      <c r="F2055" s="206"/>
    </row>
    <row r="2056" spans="5:6">
      <c r="E2056" s="206"/>
      <c r="F2056" s="206"/>
    </row>
    <row r="2057" spans="5:6">
      <c r="E2057" s="206"/>
      <c r="F2057" s="206"/>
    </row>
    <row r="2058" spans="5:6">
      <c r="E2058" s="206"/>
      <c r="F2058" s="206"/>
    </row>
    <row r="2059" spans="5:6">
      <c r="E2059" s="206"/>
      <c r="F2059" s="206"/>
    </row>
    <row r="2060" spans="5:6">
      <c r="E2060" s="206"/>
      <c r="F2060" s="206"/>
    </row>
    <row r="2061" spans="5:6">
      <c r="E2061" s="206"/>
      <c r="F2061" s="206"/>
    </row>
    <row r="2062" spans="5:6">
      <c r="E2062" s="206"/>
      <c r="F2062" s="206"/>
    </row>
    <row r="2063" spans="5:6">
      <c r="E2063" s="206"/>
      <c r="F2063" s="206"/>
    </row>
    <row r="2064" spans="5:6">
      <c r="E2064" s="206"/>
      <c r="F2064" s="206"/>
    </row>
    <row r="2065" spans="5:6">
      <c r="E2065" s="206"/>
      <c r="F2065" s="206"/>
    </row>
    <row r="2066" spans="5:6">
      <c r="E2066" s="206"/>
      <c r="F2066" s="206"/>
    </row>
    <row r="2067" spans="5:6">
      <c r="E2067" s="206"/>
      <c r="F2067" s="206"/>
    </row>
    <row r="2068" spans="5:6">
      <c r="E2068" s="206"/>
      <c r="F2068" s="206"/>
    </row>
    <row r="2069" spans="5:6">
      <c r="E2069" s="206"/>
      <c r="F2069" s="206"/>
    </row>
    <row r="2070" spans="5:6">
      <c r="E2070" s="206"/>
      <c r="F2070" s="206"/>
    </row>
    <row r="2071" spans="5:6">
      <c r="E2071" s="206"/>
      <c r="F2071" s="206"/>
    </row>
    <row r="2072" spans="5:6">
      <c r="E2072" s="206"/>
      <c r="F2072" s="206"/>
    </row>
    <row r="2073" spans="5:6">
      <c r="E2073" s="206"/>
      <c r="F2073" s="206"/>
    </row>
    <row r="2074" spans="5:6">
      <c r="E2074" s="206"/>
      <c r="F2074" s="206"/>
    </row>
    <row r="2075" spans="5:6">
      <c r="E2075" s="206"/>
      <c r="F2075" s="206"/>
    </row>
    <row r="2076" spans="5:6">
      <c r="E2076" s="206"/>
      <c r="F2076" s="206"/>
    </row>
    <row r="2077" spans="5:6">
      <c r="E2077" s="206"/>
      <c r="F2077" s="206"/>
    </row>
    <row r="2078" spans="5:6">
      <c r="E2078" s="206"/>
      <c r="F2078" s="206"/>
    </row>
    <row r="2079" spans="5:6">
      <c r="E2079" s="206"/>
      <c r="F2079" s="206"/>
    </row>
    <row r="2080" spans="5:6">
      <c r="E2080" s="206"/>
      <c r="F2080" s="206"/>
    </row>
    <row r="2081" spans="5:6">
      <c r="E2081" s="206"/>
      <c r="F2081" s="206"/>
    </row>
    <row r="2082" spans="5:6">
      <c r="E2082" s="206"/>
      <c r="F2082" s="206"/>
    </row>
    <row r="2083" spans="5:6">
      <c r="E2083" s="206"/>
      <c r="F2083" s="206"/>
    </row>
    <row r="2084" spans="5:6">
      <c r="E2084" s="206"/>
      <c r="F2084" s="206"/>
    </row>
    <row r="2085" spans="5:6">
      <c r="E2085" s="206"/>
      <c r="F2085" s="206"/>
    </row>
    <row r="2086" spans="5:6">
      <c r="E2086" s="206"/>
      <c r="F2086" s="206"/>
    </row>
    <row r="2087" spans="5:6">
      <c r="E2087" s="206"/>
      <c r="F2087" s="206"/>
    </row>
    <row r="2088" spans="5:6">
      <c r="E2088" s="206"/>
      <c r="F2088" s="206"/>
    </row>
    <row r="2089" spans="5:6">
      <c r="E2089" s="206"/>
      <c r="F2089" s="206"/>
    </row>
    <row r="2090" spans="5:6">
      <c r="E2090" s="206"/>
      <c r="F2090" s="206"/>
    </row>
    <row r="2091" spans="5:6">
      <c r="E2091" s="206"/>
      <c r="F2091" s="206"/>
    </row>
    <row r="2092" spans="5:6">
      <c r="E2092" s="206"/>
      <c r="F2092" s="206"/>
    </row>
    <row r="2093" spans="5:6">
      <c r="E2093" s="206"/>
      <c r="F2093" s="206"/>
    </row>
    <row r="2094" spans="5:6">
      <c r="E2094" s="206"/>
      <c r="F2094" s="206"/>
    </row>
    <row r="2095" spans="5:6">
      <c r="E2095" s="206"/>
      <c r="F2095" s="206"/>
    </row>
    <row r="2096" spans="5:6">
      <c r="E2096" s="206"/>
      <c r="F2096" s="206"/>
    </row>
    <row r="2097" spans="5:6">
      <c r="E2097" s="206"/>
      <c r="F2097" s="206"/>
    </row>
    <row r="2098" spans="5:6">
      <c r="E2098" s="206"/>
      <c r="F2098" s="206"/>
    </row>
    <row r="2099" spans="5:6">
      <c r="E2099" s="206"/>
      <c r="F2099" s="206"/>
    </row>
    <row r="2100" spans="5:6">
      <c r="E2100" s="206"/>
      <c r="F2100" s="206"/>
    </row>
    <row r="2101" spans="5:6">
      <c r="E2101" s="206"/>
      <c r="F2101" s="206"/>
    </row>
    <row r="2102" spans="5:6">
      <c r="E2102" s="206"/>
      <c r="F2102" s="206"/>
    </row>
    <row r="2103" spans="5:6">
      <c r="E2103" s="206"/>
      <c r="F2103" s="206"/>
    </row>
    <row r="2104" spans="5:6">
      <c r="E2104" s="206"/>
      <c r="F2104" s="206"/>
    </row>
    <row r="2105" spans="5:6">
      <c r="E2105" s="206"/>
      <c r="F2105" s="206"/>
    </row>
    <row r="2106" spans="5:6">
      <c r="E2106" s="206"/>
      <c r="F2106" s="206"/>
    </row>
    <row r="2107" spans="5:6">
      <c r="E2107" s="206"/>
      <c r="F2107" s="206"/>
    </row>
    <row r="2108" spans="5:6">
      <c r="E2108" s="206"/>
      <c r="F2108" s="206"/>
    </row>
    <row r="2109" spans="5:6">
      <c r="E2109" s="206"/>
      <c r="F2109" s="206"/>
    </row>
    <row r="2110" spans="5:6">
      <c r="E2110" s="206"/>
      <c r="F2110" s="206"/>
    </row>
    <row r="2111" spans="5:6">
      <c r="E2111" s="206"/>
      <c r="F2111" s="206"/>
    </row>
    <row r="2112" spans="5:6">
      <c r="E2112" s="206"/>
      <c r="F2112" s="206"/>
    </row>
    <row r="2113" spans="5:6">
      <c r="E2113" s="206"/>
      <c r="F2113" s="206"/>
    </row>
    <row r="2114" spans="5:6">
      <c r="E2114" s="206"/>
      <c r="F2114" s="206"/>
    </row>
    <row r="2115" spans="5:6">
      <c r="E2115" s="206"/>
      <c r="F2115" s="206"/>
    </row>
    <row r="2116" spans="5:6">
      <c r="E2116" s="206"/>
      <c r="F2116" s="206"/>
    </row>
    <row r="2117" spans="5:6">
      <c r="E2117" s="206"/>
      <c r="F2117" s="206"/>
    </row>
    <row r="2118" spans="5:6">
      <c r="E2118" s="206"/>
      <c r="F2118" s="206"/>
    </row>
    <row r="2119" spans="5:6">
      <c r="E2119" s="206"/>
      <c r="F2119" s="206"/>
    </row>
    <row r="2120" spans="5:6">
      <c r="E2120" s="206"/>
      <c r="F2120" s="206"/>
    </row>
    <row r="2121" spans="5:6">
      <c r="E2121" s="206"/>
      <c r="F2121" s="206"/>
    </row>
    <row r="2122" spans="5:6">
      <c r="E2122" s="206"/>
      <c r="F2122" s="206"/>
    </row>
    <row r="2123" spans="5:6">
      <c r="E2123" s="206"/>
      <c r="F2123" s="206"/>
    </row>
    <row r="2124" spans="5:6">
      <c r="E2124" s="206"/>
      <c r="F2124" s="206"/>
    </row>
    <row r="2125" spans="5:6">
      <c r="E2125" s="206"/>
      <c r="F2125" s="206"/>
    </row>
    <row r="2126" spans="5:6">
      <c r="E2126" s="206"/>
      <c r="F2126" s="206"/>
    </row>
    <row r="2127" spans="5:6">
      <c r="E2127" s="206"/>
      <c r="F2127" s="206"/>
    </row>
    <row r="2128" spans="5:6">
      <c r="E2128" s="206"/>
      <c r="F2128" s="206"/>
    </row>
    <row r="2129" spans="5:6">
      <c r="E2129" s="206"/>
      <c r="F2129" s="206"/>
    </row>
    <row r="2130" spans="5:6">
      <c r="E2130" s="206"/>
      <c r="F2130" s="206"/>
    </row>
    <row r="2131" spans="5:6">
      <c r="E2131" s="206"/>
      <c r="F2131" s="206"/>
    </row>
    <row r="2132" spans="5:6">
      <c r="E2132" s="206"/>
      <c r="F2132" s="206"/>
    </row>
    <row r="2133" spans="5:6">
      <c r="E2133" s="206"/>
      <c r="F2133" s="206"/>
    </row>
    <row r="2134" spans="5:6">
      <c r="E2134" s="206"/>
      <c r="F2134" s="206"/>
    </row>
    <row r="2135" spans="5:6">
      <c r="E2135" s="206"/>
      <c r="F2135" s="206"/>
    </row>
    <row r="2136" spans="5:6">
      <c r="E2136" s="206"/>
      <c r="F2136" s="206"/>
    </row>
    <row r="2137" spans="5:6">
      <c r="E2137" s="206"/>
      <c r="F2137" s="206"/>
    </row>
    <row r="2138" spans="5:6">
      <c r="E2138" s="206"/>
      <c r="F2138" s="206"/>
    </row>
    <row r="2139" spans="5:6">
      <c r="E2139" s="206"/>
      <c r="F2139" s="206"/>
    </row>
    <row r="2140" spans="5:6">
      <c r="E2140" s="206"/>
      <c r="F2140" s="206"/>
    </row>
    <row r="2141" spans="5:6">
      <c r="E2141" s="206"/>
      <c r="F2141" s="206"/>
    </row>
    <row r="2142" spans="5:6">
      <c r="E2142" s="206"/>
      <c r="F2142" s="206"/>
    </row>
    <row r="2143" spans="5:6">
      <c r="E2143" s="206"/>
      <c r="F2143" s="206"/>
    </row>
    <row r="2144" spans="5:6">
      <c r="E2144" s="206"/>
      <c r="F2144" s="206"/>
    </row>
    <row r="2145" spans="5:6">
      <c r="E2145" s="206"/>
      <c r="F2145" s="206"/>
    </row>
    <row r="2146" spans="5:6">
      <c r="E2146" s="206"/>
      <c r="F2146" s="206"/>
    </row>
    <row r="2147" spans="5:6">
      <c r="E2147" s="206"/>
      <c r="F2147" s="206"/>
    </row>
    <row r="2148" spans="5:6">
      <c r="E2148" s="206"/>
      <c r="F2148" s="206"/>
    </row>
    <row r="2149" spans="5:6">
      <c r="E2149" s="206"/>
      <c r="F2149" s="206"/>
    </row>
    <row r="2150" spans="5:6">
      <c r="E2150" s="206"/>
      <c r="F2150" s="206"/>
    </row>
    <row r="2151" spans="5:6">
      <c r="E2151" s="206"/>
      <c r="F2151" s="206"/>
    </row>
    <row r="2152" spans="5:6">
      <c r="E2152" s="206"/>
      <c r="F2152" s="206"/>
    </row>
    <row r="2153" spans="5:6">
      <c r="E2153" s="206"/>
      <c r="F2153" s="206"/>
    </row>
    <row r="2154" spans="5:6">
      <c r="E2154" s="206"/>
      <c r="F2154" s="206"/>
    </row>
    <row r="2155" spans="5:6">
      <c r="E2155" s="206"/>
      <c r="F2155" s="206"/>
    </row>
    <row r="2156" spans="5:6">
      <c r="E2156" s="206"/>
      <c r="F2156" s="206"/>
    </row>
    <row r="2157" spans="5:6">
      <c r="E2157" s="206"/>
      <c r="F2157" s="206"/>
    </row>
    <row r="2158" spans="5:6">
      <c r="E2158" s="206"/>
      <c r="F2158" s="206"/>
    </row>
    <row r="2159" spans="5:6">
      <c r="E2159" s="206"/>
      <c r="F2159" s="206"/>
    </row>
    <row r="2160" spans="5:6">
      <c r="E2160" s="206"/>
      <c r="F2160" s="206"/>
    </row>
    <row r="2161" spans="5:6">
      <c r="E2161" s="206"/>
      <c r="F2161" s="206"/>
    </row>
    <row r="2162" spans="5:6">
      <c r="E2162" s="206"/>
      <c r="F2162" s="206"/>
    </row>
    <row r="2163" spans="5:6">
      <c r="E2163" s="206"/>
      <c r="F2163" s="206"/>
    </row>
    <row r="2164" spans="5:6">
      <c r="E2164" s="206"/>
      <c r="F2164" s="206"/>
    </row>
    <row r="2165" spans="5:6">
      <c r="E2165" s="206"/>
      <c r="F2165" s="206"/>
    </row>
    <row r="2166" spans="5:6">
      <c r="E2166" s="206"/>
      <c r="F2166" s="206"/>
    </row>
    <row r="2167" spans="5:6">
      <c r="E2167" s="206"/>
      <c r="F2167" s="206"/>
    </row>
    <row r="2168" spans="5:6">
      <c r="E2168" s="206"/>
      <c r="F2168" s="206"/>
    </row>
    <row r="2169" spans="5:6">
      <c r="E2169" s="206"/>
      <c r="F2169" s="206"/>
    </row>
    <row r="2170" spans="5:6">
      <c r="E2170" s="206"/>
      <c r="F2170" s="206"/>
    </row>
    <row r="2171" spans="5:6">
      <c r="E2171" s="206"/>
      <c r="F2171" s="206"/>
    </row>
    <row r="2172" spans="5:6">
      <c r="E2172" s="206"/>
      <c r="F2172" s="206"/>
    </row>
    <row r="2173" spans="5:6">
      <c r="E2173" s="206"/>
      <c r="F2173" s="206"/>
    </row>
    <row r="2174" spans="5:6">
      <c r="E2174" s="206"/>
      <c r="F2174" s="206"/>
    </row>
    <row r="2175" spans="5:6">
      <c r="E2175" s="206"/>
      <c r="F2175" s="206"/>
    </row>
    <row r="2176" spans="5:6">
      <c r="E2176" s="206"/>
      <c r="F2176" s="206"/>
    </row>
    <row r="2177" spans="5:6">
      <c r="E2177" s="206"/>
      <c r="F2177" s="206"/>
    </row>
    <row r="2178" spans="5:6">
      <c r="E2178" s="206"/>
      <c r="F2178" s="206"/>
    </row>
    <row r="2179" spans="5:6">
      <c r="E2179" s="206"/>
      <c r="F2179" s="206"/>
    </row>
    <row r="2180" spans="5:6">
      <c r="E2180" s="206"/>
      <c r="F2180" s="206"/>
    </row>
    <row r="2181" spans="5:6">
      <c r="E2181" s="206"/>
      <c r="F2181" s="206"/>
    </row>
    <row r="2182" spans="5:6">
      <c r="E2182" s="206"/>
      <c r="F2182" s="206"/>
    </row>
    <row r="2183" spans="5:6">
      <c r="E2183" s="206"/>
      <c r="F2183" s="206"/>
    </row>
    <row r="2184" spans="5:6">
      <c r="E2184" s="206"/>
      <c r="F2184" s="206"/>
    </row>
    <row r="2185" spans="5:6">
      <c r="E2185" s="206"/>
      <c r="F2185" s="206"/>
    </row>
    <row r="2186" spans="5:6">
      <c r="E2186" s="206"/>
      <c r="F2186" s="206"/>
    </row>
    <row r="2187" spans="5:6">
      <c r="E2187" s="206"/>
      <c r="F2187" s="206"/>
    </row>
    <row r="2188" spans="5:6">
      <c r="E2188" s="206"/>
      <c r="F2188" s="206"/>
    </row>
    <row r="2189" spans="5:6">
      <c r="E2189" s="206"/>
      <c r="F2189" s="206"/>
    </row>
    <row r="2190" spans="5:6">
      <c r="E2190" s="206"/>
      <c r="F2190" s="206"/>
    </row>
    <row r="2191" spans="5:6">
      <c r="E2191" s="206"/>
      <c r="F2191" s="206"/>
    </row>
    <row r="2192" spans="5:6">
      <c r="E2192" s="206"/>
      <c r="F2192" s="206"/>
    </row>
    <row r="2193" spans="5:6">
      <c r="E2193" s="206"/>
      <c r="F2193" s="206"/>
    </row>
    <row r="2194" spans="5:6">
      <c r="E2194" s="206"/>
      <c r="F2194" s="206"/>
    </row>
    <row r="2195" spans="5:6">
      <c r="E2195" s="206"/>
      <c r="F2195" s="206"/>
    </row>
    <row r="2196" spans="5:6">
      <c r="E2196" s="206"/>
      <c r="F2196" s="206"/>
    </row>
    <row r="2197" spans="5:6">
      <c r="E2197" s="206"/>
      <c r="F2197" s="206"/>
    </row>
    <row r="2198" spans="5:6">
      <c r="E2198" s="206"/>
      <c r="F2198" s="206"/>
    </row>
    <row r="2199" spans="5:6">
      <c r="E2199" s="206"/>
      <c r="F2199" s="206"/>
    </row>
    <row r="2200" spans="5:6">
      <c r="E2200" s="206"/>
      <c r="F2200" s="206"/>
    </row>
    <row r="2201" spans="5:6">
      <c r="E2201" s="206"/>
      <c r="F2201" s="206"/>
    </row>
    <row r="2202" spans="5:6">
      <c r="E2202" s="206"/>
      <c r="F2202" s="206"/>
    </row>
    <row r="2203" spans="5:6">
      <c r="E2203" s="206"/>
      <c r="F2203" s="206"/>
    </row>
    <row r="2204" spans="5:6">
      <c r="E2204" s="206"/>
      <c r="F2204" s="206"/>
    </row>
    <row r="2205" spans="5:6">
      <c r="E2205" s="206"/>
      <c r="F2205" s="206"/>
    </row>
    <row r="2206" spans="5:6">
      <c r="E2206" s="206"/>
      <c r="F2206" s="206"/>
    </row>
    <row r="2207" spans="5:6">
      <c r="E2207" s="206"/>
      <c r="F2207" s="206"/>
    </row>
    <row r="2208" spans="5:6">
      <c r="E2208" s="206"/>
      <c r="F2208" s="206"/>
    </row>
    <row r="2209" spans="5:6">
      <c r="E2209" s="206"/>
      <c r="F2209" s="206"/>
    </row>
    <row r="2210" spans="5:6">
      <c r="E2210" s="206"/>
      <c r="F2210" s="206"/>
    </row>
    <row r="2211" spans="5:6">
      <c r="E2211" s="206"/>
      <c r="F2211" s="206"/>
    </row>
    <row r="2212" spans="5:6">
      <c r="E2212" s="206"/>
      <c r="F2212" s="206"/>
    </row>
    <row r="2213" spans="5:6">
      <c r="E2213" s="206"/>
      <c r="F2213" s="206"/>
    </row>
    <row r="2214" spans="5:6">
      <c r="E2214" s="206"/>
      <c r="F2214" s="206"/>
    </row>
    <row r="2215" spans="5:6">
      <c r="E2215" s="206"/>
      <c r="F2215" s="206"/>
    </row>
    <row r="2216" spans="5:6">
      <c r="E2216" s="206"/>
      <c r="F2216" s="206"/>
    </row>
    <row r="2217" spans="5:6">
      <c r="E2217" s="206"/>
      <c r="F2217" s="206"/>
    </row>
    <row r="2218" spans="5:6">
      <c r="E2218" s="206"/>
      <c r="F2218" s="206"/>
    </row>
    <row r="2219" spans="5:6">
      <c r="E2219" s="206"/>
      <c r="F2219" s="206"/>
    </row>
    <row r="2220" spans="5:6">
      <c r="E2220" s="206"/>
      <c r="F2220" s="206"/>
    </row>
    <row r="2221" spans="5:6">
      <c r="E2221" s="206"/>
      <c r="F2221" s="206"/>
    </row>
    <row r="2222" spans="5:6">
      <c r="E2222" s="206"/>
      <c r="F2222" s="206"/>
    </row>
    <row r="2223" spans="5:6">
      <c r="E2223" s="206"/>
      <c r="F2223" s="206"/>
    </row>
    <row r="2224" spans="5:6">
      <c r="E2224" s="206"/>
      <c r="F2224" s="206"/>
    </row>
    <row r="2225" spans="5:6">
      <c r="E2225" s="206"/>
      <c r="F2225" s="206"/>
    </row>
    <row r="2226" spans="5:6">
      <c r="E2226" s="206"/>
      <c r="F2226" s="206"/>
    </row>
    <row r="2227" spans="5:6">
      <c r="E2227" s="206"/>
      <c r="F2227" s="206"/>
    </row>
    <row r="2228" spans="5:6">
      <c r="E2228" s="206"/>
      <c r="F2228" s="206"/>
    </row>
    <row r="2229" spans="5:6">
      <c r="E2229" s="206"/>
      <c r="F2229" s="206"/>
    </row>
    <row r="2230" spans="5:6">
      <c r="E2230" s="206"/>
      <c r="F2230" s="206"/>
    </row>
    <row r="2231" spans="5:6">
      <c r="E2231" s="206"/>
      <c r="F2231" s="206"/>
    </row>
    <row r="2232" spans="5:6">
      <c r="E2232" s="206"/>
      <c r="F2232" s="206"/>
    </row>
    <row r="2233" spans="5:6">
      <c r="E2233" s="206"/>
      <c r="F2233" s="206"/>
    </row>
    <row r="2234" spans="5:6">
      <c r="E2234" s="206"/>
      <c r="F2234" s="206"/>
    </row>
    <row r="2235" spans="5:6">
      <c r="E2235" s="206"/>
      <c r="F2235" s="206"/>
    </row>
    <row r="2236" spans="5:6">
      <c r="E2236" s="206"/>
      <c r="F2236" s="206"/>
    </row>
    <row r="2237" spans="5:6">
      <c r="E2237" s="206"/>
      <c r="F2237" s="206"/>
    </row>
    <row r="2238" spans="5:6">
      <c r="E2238" s="206"/>
      <c r="F2238" s="206"/>
    </row>
    <row r="2239" spans="5:6">
      <c r="E2239" s="206"/>
      <c r="F2239" s="206"/>
    </row>
    <row r="2240" spans="5:6">
      <c r="E2240" s="206"/>
      <c r="F2240" s="206"/>
    </row>
    <row r="2241" spans="5:6">
      <c r="E2241" s="206"/>
      <c r="F2241" s="206"/>
    </row>
    <row r="2242" spans="5:6">
      <c r="E2242" s="206"/>
      <c r="F2242" s="206"/>
    </row>
    <row r="2243" spans="5:6">
      <c r="E2243" s="206"/>
      <c r="F2243" s="206"/>
    </row>
    <row r="2244" spans="5:6">
      <c r="E2244" s="206"/>
      <c r="F2244" s="206"/>
    </row>
    <row r="2245" spans="5:6">
      <c r="E2245" s="206"/>
      <c r="F2245" s="206"/>
    </row>
    <row r="2246" spans="5:6">
      <c r="E2246" s="206"/>
      <c r="F2246" s="206"/>
    </row>
    <row r="2247" spans="5:6">
      <c r="E2247" s="206"/>
      <c r="F2247" s="206"/>
    </row>
    <row r="2248" spans="5:6">
      <c r="E2248" s="206"/>
      <c r="F2248" s="206"/>
    </row>
    <row r="2249" spans="5:6">
      <c r="E2249" s="206"/>
      <c r="F2249" s="206"/>
    </row>
    <row r="2250" spans="5:6">
      <c r="E2250" s="206"/>
      <c r="F2250" s="206"/>
    </row>
    <row r="2251" spans="5:6">
      <c r="E2251" s="206"/>
      <c r="F2251" s="206"/>
    </row>
    <row r="2252" spans="5:6">
      <c r="E2252" s="206"/>
      <c r="F2252" s="206"/>
    </row>
    <row r="2253" spans="5:6">
      <c r="E2253" s="206"/>
      <c r="F2253" s="206"/>
    </row>
    <row r="2254" spans="5:6">
      <c r="E2254" s="206"/>
      <c r="F2254" s="206"/>
    </row>
    <row r="2255" spans="5:6">
      <c r="E2255" s="206"/>
      <c r="F2255" s="206"/>
    </row>
    <row r="2256" spans="5:6">
      <c r="E2256" s="206"/>
      <c r="F2256" s="206"/>
    </row>
    <row r="2257" spans="5:6">
      <c r="E2257" s="206"/>
      <c r="F2257" s="206"/>
    </row>
    <row r="2258" spans="5:6">
      <c r="E2258" s="206"/>
      <c r="F2258" s="206"/>
    </row>
    <row r="2259" spans="5:6">
      <c r="E2259" s="206"/>
      <c r="F2259" s="206"/>
    </row>
    <row r="2260" spans="5:6">
      <c r="E2260" s="206"/>
      <c r="F2260" s="206"/>
    </row>
    <row r="2261" spans="5:6">
      <c r="E2261" s="206"/>
      <c r="F2261" s="206"/>
    </row>
    <row r="2262" spans="5:6">
      <c r="E2262" s="206"/>
      <c r="F2262" s="206"/>
    </row>
    <row r="2263" spans="5:6">
      <c r="E2263" s="206"/>
      <c r="F2263" s="206"/>
    </row>
    <row r="2264" spans="5:6">
      <c r="E2264" s="206"/>
      <c r="F2264" s="206"/>
    </row>
    <row r="2265" spans="5:6">
      <c r="E2265" s="206"/>
      <c r="F2265" s="206"/>
    </row>
    <row r="2266" spans="5:6">
      <c r="E2266" s="206"/>
      <c r="F2266" s="206"/>
    </row>
    <row r="2267" spans="5:6">
      <c r="E2267" s="206"/>
      <c r="F2267" s="206"/>
    </row>
    <row r="2268" spans="5:6">
      <c r="E2268" s="206"/>
      <c r="F2268" s="206"/>
    </row>
    <row r="2269" spans="5:6">
      <c r="E2269" s="206"/>
      <c r="F2269" s="206"/>
    </row>
    <row r="2270" spans="5:6">
      <c r="E2270" s="206"/>
      <c r="F2270" s="206"/>
    </row>
    <row r="2271" spans="5:6">
      <c r="E2271" s="206"/>
      <c r="F2271" s="206"/>
    </row>
    <row r="2272" spans="5:6">
      <c r="E2272" s="206"/>
      <c r="F2272" s="206"/>
    </row>
    <row r="2273" spans="5:6">
      <c r="E2273" s="206"/>
      <c r="F2273" s="206"/>
    </row>
    <row r="2274" spans="5:6">
      <c r="E2274" s="206"/>
      <c r="F2274" s="206"/>
    </row>
    <row r="2275" spans="5:6">
      <c r="E2275" s="206"/>
      <c r="F2275" s="206"/>
    </row>
    <row r="2276" spans="5:6">
      <c r="E2276" s="206"/>
      <c r="F2276" s="206"/>
    </row>
    <row r="2277" spans="5:6">
      <c r="E2277" s="206"/>
      <c r="F2277" s="206"/>
    </row>
    <row r="2278" spans="5:6">
      <c r="E2278" s="206"/>
      <c r="F2278" s="206"/>
    </row>
    <row r="2279" spans="5:6">
      <c r="E2279" s="206"/>
      <c r="F2279" s="206"/>
    </row>
    <row r="2280" spans="5:6">
      <c r="E2280" s="206"/>
      <c r="F2280" s="206"/>
    </row>
    <row r="2281" spans="5:6">
      <c r="E2281" s="206"/>
      <c r="F2281" s="206"/>
    </row>
    <row r="2282" spans="5:6">
      <c r="E2282" s="206"/>
      <c r="F2282" s="206"/>
    </row>
    <row r="2283" spans="5:6">
      <c r="E2283" s="206"/>
      <c r="F2283" s="206"/>
    </row>
    <row r="2284" spans="5:6">
      <c r="E2284" s="206"/>
      <c r="F2284" s="206"/>
    </row>
    <row r="2285" spans="5:6">
      <c r="E2285" s="206"/>
      <c r="F2285" s="206"/>
    </row>
    <row r="2286" spans="5:6">
      <c r="E2286" s="206"/>
      <c r="F2286" s="206"/>
    </row>
    <row r="2287" spans="5:6">
      <c r="E2287" s="206"/>
      <c r="F2287" s="206"/>
    </row>
    <row r="2288" spans="5:6">
      <c r="E2288" s="206"/>
      <c r="F2288" s="206"/>
    </row>
    <row r="2289" spans="5:6">
      <c r="E2289" s="206"/>
      <c r="F2289" s="206"/>
    </row>
    <row r="2290" spans="5:6">
      <c r="E2290" s="206"/>
      <c r="F2290" s="206"/>
    </row>
    <row r="2291" spans="5:6">
      <c r="E2291" s="206"/>
      <c r="F2291" s="206"/>
    </row>
    <row r="2292" spans="5:6">
      <c r="E2292" s="206"/>
      <c r="F2292" s="206"/>
    </row>
    <row r="2293" spans="5:6">
      <c r="E2293" s="206"/>
      <c r="F2293" s="206"/>
    </row>
    <row r="2294" spans="5:6">
      <c r="E2294" s="206"/>
      <c r="F2294" s="206"/>
    </row>
    <row r="2295" spans="5:6">
      <c r="E2295" s="206"/>
      <c r="F2295" s="206"/>
    </row>
    <row r="2296" spans="5:6">
      <c r="E2296" s="206"/>
      <c r="F2296" s="206"/>
    </row>
    <row r="2297" spans="5:6">
      <c r="E2297" s="206"/>
      <c r="F2297" s="206"/>
    </row>
    <row r="2298" spans="5:6">
      <c r="E2298" s="206"/>
      <c r="F2298" s="206"/>
    </row>
    <row r="2299" spans="5:6">
      <c r="E2299" s="206"/>
      <c r="F2299" s="206"/>
    </row>
    <row r="2300" spans="5:6">
      <c r="E2300" s="206"/>
      <c r="F2300" s="206"/>
    </row>
    <row r="2301" spans="5:6">
      <c r="E2301" s="206"/>
      <c r="F2301" s="206"/>
    </row>
    <row r="2302" spans="5:6">
      <c r="E2302" s="206"/>
      <c r="F2302" s="206"/>
    </row>
    <row r="2303" spans="5:6">
      <c r="E2303" s="206"/>
      <c r="F2303" s="206"/>
    </row>
    <row r="2304" spans="5:6">
      <c r="E2304" s="206"/>
      <c r="F2304" s="206"/>
    </row>
    <row r="2305" spans="5:6">
      <c r="E2305" s="206"/>
      <c r="F2305" s="206"/>
    </row>
    <row r="2306" spans="5:6">
      <c r="E2306" s="206"/>
      <c r="F2306" s="206"/>
    </row>
    <row r="2307" spans="5:6">
      <c r="E2307" s="206"/>
      <c r="F2307" s="206"/>
    </row>
    <row r="2308" spans="5:6">
      <c r="E2308" s="206"/>
      <c r="F2308" s="206"/>
    </row>
    <row r="2309" spans="5:6">
      <c r="E2309" s="206"/>
      <c r="F2309" s="206"/>
    </row>
    <row r="2310" spans="5:6">
      <c r="E2310" s="206"/>
      <c r="F2310" s="206"/>
    </row>
    <row r="2311" spans="5:6">
      <c r="E2311" s="206"/>
      <c r="F2311" s="206"/>
    </row>
    <row r="2312" spans="5:6">
      <c r="E2312" s="206"/>
      <c r="F2312" s="206"/>
    </row>
    <row r="2313" spans="5:6">
      <c r="E2313" s="206"/>
      <c r="F2313" s="206"/>
    </row>
    <row r="2314" spans="5:6">
      <c r="E2314" s="206"/>
      <c r="F2314" s="206"/>
    </row>
    <row r="2315" spans="5:6">
      <c r="E2315" s="206"/>
      <c r="F2315" s="206"/>
    </row>
    <row r="2316" spans="5:6">
      <c r="E2316" s="206"/>
      <c r="F2316" s="206"/>
    </row>
    <row r="2317" spans="5:6">
      <c r="E2317" s="206"/>
      <c r="F2317" s="206"/>
    </row>
    <row r="2318" spans="5:6">
      <c r="E2318" s="206"/>
      <c r="F2318" s="206"/>
    </row>
    <row r="2319" spans="5:6">
      <c r="E2319" s="206"/>
      <c r="F2319" s="206"/>
    </row>
    <row r="2320" spans="5:6">
      <c r="E2320" s="206"/>
      <c r="F2320" s="206"/>
    </row>
    <row r="2321" spans="5:6">
      <c r="E2321" s="206"/>
      <c r="F2321" s="206"/>
    </row>
    <row r="2322" spans="5:6">
      <c r="E2322" s="206"/>
      <c r="F2322" s="206"/>
    </row>
    <row r="2323" spans="5:6">
      <c r="E2323" s="206"/>
      <c r="F2323" s="206"/>
    </row>
    <row r="2324" spans="5:6">
      <c r="E2324" s="206"/>
      <c r="F2324" s="206"/>
    </row>
    <row r="2325" spans="5:6">
      <c r="E2325" s="206"/>
      <c r="F2325" s="206"/>
    </row>
    <row r="2326" spans="5:6">
      <c r="E2326" s="206"/>
      <c r="F2326" s="206"/>
    </row>
    <row r="2327" spans="5:6">
      <c r="E2327" s="206"/>
      <c r="F2327" s="206"/>
    </row>
    <row r="2328" spans="5:6">
      <c r="E2328" s="206"/>
      <c r="F2328" s="206"/>
    </row>
    <row r="2329" spans="5:6">
      <c r="E2329" s="206"/>
      <c r="F2329" s="206"/>
    </row>
    <row r="2330" spans="5:6">
      <c r="E2330" s="206"/>
      <c r="F2330" s="206"/>
    </row>
    <row r="2331" spans="5:6">
      <c r="E2331" s="206"/>
      <c r="F2331" s="206"/>
    </row>
    <row r="2332" spans="5:6">
      <c r="E2332" s="206"/>
      <c r="F2332" s="206"/>
    </row>
    <row r="2333" spans="5:6">
      <c r="E2333" s="206"/>
      <c r="F2333" s="206"/>
    </row>
    <row r="2334" spans="5:6">
      <c r="E2334" s="206"/>
      <c r="F2334" s="206"/>
    </row>
    <row r="2335" spans="5:6">
      <c r="E2335" s="206"/>
      <c r="F2335" s="206"/>
    </row>
    <row r="2336" spans="5:6">
      <c r="E2336" s="206"/>
      <c r="F2336" s="206"/>
    </row>
    <row r="2337" spans="5:6">
      <c r="E2337" s="206"/>
      <c r="F2337" s="206"/>
    </row>
    <row r="2338" spans="5:6">
      <c r="E2338" s="206"/>
      <c r="F2338" s="206"/>
    </row>
    <row r="2339" spans="5:6">
      <c r="E2339" s="206"/>
      <c r="F2339" s="206"/>
    </row>
    <row r="2340" spans="5:6">
      <c r="E2340" s="206"/>
      <c r="F2340" s="206"/>
    </row>
    <row r="2341" spans="5:6">
      <c r="E2341" s="206"/>
      <c r="F2341" s="206"/>
    </row>
    <row r="2342" spans="5:6">
      <c r="E2342" s="206"/>
      <c r="F2342" s="206"/>
    </row>
    <row r="2343" spans="5:6">
      <c r="E2343" s="206"/>
      <c r="F2343" s="206"/>
    </row>
    <row r="2344" spans="5:6">
      <c r="E2344" s="206"/>
      <c r="F2344" s="206"/>
    </row>
    <row r="2345" spans="5:6">
      <c r="E2345" s="206"/>
      <c r="F2345" s="206"/>
    </row>
    <row r="2346" spans="5:6">
      <c r="E2346" s="206"/>
      <c r="F2346" s="206"/>
    </row>
    <row r="2347" spans="5:6">
      <c r="E2347" s="206"/>
      <c r="F2347" s="206"/>
    </row>
    <row r="2348" spans="5:6">
      <c r="E2348" s="206"/>
      <c r="F2348" s="206"/>
    </row>
    <row r="2349" spans="5:6">
      <c r="E2349" s="206"/>
      <c r="F2349" s="206"/>
    </row>
    <row r="2350" spans="5:6">
      <c r="E2350" s="206"/>
      <c r="F2350" s="206"/>
    </row>
    <row r="2351" spans="5:6">
      <c r="E2351" s="206"/>
      <c r="F2351" s="206"/>
    </row>
    <row r="2352" spans="5:6">
      <c r="E2352" s="206"/>
      <c r="F2352" s="206"/>
    </row>
    <row r="2353" spans="5:6">
      <c r="E2353" s="206"/>
      <c r="F2353" s="206"/>
    </row>
    <row r="2354" spans="5:6">
      <c r="E2354" s="206"/>
      <c r="F2354" s="206"/>
    </row>
    <row r="2355" spans="5:6">
      <c r="E2355" s="206"/>
      <c r="F2355" s="206"/>
    </row>
    <row r="2356" spans="5:6">
      <c r="E2356" s="206"/>
      <c r="F2356" s="206"/>
    </row>
    <row r="2357" spans="5:6">
      <c r="E2357" s="206"/>
      <c r="F2357" s="206"/>
    </row>
    <row r="2358" spans="5:6">
      <c r="E2358" s="206"/>
      <c r="F2358" s="206"/>
    </row>
    <row r="2359" spans="5:6">
      <c r="E2359" s="206"/>
      <c r="F2359" s="206"/>
    </row>
    <row r="2360" spans="5:6">
      <c r="E2360" s="206"/>
      <c r="F2360" s="206"/>
    </row>
    <row r="2361" spans="5:6">
      <c r="E2361" s="206"/>
      <c r="F2361" s="206"/>
    </row>
    <row r="2362" spans="5:6">
      <c r="E2362" s="206"/>
      <c r="F2362" s="206"/>
    </row>
    <row r="2363" spans="5:6">
      <c r="E2363" s="206"/>
      <c r="F2363" s="206"/>
    </row>
    <row r="2364" spans="5:6">
      <c r="E2364" s="206"/>
      <c r="F2364" s="206"/>
    </row>
    <row r="2365" spans="5:6">
      <c r="E2365" s="206"/>
      <c r="F2365" s="206"/>
    </row>
    <row r="2366" spans="5:6">
      <c r="E2366" s="206"/>
      <c r="F2366" s="206"/>
    </row>
    <row r="2367" spans="5:6">
      <c r="E2367" s="206"/>
      <c r="F2367" s="206"/>
    </row>
    <row r="2368" spans="5:6">
      <c r="E2368" s="206"/>
      <c r="F2368" s="206"/>
    </row>
    <row r="2369" spans="5:6">
      <c r="E2369" s="206"/>
      <c r="F2369" s="206"/>
    </row>
    <row r="2370" spans="5:6">
      <c r="E2370" s="206"/>
      <c r="F2370" s="206"/>
    </row>
    <row r="2371" spans="5:6">
      <c r="E2371" s="206"/>
      <c r="F2371" s="206"/>
    </row>
    <row r="2372" spans="5:6">
      <c r="E2372" s="206"/>
      <c r="F2372" s="206"/>
    </row>
    <row r="2373" spans="5:6">
      <c r="E2373" s="206"/>
      <c r="F2373" s="206"/>
    </row>
    <row r="2374" spans="5:6">
      <c r="E2374" s="206"/>
      <c r="F2374" s="206"/>
    </row>
    <row r="2375" spans="5:6">
      <c r="E2375" s="206"/>
      <c r="F2375" s="206"/>
    </row>
    <row r="2376" spans="5:6">
      <c r="E2376" s="206"/>
      <c r="F2376" s="206"/>
    </row>
    <row r="2377" spans="5:6">
      <c r="E2377" s="206"/>
      <c r="F2377" s="206"/>
    </row>
    <row r="2378" spans="5:6">
      <c r="E2378" s="206"/>
      <c r="F2378" s="206"/>
    </row>
    <row r="2379" spans="5:6">
      <c r="E2379" s="206"/>
      <c r="F2379" s="206"/>
    </row>
    <row r="2380" spans="5:6">
      <c r="E2380" s="206"/>
      <c r="F2380" s="206"/>
    </row>
    <row r="2381" spans="5:6">
      <c r="E2381" s="206"/>
      <c r="F2381" s="206"/>
    </row>
    <row r="2382" spans="5:6">
      <c r="E2382" s="206"/>
      <c r="F2382" s="206"/>
    </row>
    <row r="2383" spans="5:6">
      <c r="E2383" s="206"/>
      <c r="F2383" s="206"/>
    </row>
    <row r="2384" spans="5:6">
      <c r="E2384" s="206"/>
      <c r="F2384" s="206"/>
    </row>
    <row r="2385" spans="5:6">
      <c r="E2385" s="206"/>
      <c r="F2385" s="206"/>
    </row>
    <row r="2386" spans="5:6">
      <c r="E2386" s="206"/>
      <c r="F2386" s="206"/>
    </row>
    <row r="2387" spans="5:6">
      <c r="E2387" s="206"/>
      <c r="F2387" s="206"/>
    </row>
    <row r="2388" spans="5:6">
      <c r="E2388" s="206"/>
      <c r="F2388" s="206"/>
    </row>
    <row r="2389" spans="5:6">
      <c r="E2389" s="206"/>
      <c r="F2389" s="206"/>
    </row>
    <row r="2390" spans="5:6">
      <c r="E2390" s="206"/>
      <c r="F2390" s="206"/>
    </row>
    <row r="2391" spans="5:6">
      <c r="E2391" s="206"/>
      <c r="F2391" s="206"/>
    </row>
    <row r="2392" spans="5:6">
      <c r="E2392" s="206"/>
      <c r="F2392" s="206"/>
    </row>
    <row r="2393" spans="5:6">
      <c r="E2393" s="206"/>
      <c r="F2393" s="206"/>
    </row>
    <row r="2394" spans="5:6">
      <c r="E2394" s="206"/>
      <c r="F2394" s="206"/>
    </row>
    <row r="2395" spans="5:6">
      <c r="E2395" s="206"/>
      <c r="F2395" s="206"/>
    </row>
    <row r="2396" spans="5:6">
      <c r="E2396" s="206"/>
      <c r="F2396" s="206"/>
    </row>
    <row r="2397" spans="5:6">
      <c r="E2397" s="206"/>
      <c r="F2397" s="206"/>
    </row>
    <row r="2398" spans="5:6">
      <c r="E2398" s="206"/>
      <c r="F2398" s="206"/>
    </row>
    <row r="2399" spans="5:6">
      <c r="E2399" s="206"/>
      <c r="F2399" s="206"/>
    </row>
    <row r="2400" spans="5:6">
      <c r="E2400" s="206"/>
      <c r="F2400" s="206"/>
    </row>
    <row r="2401" spans="5:6">
      <c r="E2401" s="206"/>
      <c r="F2401" s="206"/>
    </row>
    <row r="2402" spans="5:6">
      <c r="E2402" s="206"/>
      <c r="F2402" s="206"/>
    </row>
    <row r="2403" spans="5:6">
      <c r="E2403" s="206"/>
      <c r="F2403" s="206"/>
    </row>
    <row r="2404" spans="5:6">
      <c r="E2404" s="206"/>
      <c r="F2404" s="206"/>
    </row>
    <row r="2405" spans="5:6">
      <c r="E2405" s="206"/>
      <c r="F2405" s="206"/>
    </row>
    <row r="2406" spans="5:6">
      <c r="E2406" s="206"/>
      <c r="F2406" s="206"/>
    </row>
    <row r="2407" spans="5:6">
      <c r="E2407" s="206"/>
      <c r="F2407" s="206"/>
    </row>
    <row r="2408" spans="5:6">
      <c r="E2408" s="206"/>
      <c r="F2408" s="206"/>
    </row>
    <row r="2409" spans="5:6">
      <c r="E2409" s="206"/>
      <c r="F2409" s="206"/>
    </row>
    <row r="2410" spans="5:6">
      <c r="E2410" s="206"/>
      <c r="F2410" s="206"/>
    </row>
    <row r="2411" spans="5:6">
      <c r="E2411" s="206"/>
      <c r="F2411" s="206"/>
    </row>
    <row r="2412" spans="5:6">
      <c r="E2412" s="206"/>
      <c r="F2412" s="206"/>
    </row>
    <row r="2413" spans="5:6">
      <c r="E2413" s="206"/>
      <c r="F2413" s="206"/>
    </row>
    <row r="2414" spans="5:6">
      <c r="E2414" s="206"/>
      <c r="F2414" s="206"/>
    </row>
    <row r="2415" spans="5:6">
      <c r="E2415" s="206"/>
      <c r="F2415" s="206"/>
    </row>
    <row r="2416" spans="5:6">
      <c r="E2416" s="206"/>
      <c r="F2416" s="206"/>
    </row>
    <row r="2417" spans="5:6">
      <c r="E2417" s="206"/>
      <c r="F2417" s="206"/>
    </row>
    <row r="2418" spans="5:6">
      <c r="E2418" s="206"/>
      <c r="F2418" s="206"/>
    </row>
    <row r="2419" spans="5:6">
      <c r="E2419" s="206"/>
      <c r="F2419" s="206"/>
    </row>
    <row r="2420" spans="5:6">
      <c r="E2420" s="206"/>
      <c r="F2420" s="206"/>
    </row>
    <row r="2421" spans="5:6">
      <c r="E2421" s="206"/>
      <c r="F2421" s="206"/>
    </row>
    <row r="2422" spans="5:6">
      <c r="E2422" s="206"/>
      <c r="F2422" s="206"/>
    </row>
    <row r="2423" spans="5:6">
      <c r="E2423" s="206"/>
      <c r="F2423" s="206"/>
    </row>
    <row r="2424" spans="5:6">
      <c r="E2424" s="206"/>
      <c r="F2424" s="206"/>
    </row>
    <row r="2425" spans="5:6">
      <c r="E2425" s="206"/>
      <c r="F2425" s="206"/>
    </row>
    <row r="2426" spans="5:6">
      <c r="E2426" s="206"/>
      <c r="F2426" s="206"/>
    </row>
    <row r="2427" spans="5:6">
      <c r="E2427" s="206"/>
      <c r="F2427" s="206"/>
    </row>
    <row r="2428" spans="5:6">
      <c r="E2428" s="206"/>
      <c r="F2428" s="206"/>
    </row>
    <row r="2429" spans="5:6">
      <c r="E2429" s="206"/>
      <c r="F2429" s="206"/>
    </row>
    <row r="2430" spans="5:6">
      <c r="E2430" s="206"/>
      <c r="F2430" s="206"/>
    </row>
    <row r="2431" spans="5:6">
      <c r="E2431" s="206"/>
      <c r="F2431" s="206"/>
    </row>
    <row r="2432" spans="5:6">
      <c r="E2432" s="206"/>
      <c r="F2432" s="206"/>
    </row>
    <row r="2433" spans="5:6">
      <c r="E2433" s="206"/>
      <c r="F2433" s="206"/>
    </row>
    <row r="2434" spans="5:6">
      <c r="E2434" s="206"/>
      <c r="F2434" s="206"/>
    </row>
    <row r="2435" spans="5:6">
      <c r="E2435" s="206"/>
      <c r="F2435" s="206"/>
    </row>
    <row r="2436" spans="5:6">
      <c r="E2436" s="206"/>
      <c r="F2436" s="206"/>
    </row>
    <row r="2437" spans="5:6">
      <c r="E2437" s="206"/>
      <c r="F2437" s="206"/>
    </row>
    <row r="2438" spans="5:6">
      <c r="E2438" s="206"/>
      <c r="F2438" s="206"/>
    </row>
    <row r="2439" spans="5:6">
      <c r="E2439" s="206"/>
      <c r="F2439" s="206"/>
    </row>
    <row r="2440" spans="5:6">
      <c r="E2440" s="206"/>
      <c r="F2440" s="206"/>
    </row>
    <row r="2441" spans="5:6">
      <c r="E2441" s="206"/>
      <c r="F2441" s="206"/>
    </row>
    <row r="2442" spans="5:6">
      <c r="E2442" s="206"/>
      <c r="F2442" s="206"/>
    </row>
    <row r="2443" spans="5:6">
      <c r="E2443" s="206"/>
      <c r="F2443" s="206"/>
    </row>
    <row r="2444" spans="5:6">
      <c r="E2444" s="206"/>
      <c r="F2444" s="206"/>
    </row>
    <row r="2445" spans="5:6">
      <c r="E2445" s="206"/>
      <c r="F2445" s="206"/>
    </row>
    <row r="2446" spans="5:6">
      <c r="E2446" s="206"/>
      <c r="F2446" s="206"/>
    </row>
    <row r="2447" spans="5:6">
      <c r="E2447" s="206"/>
      <c r="F2447" s="206"/>
    </row>
    <row r="2448" spans="5:6">
      <c r="E2448" s="206"/>
      <c r="F2448" s="206"/>
    </row>
    <row r="2449" spans="5:6">
      <c r="E2449" s="206"/>
      <c r="F2449" s="206"/>
    </row>
    <row r="2450" spans="5:6">
      <c r="E2450" s="206"/>
      <c r="F2450" s="206"/>
    </row>
    <row r="2451" spans="5:6">
      <c r="E2451" s="206"/>
      <c r="F2451" s="206"/>
    </row>
    <row r="2452" spans="5:6">
      <c r="E2452" s="206"/>
      <c r="F2452" s="206"/>
    </row>
    <row r="2453" spans="5:6">
      <c r="E2453" s="206"/>
      <c r="F2453" s="206"/>
    </row>
    <row r="2454" spans="5:6">
      <c r="E2454" s="206"/>
      <c r="F2454" s="206"/>
    </row>
    <row r="2455" spans="5:6">
      <c r="E2455" s="206"/>
      <c r="F2455" s="206"/>
    </row>
    <row r="2456" spans="5:6">
      <c r="E2456" s="206"/>
      <c r="F2456" s="206"/>
    </row>
    <row r="2457" spans="5:6">
      <c r="E2457" s="206"/>
      <c r="F2457" s="206"/>
    </row>
    <row r="2458" spans="5:6">
      <c r="E2458" s="206"/>
      <c r="F2458" s="206"/>
    </row>
    <row r="2459" spans="5:6">
      <c r="E2459" s="206"/>
      <c r="F2459" s="206"/>
    </row>
    <row r="2460" spans="5:6">
      <c r="E2460" s="206"/>
      <c r="F2460" s="206"/>
    </row>
    <row r="2461" spans="5:6">
      <c r="E2461" s="206"/>
      <c r="F2461" s="206"/>
    </row>
    <row r="2462" spans="5:6">
      <c r="E2462" s="206"/>
      <c r="F2462" s="206"/>
    </row>
    <row r="2463" spans="5:6">
      <c r="E2463" s="206"/>
      <c r="F2463" s="206"/>
    </row>
    <row r="2464" spans="5:6">
      <c r="E2464" s="206"/>
      <c r="F2464" s="206"/>
    </row>
    <row r="2465" spans="5:6">
      <c r="E2465" s="206"/>
      <c r="F2465" s="206"/>
    </row>
    <row r="2466" spans="5:6">
      <c r="E2466" s="206"/>
      <c r="F2466" s="206"/>
    </row>
    <row r="2467" spans="5:6">
      <c r="E2467" s="206"/>
      <c r="F2467" s="206"/>
    </row>
    <row r="2468" spans="5:6">
      <c r="E2468" s="206"/>
      <c r="F2468" s="206"/>
    </row>
    <row r="2469" spans="5:6">
      <c r="E2469" s="206"/>
      <c r="F2469" s="206"/>
    </row>
    <row r="2470" spans="5:6">
      <c r="E2470" s="206"/>
      <c r="F2470" s="206"/>
    </row>
    <row r="2471" spans="5:6">
      <c r="E2471" s="206"/>
      <c r="F2471" s="206"/>
    </row>
    <row r="2472" spans="5:6">
      <c r="E2472" s="206"/>
      <c r="F2472" s="206"/>
    </row>
    <row r="2473" spans="5:6">
      <c r="E2473" s="206"/>
      <c r="F2473" s="206"/>
    </row>
    <row r="2474" spans="5:6">
      <c r="E2474" s="206"/>
      <c r="F2474" s="206"/>
    </row>
    <row r="2475" spans="5:6">
      <c r="E2475" s="206"/>
      <c r="F2475" s="206"/>
    </row>
    <row r="2476" spans="5:6">
      <c r="E2476" s="206"/>
      <c r="F2476" s="206"/>
    </row>
    <row r="2477" spans="5:6">
      <c r="E2477" s="206"/>
      <c r="F2477" s="206"/>
    </row>
    <row r="2478" spans="5:6">
      <c r="E2478" s="206"/>
      <c r="F2478" s="206"/>
    </row>
    <row r="2479" spans="5:6">
      <c r="E2479" s="206"/>
      <c r="F2479" s="206"/>
    </row>
    <row r="2480" spans="5:6">
      <c r="E2480" s="206"/>
      <c r="F2480" s="206"/>
    </row>
    <row r="2481" spans="5:6">
      <c r="E2481" s="206"/>
      <c r="F2481" s="206"/>
    </row>
    <row r="2482" spans="5:6">
      <c r="E2482" s="206"/>
      <c r="F2482" s="206"/>
    </row>
    <row r="2483" spans="5:6">
      <c r="E2483" s="206"/>
      <c r="F2483" s="206"/>
    </row>
    <row r="2484" spans="5:6">
      <c r="E2484" s="206"/>
      <c r="F2484" s="206"/>
    </row>
    <row r="2485" spans="5:6">
      <c r="E2485" s="206"/>
      <c r="F2485" s="206"/>
    </row>
    <row r="2486" spans="5:6">
      <c r="E2486" s="206"/>
      <c r="F2486" s="206"/>
    </row>
    <row r="2487" spans="5:6">
      <c r="E2487" s="206"/>
      <c r="F2487" s="206"/>
    </row>
    <row r="2488" spans="5:6">
      <c r="E2488" s="206"/>
      <c r="F2488" s="206"/>
    </row>
    <row r="2489" spans="5:6">
      <c r="E2489" s="206"/>
      <c r="F2489" s="206"/>
    </row>
    <row r="2490" spans="5:6">
      <c r="E2490" s="206"/>
      <c r="F2490" s="206"/>
    </row>
    <row r="2491" spans="5:6">
      <c r="E2491" s="206"/>
      <c r="F2491" s="206"/>
    </row>
    <row r="2492" spans="5:6">
      <c r="E2492" s="206"/>
      <c r="F2492" s="206"/>
    </row>
    <row r="2493" spans="5:6">
      <c r="E2493" s="206"/>
      <c r="F2493" s="206"/>
    </row>
    <row r="2494" spans="5:6">
      <c r="E2494" s="206"/>
      <c r="F2494" s="206"/>
    </row>
    <row r="2495" spans="5:6">
      <c r="E2495" s="206"/>
      <c r="F2495" s="206"/>
    </row>
    <row r="2496" spans="5:6">
      <c r="E2496" s="206"/>
      <c r="F2496" s="206"/>
    </row>
    <row r="2497" spans="5:6">
      <c r="E2497" s="206"/>
      <c r="F2497" s="206"/>
    </row>
    <row r="2498" spans="5:6">
      <c r="E2498" s="206"/>
      <c r="F2498" s="206"/>
    </row>
    <row r="2499" spans="5:6">
      <c r="E2499" s="206"/>
      <c r="F2499" s="206"/>
    </row>
    <row r="2500" spans="5:6">
      <c r="E2500" s="206"/>
      <c r="F2500" s="206"/>
    </row>
    <row r="2501" spans="5:6">
      <c r="E2501" s="206"/>
      <c r="F2501" s="206"/>
    </row>
    <row r="2502" spans="5:6">
      <c r="E2502" s="206"/>
      <c r="F2502" s="206"/>
    </row>
    <row r="2503" spans="5:6">
      <c r="E2503" s="206"/>
      <c r="F2503" s="206"/>
    </row>
    <row r="2504" spans="5:6">
      <c r="E2504" s="206"/>
      <c r="F2504" s="206"/>
    </row>
    <row r="2505" spans="5:6">
      <c r="E2505" s="206"/>
      <c r="F2505" s="206"/>
    </row>
    <row r="2506" spans="5:6">
      <c r="E2506" s="206"/>
      <c r="F2506" s="206"/>
    </row>
    <row r="2507" spans="5:6">
      <c r="E2507" s="206"/>
      <c r="F2507" s="206"/>
    </row>
    <row r="2508" spans="5:6">
      <c r="E2508" s="206"/>
      <c r="F2508" s="206"/>
    </row>
    <row r="2509" spans="5:6">
      <c r="E2509" s="206"/>
      <c r="F2509" s="206"/>
    </row>
    <row r="2510" spans="5:6">
      <c r="E2510" s="206"/>
      <c r="F2510" s="206"/>
    </row>
    <row r="2511" spans="5:6">
      <c r="E2511" s="206"/>
      <c r="F2511" s="206"/>
    </row>
    <row r="2512" spans="5:6">
      <c r="E2512" s="206"/>
      <c r="F2512" s="206"/>
    </row>
    <row r="2513" spans="5:6">
      <c r="E2513" s="206"/>
      <c r="F2513" s="206"/>
    </row>
    <row r="2514" spans="5:6">
      <c r="E2514" s="206"/>
      <c r="F2514" s="206"/>
    </row>
    <row r="2515" spans="5:6">
      <c r="E2515" s="206"/>
      <c r="F2515" s="206"/>
    </row>
    <row r="2516" spans="5:6">
      <c r="E2516" s="206"/>
      <c r="F2516" s="206"/>
    </row>
    <row r="2517" spans="5:6">
      <c r="E2517" s="206"/>
      <c r="F2517" s="206"/>
    </row>
    <row r="2518" spans="5:6">
      <c r="E2518" s="206"/>
      <c r="F2518" s="206"/>
    </row>
    <row r="2519" spans="5:6">
      <c r="E2519" s="206"/>
      <c r="F2519" s="206"/>
    </row>
    <row r="2520" spans="5:6">
      <c r="E2520" s="206"/>
      <c r="F2520" s="206"/>
    </row>
    <row r="2521" spans="5:6">
      <c r="E2521" s="206"/>
      <c r="F2521" s="206"/>
    </row>
    <row r="2522" spans="5:6">
      <c r="E2522" s="206"/>
      <c r="F2522" s="206"/>
    </row>
    <row r="2523" spans="5:6">
      <c r="E2523" s="206"/>
      <c r="F2523" s="206"/>
    </row>
    <row r="2524" spans="5:6">
      <c r="E2524" s="206"/>
      <c r="F2524" s="206"/>
    </row>
    <row r="2525" spans="5:6">
      <c r="E2525" s="206"/>
      <c r="F2525" s="206"/>
    </row>
    <row r="2526" spans="5:6">
      <c r="E2526" s="206"/>
      <c r="F2526" s="206"/>
    </row>
    <row r="2527" spans="5:6">
      <c r="E2527" s="206"/>
      <c r="F2527" s="206"/>
    </row>
    <row r="2528" spans="5:6">
      <c r="E2528" s="206"/>
      <c r="F2528" s="206"/>
    </row>
    <row r="2529" spans="5:6">
      <c r="E2529" s="206"/>
      <c r="F2529" s="206"/>
    </row>
    <row r="2530" spans="5:6">
      <c r="E2530" s="206"/>
      <c r="F2530" s="206"/>
    </row>
    <row r="2531" spans="5:6">
      <c r="E2531" s="206"/>
      <c r="F2531" s="206"/>
    </row>
    <row r="2532" spans="5:6">
      <c r="E2532" s="206"/>
      <c r="F2532" s="206"/>
    </row>
    <row r="2533" spans="5:6">
      <c r="E2533" s="206"/>
      <c r="F2533" s="206"/>
    </row>
    <row r="2534" spans="5:6">
      <c r="E2534" s="206"/>
      <c r="F2534" s="206"/>
    </row>
    <row r="2535" spans="5:6">
      <c r="E2535" s="206"/>
      <c r="F2535" s="206"/>
    </row>
    <row r="2536" spans="5:6">
      <c r="E2536" s="206"/>
      <c r="F2536" s="206"/>
    </row>
    <row r="2537" spans="5:6">
      <c r="E2537" s="206"/>
      <c r="F2537" s="206"/>
    </row>
    <row r="2538" spans="5:6">
      <c r="E2538" s="206"/>
      <c r="F2538" s="206"/>
    </row>
    <row r="2539" spans="5:6">
      <c r="E2539" s="206"/>
      <c r="F2539" s="206"/>
    </row>
    <row r="2540" spans="5:6">
      <c r="E2540" s="206"/>
      <c r="F2540" s="206"/>
    </row>
    <row r="2541" spans="5:6">
      <c r="E2541" s="206"/>
      <c r="F2541" s="206"/>
    </row>
    <row r="2542" spans="5:6">
      <c r="E2542" s="206"/>
      <c r="F2542" s="206"/>
    </row>
    <row r="2543" spans="5:6">
      <c r="E2543" s="206"/>
      <c r="F2543" s="206"/>
    </row>
    <row r="2544" spans="5:6">
      <c r="E2544" s="206"/>
      <c r="F2544" s="206"/>
    </row>
    <row r="2545" spans="5:6">
      <c r="E2545" s="206"/>
      <c r="F2545" s="206"/>
    </row>
    <row r="2546" spans="5:6">
      <c r="E2546" s="206"/>
      <c r="F2546" s="206"/>
    </row>
    <row r="2547" spans="5:6">
      <c r="E2547" s="206"/>
      <c r="F2547" s="206"/>
    </row>
    <row r="2548" spans="5:6">
      <c r="E2548" s="206"/>
      <c r="F2548" s="206"/>
    </row>
    <row r="2549" spans="5:6">
      <c r="E2549" s="206"/>
      <c r="F2549" s="206"/>
    </row>
    <row r="2550" spans="5:6">
      <c r="E2550" s="206"/>
      <c r="F2550" s="206"/>
    </row>
    <row r="2551" spans="5:6">
      <c r="E2551" s="206"/>
      <c r="F2551" s="206"/>
    </row>
    <row r="2552" spans="5:6">
      <c r="E2552" s="206"/>
      <c r="F2552" s="206"/>
    </row>
    <row r="2553" spans="5:6">
      <c r="E2553" s="206"/>
      <c r="F2553" s="206"/>
    </row>
    <row r="2554" spans="5:6">
      <c r="E2554" s="206"/>
      <c r="F2554" s="206"/>
    </row>
    <row r="2555" spans="5:6">
      <c r="E2555" s="206"/>
      <c r="F2555" s="206"/>
    </row>
    <row r="2556" spans="5:6">
      <c r="E2556" s="206"/>
      <c r="F2556" s="206"/>
    </row>
    <row r="2557" spans="5:6">
      <c r="E2557" s="206"/>
      <c r="F2557" s="206"/>
    </row>
    <row r="2558" spans="5:6">
      <c r="E2558" s="206"/>
      <c r="F2558" s="206"/>
    </row>
    <row r="2559" spans="5:6">
      <c r="E2559" s="206"/>
      <c r="F2559" s="206"/>
    </row>
    <row r="2560" spans="5:6">
      <c r="E2560" s="206"/>
      <c r="F2560" s="206"/>
    </row>
    <row r="2561" spans="5:6">
      <c r="E2561" s="206"/>
      <c r="F2561" s="206"/>
    </row>
    <row r="2562" spans="5:6">
      <c r="E2562" s="206"/>
      <c r="F2562" s="206"/>
    </row>
    <row r="2563" spans="5:6">
      <c r="E2563" s="206"/>
      <c r="F2563" s="206"/>
    </row>
    <row r="2564" spans="5:6">
      <c r="E2564" s="206"/>
      <c r="F2564" s="206"/>
    </row>
    <row r="2565" spans="5:6">
      <c r="E2565" s="206"/>
      <c r="F2565" s="206"/>
    </row>
    <row r="2566" spans="5:6">
      <c r="E2566" s="206"/>
      <c r="F2566" s="206"/>
    </row>
    <row r="2567" spans="5:6">
      <c r="E2567" s="206"/>
      <c r="F2567" s="206"/>
    </row>
    <row r="2568" spans="5:6">
      <c r="E2568" s="206"/>
      <c r="F2568" s="206"/>
    </row>
    <row r="2569" spans="5:6">
      <c r="E2569" s="206"/>
      <c r="F2569" s="206"/>
    </row>
    <row r="2570" spans="5:6">
      <c r="E2570" s="206"/>
      <c r="F2570" s="206"/>
    </row>
    <row r="2571" spans="5:6">
      <c r="E2571" s="206"/>
      <c r="F2571" s="206"/>
    </row>
    <row r="2572" spans="5:6">
      <c r="E2572" s="206"/>
      <c r="F2572" s="206"/>
    </row>
    <row r="2573" spans="5:6">
      <c r="E2573" s="206"/>
      <c r="F2573" s="206"/>
    </row>
    <row r="2574" spans="5:6">
      <c r="E2574" s="206"/>
      <c r="F2574" s="206"/>
    </row>
    <row r="2575" spans="5:6">
      <c r="E2575" s="206"/>
      <c r="F2575" s="206"/>
    </row>
    <row r="2576" spans="5:6">
      <c r="E2576" s="206"/>
      <c r="F2576" s="206"/>
    </row>
    <row r="2577" spans="5:6">
      <c r="E2577" s="206"/>
      <c r="F2577" s="206"/>
    </row>
    <row r="2578" spans="5:6">
      <c r="E2578" s="206"/>
      <c r="F2578" s="206"/>
    </row>
    <row r="2579" spans="5:6">
      <c r="E2579" s="206"/>
      <c r="F2579" s="206"/>
    </row>
    <row r="2580" spans="5:6">
      <c r="E2580" s="206"/>
      <c r="F2580" s="206"/>
    </row>
    <row r="2581" spans="5:6">
      <c r="E2581" s="206"/>
      <c r="F2581" s="206"/>
    </row>
    <row r="2582" spans="5:6">
      <c r="E2582" s="206"/>
      <c r="F2582" s="206"/>
    </row>
    <row r="2583" spans="5:6">
      <c r="E2583" s="206"/>
      <c r="F2583" s="206"/>
    </row>
    <row r="2584" spans="5:6">
      <c r="E2584" s="206"/>
      <c r="F2584" s="206"/>
    </row>
    <row r="2585" spans="5:6">
      <c r="E2585" s="206"/>
      <c r="F2585" s="206"/>
    </row>
    <row r="2586" spans="5:6">
      <c r="E2586" s="206"/>
      <c r="F2586" s="206"/>
    </row>
    <row r="2587" spans="5:6">
      <c r="E2587" s="206"/>
      <c r="F2587" s="206"/>
    </row>
    <row r="2588" spans="5:6">
      <c r="E2588" s="206"/>
      <c r="F2588" s="206"/>
    </row>
    <row r="2589" spans="5:6">
      <c r="E2589" s="206"/>
      <c r="F2589" s="206"/>
    </row>
    <row r="2590" spans="5:6">
      <c r="E2590" s="206"/>
      <c r="F2590" s="206"/>
    </row>
    <row r="2591" spans="5:6">
      <c r="E2591" s="206"/>
      <c r="F2591" s="206"/>
    </row>
    <row r="2592" spans="5:6">
      <c r="E2592" s="206"/>
      <c r="F2592" s="206"/>
    </row>
    <row r="2593" spans="5:6">
      <c r="E2593" s="206"/>
      <c r="F2593" s="206"/>
    </row>
    <row r="2594" spans="5:6">
      <c r="E2594" s="206"/>
      <c r="F2594" s="206"/>
    </row>
    <row r="2595" spans="5:6">
      <c r="E2595" s="206"/>
      <c r="F2595" s="206"/>
    </row>
    <row r="2596" spans="5:6">
      <c r="E2596" s="206"/>
      <c r="F2596" s="206"/>
    </row>
    <row r="2597" spans="5:6">
      <c r="E2597" s="206"/>
      <c r="F2597" s="206"/>
    </row>
    <row r="2598" spans="5:6">
      <c r="E2598" s="206"/>
      <c r="F2598" s="206"/>
    </row>
    <row r="2599" spans="5:6">
      <c r="E2599" s="206"/>
      <c r="F2599" s="206"/>
    </row>
    <row r="2600" spans="5:6">
      <c r="E2600" s="206"/>
      <c r="F2600" s="206"/>
    </row>
    <row r="2601" spans="5:6">
      <c r="E2601" s="206"/>
      <c r="F2601" s="206"/>
    </row>
    <row r="2602" spans="5:6">
      <c r="E2602" s="206"/>
      <c r="F2602" s="206"/>
    </row>
    <row r="2603" spans="5:6">
      <c r="E2603" s="206"/>
      <c r="F2603" s="206"/>
    </row>
    <row r="2604" spans="5:6">
      <c r="E2604" s="206"/>
      <c r="F2604" s="206"/>
    </row>
    <row r="2605" spans="5:6">
      <c r="E2605" s="206"/>
      <c r="F2605" s="206"/>
    </row>
    <row r="2606" spans="5:6">
      <c r="E2606" s="206"/>
      <c r="F2606" s="206"/>
    </row>
    <row r="2607" spans="5:6">
      <c r="E2607" s="206"/>
      <c r="F2607" s="206"/>
    </row>
    <row r="2608" spans="5:6">
      <c r="E2608" s="206"/>
      <c r="F2608" s="206"/>
    </row>
    <row r="2609" spans="5:6">
      <c r="E2609" s="206"/>
      <c r="F2609" s="206"/>
    </row>
    <row r="2610" spans="5:6">
      <c r="E2610" s="206"/>
      <c r="F2610" s="206"/>
    </row>
    <row r="2611" spans="5:6">
      <c r="E2611" s="206"/>
      <c r="F2611" s="206"/>
    </row>
    <row r="2612" spans="5:6">
      <c r="E2612" s="206"/>
      <c r="F2612" s="206"/>
    </row>
    <row r="2613" spans="5:6">
      <c r="E2613" s="206"/>
      <c r="F2613" s="206"/>
    </row>
    <row r="2614" spans="5:6">
      <c r="E2614" s="206"/>
      <c r="F2614" s="206"/>
    </row>
    <row r="2615" spans="5:6">
      <c r="E2615" s="206"/>
      <c r="F2615" s="206"/>
    </row>
    <row r="2616" spans="5:6">
      <c r="E2616" s="206"/>
      <c r="F2616" s="206"/>
    </row>
    <row r="2617" spans="5:6">
      <c r="E2617" s="206"/>
      <c r="F2617" s="206"/>
    </row>
    <row r="2618" spans="5:6">
      <c r="E2618" s="206"/>
      <c r="F2618" s="206"/>
    </row>
    <row r="2619" spans="5:6">
      <c r="E2619" s="206"/>
      <c r="F2619" s="206"/>
    </row>
    <row r="2620" spans="5:6">
      <c r="E2620" s="206"/>
      <c r="F2620" s="206"/>
    </row>
    <row r="2621" spans="5:6">
      <c r="E2621" s="206"/>
      <c r="F2621" s="206"/>
    </row>
    <row r="2622" spans="5:6">
      <c r="E2622" s="206"/>
      <c r="F2622" s="206"/>
    </row>
    <row r="2623" spans="5:6">
      <c r="E2623" s="206"/>
      <c r="F2623" s="206"/>
    </row>
    <row r="2624" spans="5:6">
      <c r="E2624" s="206"/>
      <c r="F2624" s="206"/>
    </row>
    <row r="2625" spans="5:6">
      <c r="E2625" s="206"/>
      <c r="F2625" s="206"/>
    </row>
    <row r="2626" spans="5:6">
      <c r="E2626" s="206"/>
      <c r="F2626" s="206"/>
    </row>
    <row r="2627" spans="5:6">
      <c r="E2627" s="206"/>
      <c r="F2627" s="206"/>
    </row>
    <row r="2628" spans="5:6">
      <c r="E2628" s="206"/>
      <c r="F2628" s="206"/>
    </row>
    <row r="2629" spans="5:6">
      <c r="E2629" s="206"/>
      <c r="F2629" s="206"/>
    </row>
    <row r="2630" spans="5:6">
      <c r="E2630" s="206"/>
      <c r="F2630" s="206"/>
    </row>
    <row r="2631" spans="5:6">
      <c r="E2631" s="206"/>
      <c r="F2631" s="206"/>
    </row>
    <row r="2632" spans="5:6">
      <c r="E2632" s="206"/>
      <c r="F2632" s="206"/>
    </row>
    <row r="2633" spans="5:6">
      <c r="E2633" s="206"/>
      <c r="F2633" s="206"/>
    </row>
    <row r="2634" spans="5:6">
      <c r="E2634" s="206"/>
      <c r="F2634" s="206"/>
    </row>
    <row r="2635" spans="5:6">
      <c r="E2635" s="206"/>
      <c r="F2635" s="206"/>
    </row>
    <row r="2636" spans="5:6">
      <c r="E2636" s="206"/>
      <c r="F2636" s="206"/>
    </row>
    <row r="2637" spans="5:6">
      <c r="E2637" s="206"/>
      <c r="F2637" s="206"/>
    </row>
    <row r="2638" spans="5:6">
      <c r="E2638" s="206"/>
      <c r="F2638" s="206"/>
    </row>
    <row r="2639" spans="5:6">
      <c r="E2639" s="206"/>
      <c r="F2639" s="206"/>
    </row>
    <row r="2640" spans="5:6">
      <c r="E2640" s="206"/>
      <c r="F2640" s="206"/>
    </row>
    <row r="2641" spans="5:6">
      <c r="E2641" s="206"/>
      <c r="F2641" s="206"/>
    </row>
    <row r="2642" spans="5:6">
      <c r="E2642" s="206"/>
      <c r="F2642" s="206"/>
    </row>
    <row r="2643" spans="5:6">
      <c r="E2643" s="206"/>
      <c r="F2643" s="206"/>
    </row>
    <row r="2644" spans="5:6">
      <c r="E2644" s="206"/>
      <c r="F2644" s="206"/>
    </row>
    <row r="2645" spans="5:6">
      <c r="E2645" s="206"/>
      <c r="F2645" s="206"/>
    </row>
    <row r="2646" spans="5:6">
      <c r="E2646" s="206"/>
      <c r="F2646" s="206"/>
    </row>
    <row r="2647" spans="5:6">
      <c r="E2647" s="206"/>
      <c r="F2647" s="206"/>
    </row>
    <row r="2648" spans="5:6">
      <c r="E2648" s="206"/>
      <c r="F2648" s="206"/>
    </row>
    <row r="2649" spans="5:6">
      <c r="E2649" s="206"/>
      <c r="F2649" s="206"/>
    </row>
    <row r="2650" spans="5:6">
      <c r="E2650" s="206"/>
      <c r="F2650" s="206"/>
    </row>
    <row r="2651" spans="5:6">
      <c r="E2651" s="206"/>
      <c r="F2651" s="206"/>
    </row>
    <row r="2652" spans="5:6">
      <c r="E2652" s="206"/>
      <c r="F2652" s="206"/>
    </row>
    <row r="2653" spans="5:6">
      <c r="E2653" s="206"/>
      <c r="F2653" s="206"/>
    </row>
    <row r="2654" spans="5:6">
      <c r="E2654" s="206"/>
      <c r="F2654" s="206"/>
    </row>
    <row r="2655" spans="5:6">
      <c r="E2655" s="206"/>
      <c r="F2655" s="206"/>
    </row>
    <row r="2656" spans="5:6">
      <c r="E2656" s="206"/>
      <c r="F2656" s="206"/>
    </row>
    <row r="2657" spans="5:6">
      <c r="E2657" s="206"/>
      <c r="F2657" s="206"/>
    </row>
    <row r="2658" spans="5:6">
      <c r="E2658" s="206"/>
      <c r="F2658" s="206"/>
    </row>
    <row r="2659" spans="5:6">
      <c r="E2659" s="206"/>
      <c r="F2659" s="206"/>
    </row>
    <row r="2660" spans="5:6">
      <c r="E2660" s="206"/>
      <c r="F2660" s="206"/>
    </row>
    <row r="2661" spans="5:6">
      <c r="E2661" s="206"/>
      <c r="F2661" s="206"/>
    </row>
    <row r="2662" spans="5:6">
      <c r="E2662" s="206"/>
      <c r="F2662" s="206"/>
    </row>
    <row r="2663" spans="5:6">
      <c r="E2663" s="206"/>
      <c r="F2663" s="206"/>
    </row>
    <row r="2664" spans="5:6">
      <c r="E2664" s="206"/>
      <c r="F2664" s="206"/>
    </row>
    <row r="2665" spans="5:6">
      <c r="E2665" s="206"/>
      <c r="F2665" s="206"/>
    </row>
    <row r="2666" spans="5:6">
      <c r="E2666" s="206"/>
      <c r="F2666" s="206"/>
    </row>
    <row r="2667" spans="5:6">
      <c r="E2667" s="206"/>
      <c r="F2667" s="206"/>
    </row>
    <row r="2668" spans="5:6">
      <c r="E2668" s="206"/>
      <c r="F2668" s="206"/>
    </row>
    <row r="2669" spans="5:6">
      <c r="E2669" s="206"/>
      <c r="F2669" s="206"/>
    </row>
    <row r="2670" spans="5:6">
      <c r="E2670" s="206"/>
      <c r="F2670" s="206"/>
    </row>
    <row r="2671" spans="5:6">
      <c r="E2671" s="206"/>
      <c r="F2671" s="206"/>
    </row>
    <row r="2672" spans="5:6">
      <c r="E2672" s="206"/>
      <c r="F2672" s="206"/>
    </row>
    <row r="2673" spans="5:6">
      <c r="E2673" s="206"/>
      <c r="F2673" s="206"/>
    </row>
    <row r="2674" spans="5:6">
      <c r="E2674" s="206"/>
      <c r="F2674" s="206"/>
    </row>
    <row r="2675" spans="5:6">
      <c r="E2675" s="206"/>
      <c r="F2675" s="206"/>
    </row>
    <row r="2676" spans="5:6">
      <c r="E2676" s="206"/>
      <c r="F2676" s="206"/>
    </row>
    <row r="2677" spans="5:6">
      <c r="E2677" s="206"/>
      <c r="F2677" s="206"/>
    </row>
    <row r="2678" spans="5:6">
      <c r="E2678" s="206"/>
      <c r="F2678" s="206"/>
    </row>
    <row r="2679" spans="5:6">
      <c r="E2679" s="206"/>
      <c r="F2679" s="206"/>
    </row>
    <row r="2680" spans="5:6">
      <c r="E2680" s="206"/>
      <c r="F2680" s="206"/>
    </row>
    <row r="2681" spans="5:6">
      <c r="E2681" s="206"/>
      <c r="F2681" s="206"/>
    </row>
    <row r="2682" spans="5:6">
      <c r="E2682" s="206"/>
      <c r="F2682" s="206"/>
    </row>
    <row r="2683" spans="5:6">
      <c r="E2683" s="206"/>
      <c r="F2683" s="206"/>
    </row>
    <row r="2684" spans="5:6">
      <c r="E2684" s="206"/>
      <c r="F2684" s="206"/>
    </row>
    <row r="2685" spans="5:6">
      <c r="E2685" s="206"/>
      <c r="F2685" s="206"/>
    </row>
    <row r="2686" spans="5:6">
      <c r="E2686" s="206"/>
      <c r="F2686" s="206"/>
    </row>
    <row r="2687" spans="5:6">
      <c r="E2687" s="206"/>
      <c r="F2687" s="206"/>
    </row>
    <row r="2688" spans="5:6">
      <c r="E2688" s="206"/>
      <c r="F2688" s="206"/>
    </row>
    <row r="2689" spans="5:6">
      <c r="E2689" s="206"/>
      <c r="F2689" s="206"/>
    </row>
    <row r="2690" spans="5:6">
      <c r="E2690" s="206"/>
      <c r="F2690" s="206"/>
    </row>
    <row r="2691" spans="5:6">
      <c r="E2691" s="206"/>
      <c r="F2691" s="206"/>
    </row>
    <row r="2692" spans="5:6">
      <c r="E2692" s="206"/>
      <c r="F2692" s="206"/>
    </row>
    <row r="2693" spans="5:6">
      <c r="E2693" s="206"/>
      <c r="F2693" s="206"/>
    </row>
    <row r="2694" spans="5:6">
      <c r="E2694" s="206"/>
      <c r="F2694" s="206"/>
    </row>
    <row r="2695" spans="5:6">
      <c r="E2695" s="206"/>
      <c r="F2695" s="206"/>
    </row>
    <row r="2696" spans="5:6">
      <c r="E2696" s="206"/>
      <c r="F2696" s="206"/>
    </row>
    <row r="2697" spans="5:6">
      <c r="E2697" s="206"/>
      <c r="F2697" s="206"/>
    </row>
    <row r="2698" spans="5:6">
      <c r="E2698" s="206"/>
      <c r="F2698" s="206"/>
    </row>
    <row r="2699" spans="5:6">
      <c r="E2699" s="206"/>
      <c r="F2699" s="206"/>
    </row>
    <row r="2700" spans="5:6">
      <c r="E2700" s="206"/>
      <c r="F2700" s="206"/>
    </row>
    <row r="2701" spans="5:6">
      <c r="E2701" s="206"/>
      <c r="F2701" s="206"/>
    </row>
    <row r="2702" spans="5:6">
      <c r="E2702" s="206"/>
      <c r="F2702" s="206"/>
    </row>
    <row r="2703" spans="5:6">
      <c r="E2703" s="206"/>
      <c r="F2703" s="206"/>
    </row>
    <row r="2704" spans="5:6">
      <c r="E2704" s="206"/>
      <c r="F2704" s="206"/>
    </row>
    <row r="2705" spans="5:6">
      <c r="E2705" s="206"/>
      <c r="F2705" s="206"/>
    </row>
    <row r="2706" spans="5:6">
      <c r="E2706" s="206"/>
      <c r="F2706" s="206"/>
    </row>
    <row r="2707" spans="5:6">
      <c r="E2707" s="206"/>
      <c r="F2707" s="206"/>
    </row>
    <row r="2708" spans="5:6">
      <c r="E2708" s="206"/>
      <c r="F2708" s="206"/>
    </row>
    <row r="2709" spans="5:6">
      <c r="E2709" s="206"/>
      <c r="F2709" s="206"/>
    </row>
    <row r="2710" spans="5:6">
      <c r="E2710" s="206"/>
      <c r="F2710" s="206"/>
    </row>
    <row r="2711" spans="5:6">
      <c r="E2711" s="206"/>
      <c r="F2711" s="206"/>
    </row>
    <row r="2712" spans="5:6">
      <c r="E2712" s="206"/>
      <c r="F2712" s="206"/>
    </row>
    <row r="2713" spans="5:6">
      <c r="E2713" s="206"/>
      <c r="F2713" s="206"/>
    </row>
    <row r="2714" spans="5:6">
      <c r="E2714" s="206"/>
      <c r="F2714" s="206"/>
    </row>
    <row r="2715" spans="5:6">
      <c r="E2715" s="206"/>
      <c r="F2715" s="206"/>
    </row>
    <row r="2716" spans="5:6">
      <c r="E2716" s="206"/>
      <c r="F2716" s="206"/>
    </row>
    <row r="2717" spans="5:6">
      <c r="E2717" s="206"/>
      <c r="F2717" s="206"/>
    </row>
    <row r="2718" spans="5:6">
      <c r="E2718" s="206"/>
      <c r="F2718" s="206"/>
    </row>
    <row r="2719" spans="5:6">
      <c r="E2719" s="206"/>
      <c r="F2719" s="206"/>
    </row>
    <row r="2720" spans="5:6">
      <c r="E2720" s="206"/>
      <c r="F2720" s="206"/>
    </row>
    <row r="2721" spans="5:6">
      <c r="E2721" s="206"/>
      <c r="F2721" s="206"/>
    </row>
    <row r="2722" spans="5:6">
      <c r="E2722" s="206"/>
      <c r="F2722" s="206"/>
    </row>
    <row r="2723" spans="5:6">
      <c r="E2723" s="206"/>
      <c r="F2723" s="206"/>
    </row>
    <row r="2724" spans="5:6">
      <c r="E2724" s="206"/>
      <c r="F2724" s="206"/>
    </row>
    <row r="2725" spans="5:6">
      <c r="E2725" s="206"/>
      <c r="F2725" s="206"/>
    </row>
    <row r="2726" spans="5:6">
      <c r="E2726" s="206"/>
      <c r="F2726" s="206"/>
    </row>
    <row r="2727" spans="5:6">
      <c r="E2727" s="206"/>
      <c r="F2727" s="206"/>
    </row>
    <row r="2728" spans="5:6">
      <c r="E2728" s="206"/>
      <c r="F2728" s="206"/>
    </row>
    <row r="2729" spans="5:6">
      <c r="E2729" s="206">
        <f t="shared" ref="E2729:E2790" si="18">C2729/115</f>
        <v>0</v>
      </c>
      <c r="F2729" s="206"/>
    </row>
    <row r="2730" spans="5:6">
      <c r="E2730" s="206">
        <f t="shared" si="18"/>
        <v>0</v>
      </c>
      <c r="F2730" s="206"/>
    </row>
    <row r="2731" spans="5:6">
      <c r="E2731" s="206">
        <f t="shared" si="18"/>
        <v>0</v>
      </c>
      <c r="F2731" s="206"/>
    </row>
    <row r="2732" spans="5:6">
      <c r="E2732" s="206">
        <f t="shared" si="18"/>
        <v>0</v>
      </c>
      <c r="F2732" s="206"/>
    </row>
    <row r="2733" spans="5:6">
      <c r="E2733" s="206">
        <f t="shared" si="18"/>
        <v>0</v>
      </c>
      <c r="F2733" s="206"/>
    </row>
    <row r="2734" spans="5:6">
      <c r="E2734" s="206">
        <f t="shared" si="18"/>
        <v>0</v>
      </c>
      <c r="F2734" s="206"/>
    </row>
    <row r="2735" spans="5:6">
      <c r="E2735" s="206">
        <f t="shared" si="18"/>
        <v>0</v>
      </c>
      <c r="F2735" s="206"/>
    </row>
    <row r="2736" spans="5:6">
      <c r="E2736" s="206">
        <f t="shared" si="18"/>
        <v>0</v>
      </c>
      <c r="F2736" s="206"/>
    </row>
    <row r="2737" spans="5:6">
      <c r="E2737" s="206">
        <f t="shared" si="18"/>
        <v>0</v>
      </c>
      <c r="F2737" s="206"/>
    </row>
    <row r="2738" spans="5:6">
      <c r="E2738" s="206">
        <f t="shared" si="18"/>
        <v>0</v>
      </c>
      <c r="F2738" s="206"/>
    </row>
    <row r="2739" spans="5:6">
      <c r="E2739" s="206">
        <f t="shared" si="18"/>
        <v>0</v>
      </c>
      <c r="F2739" s="206"/>
    </row>
    <row r="2740" spans="5:6">
      <c r="E2740" s="206">
        <f t="shared" si="18"/>
        <v>0</v>
      </c>
      <c r="F2740" s="206"/>
    </row>
    <row r="2741" spans="5:6">
      <c r="E2741" s="206">
        <f t="shared" si="18"/>
        <v>0</v>
      </c>
      <c r="F2741" s="206"/>
    </row>
    <row r="2742" spans="5:6">
      <c r="E2742" s="206">
        <f t="shared" si="18"/>
        <v>0</v>
      </c>
      <c r="F2742" s="206"/>
    </row>
    <row r="2743" spans="5:6">
      <c r="E2743" s="206">
        <f t="shared" si="18"/>
        <v>0</v>
      </c>
      <c r="F2743" s="206"/>
    </row>
    <row r="2744" spans="5:6">
      <c r="E2744" s="206">
        <f t="shared" si="18"/>
        <v>0</v>
      </c>
      <c r="F2744" s="206"/>
    </row>
    <row r="2745" spans="5:6">
      <c r="E2745" s="206">
        <f t="shared" si="18"/>
        <v>0</v>
      </c>
      <c r="F2745" s="206"/>
    </row>
    <row r="2746" spans="5:6">
      <c r="E2746" s="206">
        <f t="shared" si="18"/>
        <v>0</v>
      </c>
      <c r="F2746" s="206"/>
    </row>
    <row r="2747" spans="5:6">
      <c r="E2747" s="206">
        <f t="shared" si="18"/>
        <v>0</v>
      </c>
      <c r="F2747" s="206"/>
    </row>
    <row r="2748" spans="5:6">
      <c r="E2748" s="206">
        <f t="shared" si="18"/>
        <v>0</v>
      </c>
      <c r="F2748" s="206"/>
    </row>
    <row r="2749" spans="5:6">
      <c r="E2749" s="206">
        <f t="shared" si="18"/>
        <v>0</v>
      </c>
      <c r="F2749" s="206"/>
    </row>
    <row r="2750" spans="5:6">
      <c r="E2750" s="206">
        <f t="shared" si="18"/>
        <v>0</v>
      </c>
      <c r="F2750" s="206"/>
    </row>
    <row r="2751" spans="5:6">
      <c r="E2751" s="206">
        <f t="shared" si="18"/>
        <v>0</v>
      </c>
      <c r="F2751" s="206"/>
    </row>
    <row r="2752" spans="5:6">
      <c r="E2752" s="206">
        <f t="shared" si="18"/>
        <v>0</v>
      </c>
      <c r="F2752" s="206"/>
    </row>
    <row r="2753" spans="5:6">
      <c r="E2753" s="206">
        <f t="shared" si="18"/>
        <v>0</v>
      </c>
      <c r="F2753" s="206"/>
    </row>
    <row r="2754" spans="5:6">
      <c r="E2754" s="206">
        <f t="shared" si="18"/>
        <v>0</v>
      </c>
      <c r="F2754" s="206"/>
    </row>
    <row r="2755" spans="5:6">
      <c r="E2755" s="206">
        <f t="shared" si="18"/>
        <v>0</v>
      </c>
      <c r="F2755" s="206"/>
    </row>
    <row r="2756" spans="5:6">
      <c r="E2756" s="206">
        <f t="shared" si="18"/>
        <v>0</v>
      </c>
      <c r="F2756" s="206"/>
    </row>
    <row r="2757" spans="5:6">
      <c r="E2757" s="206">
        <f t="shared" si="18"/>
        <v>0</v>
      </c>
      <c r="F2757" s="206"/>
    </row>
    <row r="2758" spans="5:6">
      <c r="E2758" s="206">
        <f t="shared" si="18"/>
        <v>0</v>
      </c>
      <c r="F2758" s="206"/>
    </row>
    <row r="2759" spans="5:6">
      <c r="E2759" s="206">
        <f t="shared" si="18"/>
        <v>0</v>
      </c>
      <c r="F2759" s="206"/>
    </row>
    <row r="2760" spans="5:6">
      <c r="E2760" s="206">
        <f t="shared" si="18"/>
        <v>0</v>
      </c>
      <c r="F2760" s="206"/>
    </row>
    <row r="2761" spans="5:6">
      <c r="E2761" s="206">
        <f t="shared" si="18"/>
        <v>0</v>
      </c>
      <c r="F2761" s="206"/>
    </row>
    <row r="2762" spans="5:6">
      <c r="E2762" s="206">
        <f t="shared" si="18"/>
        <v>0</v>
      </c>
      <c r="F2762" s="206"/>
    </row>
    <row r="2763" spans="5:6">
      <c r="E2763" s="206">
        <f t="shared" si="18"/>
        <v>0</v>
      </c>
      <c r="F2763" s="206"/>
    </row>
    <row r="2764" spans="5:6">
      <c r="E2764" s="206">
        <f t="shared" si="18"/>
        <v>0</v>
      </c>
      <c r="F2764" s="206"/>
    </row>
    <row r="2765" spans="5:6">
      <c r="E2765" s="206">
        <f t="shared" si="18"/>
        <v>0</v>
      </c>
      <c r="F2765" s="206"/>
    </row>
    <row r="2766" spans="5:6">
      <c r="E2766" s="206">
        <f t="shared" si="18"/>
        <v>0</v>
      </c>
      <c r="F2766" s="206"/>
    </row>
    <row r="2767" spans="5:6">
      <c r="E2767" s="206">
        <f t="shared" si="18"/>
        <v>0</v>
      </c>
      <c r="F2767" s="206"/>
    </row>
    <row r="2768" spans="5:6">
      <c r="E2768" s="206">
        <f t="shared" si="18"/>
        <v>0</v>
      </c>
      <c r="F2768" s="206"/>
    </row>
    <row r="2769" spans="5:6">
      <c r="E2769" s="206">
        <f t="shared" si="18"/>
        <v>0</v>
      </c>
      <c r="F2769" s="206"/>
    </row>
    <row r="2770" spans="5:6">
      <c r="E2770" s="206">
        <f t="shared" si="18"/>
        <v>0</v>
      </c>
      <c r="F2770" s="206"/>
    </row>
    <row r="2771" spans="5:6">
      <c r="E2771" s="206">
        <f t="shared" si="18"/>
        <v>0</v>
      </c>
      <c r="F2771" s="206"/>
    </row>
    <row r="2772" spans="5:6">
      <c r="E2772" s="206">
        <f t="shared" si="18"/>
        <v>0</v>
      </c>
      <c r="F2772" s="206"/>
    </row>
    <row r="2773" spans="5:6">
      <c r="E2773" s="206">
        <f t="shared" si="18"/>
        <v>0</v>
      </c>
      <c r="F2773" s="206"/>
    </row>
    <row r="2774" spans="5:6">
      <c r="E2774" s="206">
        <f t="shared" si="18"/>
        <v>0</v>
      </c>
      <c r="F2774" s="206"/>
    </row>
    <row r="2775" spans="5:6">
      <c r="E2775" s="206">
        <f t="shared" si="18"/>
        <v>0</v>
      </c>
      <c r="F2775" s="206"/>
    </row>
    <row r="2776" spans="5:6">
      <c r="E2776" s="206">
        <f t="shared" si="18"/>
        <v>0</v>
      </c>
      <c r="F2776" s="206"/>
    </row>
    <row r="2777" spans="5:6">
      <c r="E2777" s="206">
        <f t="shared" si="18"/>
        <v>0</v>
      </c>
      <c r="F2777" s="206"/>
    </row>
    <row r="2778" spans="5:6">
      <c r="E2778" s="206">
        <f t="shared" si="18"/>
        <v>0</v>
      </c>
      <c r="F2778" s="206"/>
    </row>
    <row r="2779" spans="5:6">
      <c r="E2779" s="206">
        <f t="shared" si="18"/>
        <v>0</v>
      </c>
      <c r="F2779" s="206"/>
    </row>
    <row r="2780" spans="5:6">
      <c r="E2780" s="206">
        <f t="shared" si="18"/>
        <v>0</v>
      </c>
      <c r="F2780" s="206"/>
    </row>
    <row r="2781" spans="5:6">
      <c r="E2781" s="206">
        <f t="shared" si="18"/>
        <v>0</v>
      </c>
      <c r="F2781" s="206"/>
    </row>
    <row r="2782" spans="5:6">
      <c r="E2782" s="206">
        <f t="shared" si="18"/>
        <v>0</v>
      </c>
      <c r="F2782" s="206"/>
    </row>
    <row r="2783" spans="5:6">
      <c r="E2783" s="206">
        <f t="shared" si="18"/>
        <v>0</v>
      </c>
      <c r="F2783" s="206"/>
    </row>
    <row r="2784" spans="5:6">
      <c r="E2784" s="206">
        <f t="shared" si="18"/>
        <v>0</v>
      </c>
      <c r="F2784" s="206"/>
    </row>
    <row r="2785" spans="5:6">
      <c r="E2785" s="206">
        <f t="shared" si="18"/>
        <v>0</v>
      </c>
      <c r="F2785" s="206"/>
    </row>
    <row r="2786" spans="5:6">
      <c r="E2786" s="206">
        <f t="shared" si="18"/>
        <v>0</v>
      </c>
      <c r="F2786" s="206"/>
    </row>
    <row r="2787" spans="5:6">
      <c r="E2787" s="206">
        <f t="shared" si="18"/>
        <v>0</v>
      </c>
      <c r="F2787" s="206"/>
    </row>
    <row r="2788" spans="5:6">
      <c r="E2788" s="206">
        <f t="shared" si="18"/>
        <v>0</v>
      </c>
      <c r="F2788" s="206"/>
    </row>
    <row r="2789" spans="5:6">
      <c r="E2789" s="206">
        <f t="shared" si="18"/>
        <v>0</v>
      </c>
      <c r="F2789" s="206"/>
    </row>
    <row r="2790" spans="5:6">
      <c r="E2790" s="206">
        <f t="shared" si="18"/>
        <v>0</v>
      </c>
      <c r="F2790" s="206"/>
    </row>
  </sheetData>
  <sheetProtection formatCells="0" formatColumns="0" formatRows="0" insertColumns="0" insertRows="0" insertHyperlinks="0" deleteColumns="0" deleteRows="0" sort="0" autoFilter="0" pivotTables="0"/>
  <mergeCells count="1">
    <mergeCell ref="I4:J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25</vt:i4>
      </vt:variant>
    </vt:vector>
  </HeadingPairs>
  <TitlesOfParts>
    <vt:vector size="25" baseType="lpstr">
      <vt:lpstr>Bilans i a. wskaźnikowa</vt:lpstr>
      <vt:lpstr>Analiza wrażliwości</vt:lpstr>
      <vt:lpstr>RZiS</vt:lpstr>
      <vt:lpstr>RPP</vt:lpstr>
      <vt:lpstr> VAT i KON</vt:lpstr>
      <vt:lpstr>IRR i NPV Projekt 1</vt:lpstr>
      <vt:lpstr>IRR i NPV Projekt 2-4</vt:lpstr>
      <vt:lpstr>Przy. i koszty-proj wnioskowany</vt:lpstr>
      <vt:lpstr>Pożyczka-projekt wnioskowany</vt:lpstr>
      <vt:lpstr>Przychody i koszty projektu 1</vt:lpstr>
      <vt:lpstr>Projekt 1 - majątek</vt:lpstr>
      <vt:lpstr>Pożyczka - projekt 1</vt:lpstr>
      <vt:lpstr>Przychody i koszty projekt 2-4</vt:lpstr>
      <vt:lpstr>Projekt 2-4 - majątek</vt:lpstr>
      <vt:lpstr>Pożyczka - projekt 2-4</vt:lpstr>
      <vt:lpstr>Amortyzacja obecna i projektowa</vt:lpstr>
      <vt:lpstr>Leasingi - obecnie</vt:lpstr>
      <vt:lpstr>Kredyty - obecnie</vt:lpstr>
      <vt:lpstr>Analityka</vt:lpstr>
      <vt:lpstr>Aktywa 2020</vt:lpstr>
      <vt:lpstr>Pasywa 2020</vt:lpstr>
      <vt:lpstr>RZiS_p 2020</vt:lpstr>
      <vt:lpstr>RMK</vt:lpstr>
      <vt:lpstr>Transze</vt:lpstr>
      <vt:lpstr>Fields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Bożena Sawa</cp:lastModifiedBy>
  <dcterms:created xsi:type="dcterms:W3CDTF">2009-06-17T07:33:19Z</dcterms:created>
  <dcterms:modified xsi:type="dcterms:W3CDTF">2022-07-19T12:36:36Z</dcterms:modified>
</cp:coreProperties>
</file>