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ZESTAWIENIE-szacowanie" sheetId="1" r:id="rId1"/>
  </sheets>
  <definedNames>
    <definedName name="Excel_BuiltIn_Print_Area" localSheetId="0">'ZESTAWIENIE-szacowanie'!$B$1:$AK$56</definedName>
    <definedName name="_xlnm.Print_Area" localSheetId="0">'ZESTAWIENIE-szacowanie'!$B$1:$AN$75</definedName>
  </definedNames>
  <calcPr fullCalcOnLoad="1"/>
</workbook>
</file>

<file path=xl/sharedStrings.xml><?xml version="1.0" encoding="utf-8"?>
<sst xmlns="http://schemas.openxmlformats.org/spreadsheetml/2006/main" count="485" uniqueCount="243">
  <si>
    <t>Lp.</t>
  </si>
  <si>
    <t>Nazwa obiektu</t>
  </si>
  <si>
    <t>Adres obiektu</t>
  </si>
  <si>
    <t xml:space="preserve">Nr odbiorcy </t>
  </si>
  <si>
    <t>Rodzaj urządzenia gazowego</t>
  </si>
  <si>
    <t>Ilość sztuk urzadzeń</t>
  </si>
  <si>
    <t>moc urządzenia w KW</t>
  </si>
  <si>
    <t xml:space="preserve">typ licznika / gazomierz </t>
  </si>
  <si>
    <t xml:space="preserve">rejestrator </t>
  </si>
  <si>
    <t>Obecne parametry</t>
  </si>
  <si>
    <t>Wnioskowane parametry</t>
  </si>
  <si>
    <t>Wykaz podmiotów/jednostek organizacyjnych Gminy Głuchołazy</t>
  </si>
  <si>
    <t xml:space="preserve">Miejscowość </t>
  </si>
  <si>
    <t>Ulica</t>
  </si>
  <si>
    <t>Numer</t>
  </si>
  <si>
    <t>Kod</t>
  </si>
  <si>
    <t>NIP</t>
  </si>
  <si>
    <t>Moc umowna kwh/h</t>
  </si>
  <si>
    <t>Grupa taryfowa</t>
  </si>
  <si>
    <t>Moc kWh/h</t>
  </si>
  <si>
    <t>planowane zużycie gazu w okresie trwania umowy w m³</t>
  </si>
  <si>
    <t>Gmina Głuchołazy</t>
  </si>
  <si>
    <t>Świetlica Charbielin</t>
  </si>
  <si>
    <t>Charbielin</t>
  </si>
  <si>
    <t>48-340</t>
  </si>
  <si>
    <t xml:space="preserve">3 szt. </t>
  </si>
  <si>
    <t>łącznie 72</t>
  </si>
  <si>
    <t>12 IBKG6</t>
  </si>
  <si>
    <t>W-3.6</t>
  </si>
  <si>
    <t xml:space="preserve">do 110 </t>
  </si>
  <si>
    <t>Kąpielisko Miejskie</t>
  </si>
  <si>
    <t>Głuchołazy</t>
  </si>
  <si>
    <t xml:space="preserve">Kościuszki </t>
  </si>
  <si>
    <t>55 A</t>
  </si>
  <si>
    <t xml:space="preserve">kocioł gazowy dwufunkcyjny z zamkniętą komorą spalania Mynute Green 50 R.S.I.     </t>
  </si>
  <si>
    <t>1 szt.</t>
  </si>
  <si>
    <t>70</t>
  </si>
  <si>
    <t>W-4</t>
  </si>
  <si>
    <t>Urząd Miejski</t>
  </si>
  <si>
    <t>Rynek</t>
  </si>
  <si>
    <t>kocioł gazowy z zamknietą komorą spalania                                                                                                                                                                                                                                                                                                                                  Remeha gas 350</t>
  </si>
  <si>
    <t>120</t>
  </si>
  <si>
    <t>BK-G10</t>
  </si>
  <si>
    <t>szkoła</t>
  </si>
  <si>
    <t xml:space="preserve">Aleja Jana Pawła II </t>
  </si>
  <si>
    <t>kocioł gazowy</t>
  </si>
  <si>
    <t>gazomierz</t>
  </si>
  <si>
    <t>1</t>
  </si>
  <si>
    <t>Centrum Kultury w Głuchołazach</t>
  </si>
  <si>
    <t>Boh. Warszawy</t>
  </si>
  <si>
    <t>piec c.o.</t>
  </si>
  <si>
    <t>20.0</t>
  </si>
  <si>
    <t>BK G10</t>
  </si>
  <si>
    <t>Publiczne Przedszkole nr 1 im." Bajka"</t>
  </si>
  <si>
    <t>Skłodowskiej</t>
  </si>
  <si>
    <t>G 4 metrix 08 M 6G4L</t>
  </si>
  <si>
    <t>brak danych</t>
  </si>
  <si>
    <t>taboret</t>
  </si>
  <si>
    <t>3</t>
  </si>
  <si>
    <t>9,0</t>
  </si>
  <si>
    <t>kuchenka 4 palnikowa</t>
  </si>
  <si>
    <t>piec kapielowy</t>
  </si>
  <si>
    <t>Słowackiego</t>
  </si>
  <si>
    <t>kotły gazowe</t>
  </si>
  <si>
    <t>130 ,90</t>
  </si>
  <si>
    <t>BK-G16</t>
  </si>
  <si>
    <t>CRS-03</t>
  </si>
  <si>
    <t>KOCIOŁ DWUFUNKCYJNY</t>
  </si>
  <si>
    <t xml:space="preserve">piec De Sietrich model C210-210 Eco </t>
  </si>
  <si>
    <t>gazomierz nr 18032763</t>
  </si>
  <si>
    <t>Impulsow CRS-03 nr 09/14024</t>
  </si>
  <si>
    <t>piec c.o. BROTJE HEIZUNG Eco Therm Plus WGB 50 D</t>
  </si>
  <si>
    <t>12,0-50,0 Kw</t>
  </si>
  <si>
    <t>G 6 4 L</t>
  </si>
  <si>
    <t xml:space="preserve"> </t>
  </si>
  <si>
    <t>W -4</t>
  </si>
  <si>
    <t>piecyk gazowy do podgrzewania wody VAILLANT PL 14 -0/0 XI H</t>
  </si>
  <si>
    <t>24,0</t>
  </si>
  <si>
    <t>2</t>
  </si>
  <si>
    <t>Publiczna Szkoła Podstawowa nr 1 im. Krzysztofa Kamila Baczyńskiego</t>
  </si>
  <si>
    <t xml:space="preserve">Curie-Skłodowskiej </t>
  </si>
  <si>
    <t>kocioł C.O.</t>
  </si>
  <si>
    <t>Bodzanów</t>
  </si>
  <si>
    <t>kocioł 2-funk</t>
  </si>
  <si>
    <t>120kW</t>
  </si>
  <si>
    <t>CRS 03</t>
  </si>
  <si>
    <t>Budynek mieszkalny</t>
  </si>
  <si>
    <t>Kraszewskiego</t>
  </si>
  <si>
    <t>Dietrich</t>
  </si>
  <si>
    <t>70 kW</t>
  </si>
  <si>
    <t>nr 00202974</t>
  </si>
  <si>
    <t>do 110</t>
  </si>
  <si>
    <t>SUMA</t>
  </si>
  <si>
    <t>okres dostawy    (zawarcia umowy), UWAGI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</si>
  <si>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</si>
  <si>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</si>
  <si>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</si>
  <si>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</si>
  <si>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</si>
  <si>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</si>
  <si>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</si>
  <si>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</si>
  <si>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</si>
  <si>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</si>
  <si>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</si>
  <si>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</si>
  <si>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0949535241</t>
  </si>
  <si>
    <t>1618058102</t>
  </si>
  <si>
    <t xml:space="preserve">Wykaz punktów poboru gazu </t>
  </si>
  <si>
    <t>0111198401</t>
  </si>
  <si>
    <t>0799346526</t>
  </si>
  <si>
    <t>ID punktu wyjścia/nr PPG</t>
  </si>
  <si>
    <t>Gmina Głuchołazy Gminny Ośrodek Sportu i Reakreacji</t>
  </si>
  <si>
    <t>Gmina Głuchołazy Publiczne Przedszkole nr 1 im." Bajka"</t>
  </si>
  <si>
    <t>Gmina Głuchołazy Ośrodek Pomocy Społecznej</t>
  </si>
  <si>
    <t>Gmina Głuchołazy Gminny Ośrodek Sportu i Rekreacji</t>
  </si>
  <si>
    <t>Gmina Głuchołazy Publiczne Przedszkole nr 2</t>
  </si>
  <si>
    <t>Gmina Głuchołazy  PSP Bodzanów</t>
  </si>
  <si>
    <t>Gmina Głuchołazy Szkoła Podstawowa nr 1</t>
  </si>
  <si>
    <t>Aleja Jana Pawła II</t>
  </si>
  <si>
    <t xml:space="preserve">Powstańców Śl. </t>
  </si>
  <si>
    <t>hala sportowa</t>
  </si>
  <si>
    <t>Publiczne Przedszkole nr 2</t>
  </si>
  <si>
    <t>WGB50H</t>
  </si>
  <si>
    <t>NG4701BN0089</t>
  </si>
  <si>
    <t>Baza Wydziału Sieci</t>
  </si>
  <si>
    <t>Lompy</t>
  </si>
  <si>
    <t>Kocioł</t>
  </si>
  <si>
    <t>Actaris G2,5</t>
  </si>
  <si>
    <t>Vitodens 100</t>
  </si>
  <si>
    <r>
      <t>Q</t>
    </r>
    <r>
      <rPr>
        <sz val="8"/>
        <rFont val="Arial"/>
        <family val="2"/>
      </rPr>
      <t>max</t>
    </r>
    <r>
      <rPr>
        <sz val="11"/>
        <rFont val="Arial"/>
        <family val="2"/>
      </rPr>
      <t xml:space="preserve"> 4m3/h</t>
    </r>
  </si>
  <si>
    <t>OPS Głuchołazy</t>
  </si>
  <si>
    <t>Wodociągi Sp. Z o.o. Głuchołazy</t>
  </si>
  <si>
    <t>W-3.9</t>
  </si>
  <si>
    <t>planowane obciążenie podatkiem akcyzowym</t>
  </si>
  <si>
    <t>Zwolnienie</t>
  </si>
  <si>
    <t>kocioł gazowy kondensacyjny z zamknietą komorą spalania firmy De Dietrich TGD 125 o mocy Q=60 kW + 2 kuchenki 4- pal. z piekarnikiem</t>
  </si>
  <si>
    <t>.</t>
  </si>
  <si>
    <t>Gmina Głuchołazy Publiczna Szkoła Podstawowa nr 3</t>
  </si>
  <si>
    <t>Publiczna Szkoła Podstawowa nr 3</t>
  </si>
  <si>
    <t xml:space="preserve">Boh. Warszawy </t>
  </si>
  <si>
    <t>Dietrich GT Diematic Delta</t>
  </si>
  <si>
    <t>W-5</t>
  </si>
  <si>
    <t>kocioł gazowy WGB 50 D</t>
  </si>
  <si>
    <t xml:space="preserve"> taborety gazowe 2</t>
  </si>
  <si>
    <t>Stadion Miejski</t>
  </si>
  <si>
    <t>Konopnickiej</t>
  </si>
  <si>
    <t>1618057066</t>
  </si>
  <si>
    <t>kocioł gazowy Brojte Heizung 28 kW</t>
  </si>
  <si>
    <t>28</t>
  </si>
  <si>
    <t>szacowana liczba godzin</t>
  </si>
  <si>
    <t>Budynek Liceum Ogólnokształcącego</t>
  </si>
  <si>
    <t>12070</t>
  </si>
  <si>
    <t>250</t>
  </si>
  <si>
    <t>budynek dworca PKP</t>
  </si>
  <si>
    <t>Wyszyńskiego</t>
  </si>
  <si>
    <t>1618069135</t>
  </si>
  <si>
    <t>Kocioł dwufunkcyjny</t>
  </si>
  <si>
    <t>24 kW</t>
  </si>
  <si>
    <t>gazomierz miechowy G4</t>
  </si>
  <si>
    <t>rejestrator 1szt.</t>
  </si>
  <si>
    <t>Tylna</t>
  </si>
  <si>
    <t>1618042096</t>
  </si>
  <si>
    <t xml:space="preserve">Kociał gazowy jednofunkcyjny </t>
  </si>
  <si>
    <t>45 Kw</t>
  </si>
  <si>
    <t xml:space="preserve">gazomierz miechowy G4 </t>
  </si>
  <si>
    <t xml:space="preserve"> rejestrator 1 szt   </t>
  </si>
  <si>
    <t>Stadion Miejski (pomieszczenia socjalne, szatnie)</t>
  </si>
  <si>
    <t xml:space="preserve">kocioł kondensacyjny BROTJE PWHC24 </t>
  </si>
  <si>
    <t>gazomierz nr 00017658</t>
  </si>
  <si>
    <t>m3</t>
  </si>
  <si>
    <t>kWh</t>
  </si>
  <si>
    <t>m3/kW/h</t>
  </si>
  <si>
    <t>kuchnia</t>
  </si>
  <si>
    <t>dz.172/3</t>
  </si>
  <si>
    <t>48-440</t>
  </si>
  <si>
    <t>1618195044</t>
  </si>
  <si>
    <t>gazomierz nr 892774</t>
  </si>
  <si>
    <t>83b</t>
  </si>
  <si>
    <t>PSP nr 2 w Głuchołazach</t>
  </si>
  <si>
    <t xml:space="preserve">Kraszewskiego </t>
  </si>
  <si>
    <t>Kompleksowa dostawa gazu ziemnego wysokometanowego (grupa E) obejmująca – sprzedaż i dystrybucję gazu dla potrzeb Gminy Głuchołazy oraz gminnych jednostek organizacyjnych - nr postępowania …</t>
  </si>
  <si>
    <t>Publiczna Szkoła Podstawowa nr 2 w Głuchołazach</t>
  </si>
  <si>
    <t>Żłobek Miejski w Głuchołazach</t>
  </si>
  <si>
    <t>Żłobek Miejski</t>
  </si>
  <si>
    <t xml:space="preserve">Al.. Jana Pawła II </t>
  </si>
  <si>
    <t>22-24</t>
  </si>
  <si>
    <t>15a</t>
  </si>
  <si>
    <t>65 kW</t>
  </si>
  <si>
    <t>KOCIOŁ DWUFUNKCYJNY De Detrich Elidens C140-65</t>
  </si>
  <si>
    <t>KOCIOŁ DWUFUNKCYJNY De Detrich Evodens Pro AMC 160</t>
  </si>
  <si>
    <t>160 kW</t>
  </si>
  <si>
    <t>14 IBKG6</t>
  </si>
  <si>
    <t xml:space="preserve">Gmina Głuchołazy                       </t>
  </si>
  <si>
    <t>świetlica Senior +</t>
  </si>
  <si>
    <t xml:space="preserve">Gmina Głuchołazy  </t>
  </si>
  <si>
    <t>1642305</t>
  </si>
  <si>
    <t>2809984</t>
  </si>
  <si>
    <t>Załącznik nr 1 do SWZ</t>
  </si>
  <si>
    <t>8018590365500000055807</t>
  </si>
  <si>
    <t>8018590365500031333844</t>
  </si>
  <si>
    <t>8018590365500001606671</t>
  </si>
  <si>
    <t>8018590365500003607751</t>
  </si>
  <si>
    <t>8018590365500000055777</t>
  </si>
  <si>
    <t>8018590365500001529789</t>
  </si>
  <si>
    <t>8018590365500001529796</t>
  </si>
  <si>
    <t>8018590365500000042234</t>
  </si>
  <si>
    <t>8018590365500000042036</t>
  </si>
  <si>
    <t>8018590365500031343607</t>
  </si>
  <si>
    <t>8018590365500003828231</t>
  </si>
  <si>
    <t>8018590365500002140266</t>
  </si>
  <si>
    <t>8018590365500001438555</t>
  </si>
  <si>
    <t>8018590365500029590181</t>
  </si>
  <si>
    <t>8018590365500001603533</t>
  </si>
  <si>
    <t>8018590365500008800256</t>
  </si>
  <si>
    <t>8018590365500018925970</t>
  </si>
  <si>
    <t>8018590365500013777529</t>
  </si>
  <si>
    <t>8018590365500029557955</t>
  </si>
  <si>
    <t>8018590365500000042050</t>
  </si>
  <si>
    <t>8018590365500029628228</t>
  </si>
  <si>
    <t>8018590365500000055654</t>
  </si>
  <si>
    <t>BW-3.6</t>
  </si>
  <si>
    <t>BW-3.9</t>
  </si>
  <si>
    <t>BW-4</t>
  </si>
  <si>
    <t>BW-5</t>
  </si>
  <si>
    <t>8018590365500020677638</t>
  </si>
  <si>
    <t>W- 3.6</t>
  </si>
  <si>
    <t>dz. nr. 1586</t>
  </si>
  <si>
    <t xml:space="preserve">Gmina Głuchołazy </t>
  </si>
  <si>
    <t>budynek szkolny - filia</t>
  </si>
  <si>
    <t>210</t>
  </si>
  <si>
    <t>8018590365500003607744</t>
  </si>
  <si>
    <t>1642248</t>
  </si>
  <si>
    <t>Ilość ppe</t>
  </si>
  <si>
    <t>Moc umowna</t>
  </si>
  <si>
    <t>Ilość godz. X moc umowna</t>
  </si>
  <si>
    <t>Podatek akcyzowy</t>
  </si>
  <si>
    <t>Suma</t>
  </si>
  <si>
    <r>
      <t>planowane zużycie gazu w ookresie trwania umowy w kWh/m</t>
    </r>
    <r>
      <rPr>
        <sz val="10"/>
        <rFont val="Czcionka tekstu podstawowego"/>
        <family val="0"/>
      </rPr>
      <t>³</t>
    </r>
    <r>
      <rPr>
        <sz val="10"/>
        <rFont val="Arial"/>
        <family val="2"/>
      </rPr>
      <t xml:space="preserve"> (współczynnik 11,315</t>
    </r>
  </si>
  <si>
    <t>sierpień 2024 r. lipiec 2025 r.</t>
  </si>
  <si>
    <t>BW-2.1</t>
  </si>
  <si>
    <t>W-2.1.</t>
  </si>
  <si>
    <t>Ilość kWh na 12 miesięcy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</si>
</sst>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_-* #,##0.00\ _z_ł_-;\-* #,##0.00\ _z_ł_-;_-* \-??\ _z_ł_-;_-@_-"/>
    <numFmt numFmtId="168" formatCode="yy\-mm"/>
    <numFmt numFmtId="169" formatCode="000\-000\-00\-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#,##0.0"/>
    <numFmt numFmtId="176" formatCode="#,##0.000"/>
    <numFmt numFmtId="177" formatCode="0.0000"/>
    <numFmt numFmtId="178" formatCode="00\-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zcionka tekstu podstawowego"/>
      <family val="0"/>
    </font>
    <font>
      <sz val="11"/>
      <name val="Arial"/>
      <family val="2"/>
    </font>
    <font>
      <sz val="10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name val="Arial CE"/>
      <family val="2"/>
    </font>
    <font>
      <sz val="14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7"/>
      <name val="Arial"/>
      <family val="2"/>
    </font>
    <font>
      <b/>
      <sz val="11"/>
      <color indexed="57"/>
      <name val="Calibri"/>
      <family val="2"/>
    </font>
    <font>
      <b/>
      <sz val="14"/>
      <color indexed="57"/>
      <name val="Calibri"/>
      <family val="2"/>
    </font>
    <font>
      <b/>
      <sz val="7"/>
      <color indexed="57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Calibri Light"/>
      <family val="1"/>
    </font>
    <font>
      <sz val="10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theme="9" tint="-0.24997000396251678"/>
      <name val="Arial"/>
      <family val="2"/>
    </font>
    <font>
      <b/>
      <sz val="11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7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8" fillId="3" borderId="0" applyNumberFormat="0" applyBorder="0" applyAlignment="0" applyProtection="0"/>
    <xf numFmtId="0" fontId="2" fillId="4" borderId="0" applyNumberFormat="0" applyBorder="0" applyAlignment="0" applyProtection="0"/>
    <xf numFmtId="0" fontId="58" fillId="5" borderId="0" applyNumberFormat="0" applyBorder="0" applyAlignment="0" applyProtection="0"/>
    <xf numFmtId="0" fontId="2" fillId="6" borderId="0" applyNumberFormat="0" applyBorder="0" applyAlignment="0" applyProtection="0"/>
    <xf numFmtId="0" fontId="58" fillId="7" borderId="0" applyNumberFormat="0" applyBorder="0" applyAlignment="0" applyProtection="0"/>
    <xf numFmtId="0" fontId="2" fillId="8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5" borderId="0" applyNumberFormat="0" applyBorder="0" applyAlignment="0" applyProtection="0"/>
    <xf numFmtId="0" fontId="2" fillId="16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9" borderId="0" applyNumberFormat="0" applyBorder="0" applyAlignment="0" applyProtection="0"/>
    <xf numFmtId="0" fontId="2" fillId="8" borderId="0" applyNumberFormat="0" applyBorder="0" applyAlignment="0" applyProtection="0"/>
    <xf numFmtId="0" fontId="58" fillId="20" borderId="0" applyNumberFormat="0" applyBorder="0" applyAlignment="0" applyProtection="0"/>
    <xf numFmtId="0" fontId="2" fillId="14" borderId="0" applyNumberFormat="0" applyBorder="0" applyAlignment="0" applyProtection="0"/>
    <xf numFmtId="0" fontId="58" fillId="21" borderId="0" applyNumberFormat="0" applyBorder="0" applyAlignment="0" applyProtection="0"/>
    <xf numFmtId="0" fontId="2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58" fillId="25" borderId="0" applyNumberFormat="0" applyBorder="0" applyAlignment="0" applyProtection="0"/>
    <xf numFmtId="0" fontId="3" fillId="16" borderId="0" applyNumberFormat="0" applyBorder="0" applyAlignment="0" applyProtection="0"/>
    <xf numFmtId="0" fontId="58" fillId="26" borderId="0" applyNumberFormat="0" applyBorder="0" applyAlignment="0" applyProtection="0"/>
    <xf numFmtId="0" fontId="3" fillId="18" borderId="0" applyNumberFormat="0" applyBorder="0" applyAlignment="0" applyProtection="0"/>
    <xf numFmtId="0" fontId="58" fillId="27" borderId="0" applyNumberFormat="0" applyBorder="0" applyAlignment="0" applyProtection="0"/>
    <xf numFmtId="0" fontId="3" fillId="28" borderId="0" applyNumberFormat="0" applyBorder="0" applyAlignment="0" applyProtection="0"/>
    <xf numFmtId="0" fontId="58" fillId="29" borderId="0" applyNumberFormat="0" applyBorder="0" applyAlignment="0" applyProtection="0"/>
    <xf numFmtId="0" fontId="3" fillId="30" borderId="0" applyNumberFormat="0" applyBorder="0" applyAlignment="0" applyProtection="0"/>
    <xf numFmtId="0" fontId="58" fillId="31" borderId="0" applyNumberFormat="0" applyBorder="0" applyAlignment="0" applyProtection="0"/>
    <xf numFmtId="0" fontId="3" fillId="32" borderId="0" applyNumberFormat="0" applyBorder="0" applyAlignment="0" applyProtection="0"/>
    <xf numFmtId="0" fontId="5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59" fillId="39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60" fillId="42" borderId="0" applyNumberFormat="0" applyBorder="0" applyAlignment="0" applyProtection="0"/>
    <xf numFmtId="0" fontId="13" fillId="0" borderId="0">
      <alignment/>
      <protection/>
    </xf>
    <xf numFmtId="0" fontId="14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4" borderId="0" applyNumberFormat="0" applyBorder="0" applyAlignment="0" applyProtection="0"/>
    <xf numFmtId="0" fontId="61" fillId="4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justify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0" fillId="38" borderId="21" xfId="0" applyFill="1" applyBorder="1" applyAlignment="1">
      <alignment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21" fillId="0" borderId="22" xfId="0" applyFont="1" applyFill="1" applyBorder="1" applyAlignment="1">
      <alignment/>
    </xf>
    <xf numFmtId="0" fontId="27" fillId="0" borderId="21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right" vertical="center" wrapText="1"/>
    </xf>
    <xf numFmtId="0" fontId="29" fillId="0" borderId="27" xfId="0" applyFont="1" applyFill="1" applyBorder="1" applyAlignment="1">
      <alignment wrapText="1"/>
    </xf>
    <xf numFmtId="0" fontId="29" fillId="0" borderId="27" xfId="0" applyFont="1" applyFill="1" applyBorder="1" applyAlignment="1">
      <alignment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wrapText="1"/>
    </xf>
    <xf numFmtId="0" fontId="29" fillId="0" borderId="27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4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9" fillId="0" borderId="1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/>
    </xf>
    <xf numFmtId="1" fontId="37" fillId="0" borderId="21" xfId="0" applyNumberFormat="1" applyFont="1" applyFill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166" fontId="0" fillId="45" borderId="0" xfId="0" applyNumberFormat="1" applyFill="1" applyAlignment="1">
      <alignment/>
    </xf>
    <xf numFmtId="0" fontId="0" fillId="38" borderId="30" xfId="0" applyFill="1" applyBorder="1" applyAlignment="1">
      <alignment/>
    </xf>
    <xf numFmtId="0" fontId="0" fillId="0" borderId="31" xfId="0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31" xfId="0" applyFont="1" applyFill="1" applyBorder="1" applyAlignment="1">
      <alignment/>
    </xf>
    <xf numFmtId="0" fontId="29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/>
    </xf>
    <xf numFmtId="168" fontId="29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wrapText="1"/>
    </xf>
    <xf numFmtId="0" fontId="27" fillId="0" borderId="25" xfId="0" applyFont="1" applyFill="1" applyBorder="1" applyAlignment="1">
      <alignment wrapText="1"/>
    </xf>
    <xf numFmtId="0" fontId="39" fillId="0" borderId="21" xfId="0" applyFont="1" applyFill="1" applyBorder="1" applyAlignment="1">
      <alignment/>
    </xf>
    <xf numFmtId="0" fontId="40" fillId="0" borderId="21" xfId="73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>
      <alignment wrapText="1"/>
    </xf>
    <xf numFmtId="0" fontId="29" fillId="0" borderId="25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0" fontId="3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6" fontId="29" fillId="0" borderId="27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wrapText="1"/>
    </xf>
    <xf numFmtId="0" fontId="21" fillId="0" borderId="27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3" fontId="21" fillId="0" borderId="0" xfId="0" applyNumberFormat="1" applyFont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38" fillId="0" borderId="30" xfId="0" applyFont="1" applyFill="1" applyBorder="1" applyAlignment="1">
      <alignment/>
    </xf>
    <xf numFmtId="1" fontId="37" fillId="0" borderId="31" xfId="0" applyNumberFormat="1" applyFont="1" applyFill="1" applyBorder="1" applyAlignment="1">
      <alignment horizontal="center" vertical="center" wrapText="1"/>
    </xf>
    <xf numFmtId="1" fontId="37" fillId="0" borderId="30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wrapText="1"/>
    </xf>
    <xf numFmtId="0" fontId="27" fillId="0" borderId="32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horizontal="left" vertical="center" wrapText="1"/>
    </xf>
    <xf numFmtId="49" fontId="29" fillId="0" borderId="26" xfId="0" applyNumberFormat="1" applyFont="1" applyFill="1" applyBorder="1" applyAlignment="1">
      <alignment wrapText="1"/>
    </xf>
    <xf numFmtId="1" fontId="37" fillId="0" borderId="34" xfId="0" applyNumberFormat="1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24" fillId="0" borderId="0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right" vertical="center" wrapText="1"/>
    </xf>
    <xf numFmtId="49" fontId="62" fillId="0" borderId="22" xfId="0" applyNumberFormat="1" applyFont="1" applyFill="1" applyBorder="1" applyAlignment="1">
      <alignment wrapText="1"/>
    </xf>
    <xf numFmtId="49" fontId="62" fillId="0" borderId="22" xfId="0" applyNumberFormat="1" applyFont="1" applyFill="1" applyBorder="1" applyAlignment="1">
      <alignment vertical="center" wrapText="1"/>
    </xf>
    <xf numFmtId="49" fontId="62" fillId="0" borderId="26" xfId="0" applyNumberFormat="1" applyFont="1" applyFill="1" applyBorder="1" applyAlignment="1">
      <alignment vertical="center" wrapText="1"/>
    </xf>
    <xf numFmtId="49" fontId="62" fillId="0" borderId="22" xfId="0" applyNumberFormat="1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>
      <alignment/>
    </xf>
    <xf numFmtId="49" fontId="62" fillId="0" borderId="27" xfId="0" applyNumberFormat="1" applyFont="1" applyFill="1" applyBorder="1" applyAlignment="1">
      <alignment wrapText="1"/>
    </xf>
    <xf numFmtId="49" fontId="62" fillId="0" borderId="27" xfId="0" applyNumberFormat="1" applyFont="1" applyFill="1" applyBorder="1" applyAlignment="1">
      <alignment/>
    </xf>
    <xf numFmtId="49" fontId="62" fillId="0" borderId="0" xfId="0" applyNumberFormat="1" applyFont="1" applyFill="1" applyAlignment="1">
      <alignment horizontal="left" readingOrder="1"/>
    </xf>
    <xf numFmtId="49" fontId="62" fillId="0" borderId="27" xfId="0" applyNumberFormat="1" applyFont="1" applyFill="1" applyBorder="1" applyAlignment="1">
      <alignment horizontal="left" readingOrder="1"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/>
    </xf>
    <xf numFmtId="0" fontId="62" fillId="0" borderId="2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166" fontId="62" fillId="0" borderId="27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7" fillId="0" borderId="20" xfId="0" applyFont="1" applyFill="1" applyBorder="1" applyAlignment="1">
      <alignment horizontal="center" vertical="center" wrapText="1"/>
    </xf>
    <xf numFmtId="0" fontId="38" fillId="46" borderId="31" xfId="0" applyFont="1" applyFill="1" applyBorder="1" applyAlignment="1">
      <alignment/>
    </xf>
    <xf numFmtId="0" fontId="21" fillId="46" borderId="21" xfId="0" applyFont="1" applyFill="1" applyBorder="1" applyAlignment="1">
      <alignment/>
    </xf>
    <xf numFmtId="0" fontId="21" fillId="47" borderId="21" xfId="0" applyFont="1" applyFill="1" applyBorder="1" applyAlignment="1">
      <alignment/>
    </xf>
    <xf numFmtId="0" fontId="38" fillId="47" borderId="21" xfId="0" applyFont="1" applyFill="1" applyBorder="1" applyAlignment="1">
      <alignment/>
    </xf>
    <xf numFmtId="0" fontId="0" fillId="46" borderId="31" xfId="0" applyFill="1" applyBorder="1" applyAlignment="1">
      <alignment/>
    </xf>
    <xf numFmtId="0" fontId="0" fillId="46" borderId="21" xfId="0" applyFill="1" applyBorder="1" applyAlignment="1">
      <alignment/>
    </xf>
    <xf numFmtId="0" fontId="62" fillId="0" borderId="25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38" fillId="46" borderId="30" xfId="0" applyFont="1" applyFill="1" applyBorder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0" fillId="21" borderId="0" xfId="0" applyFill="1" applyAlignment="1">
      <alignment/>
    </xf>
    <xf numFmtId="0" fontId="21" fillId="21" borderId="0" xfId="0" applyFont="1" applyFill="1" applyAlignment="1">
      <alignment/>
    </xf>
    <xf numFmtId="0" fontId="0" fillId="29" borderId="0" xfId="0" applyFill="1" applyAlignment="1">
      <alignment/>
    </xf>
    <xf numFmtId="0" fontId="21" fillId="29" borderId="0" xfId="0" applyFont="1" applyFill="1" applyAlignment="1">
      <alignment/>
    </xf>
    <xf numFmtId="1" fontId="29" fillId="0" borderId="27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left" readingOrder="1"/>
    </xf>
    <xf numFmtId="49" fontId="0" fillId="0" borderId="2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38" fillId="0" borderId="12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/>
    </xf>
    <xf numFmtId="0" fontId="0" fillId="0" borderId="31" xfId="0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3" fontId="35" fillId="0" borderId="2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3" fontId="29" fillId="0" borderId="21" xfId="0" applyNumberFormat="1" applyFont="1" applyFill="1" applyBorder="1" applyAlignment="1">
      <alignment horizontal="center" vertical="center" wrapText="1"/>
    </xf>
    <xf numFmtId="166" fontId="36" fillId="0" borderId="21" xfId="0" applyNumberFormat="1" applyFont="1" applyFill="1" applyBorder="1" applyAlignment="1">
      <alignment horizont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/>
    </xf>
    <xf numFmtId="166" fontId="35" fillId="0" borderId="21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166" fontId="36" fillId="0" borderId="26" xfId="0" applyNumberFormat="1" applyFont="1" applyFill="1" applyBorder="1" applyAlignment="1">
      <alignment horizontal="center" wrapText="1"/>
    </xf>
    <xf numFmtId="166" fontId="1" fillId="0" borderId="26" xfId="0" applyNumberFormat="1" applyFont="1" applyFill="1" applyBorder="1" applyAlignment="1">
      <alignment horizontal="center" wrapText="1"/>
    </xf>
    <xf numFmtId="166" fontId="21" fillId="0" borderId="26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/>
    </xf>
    <xf numFmtId="166" fontId="36" fillId="0" borderId="22" xfId="0" applyNumberFormat="1" applyFont="1" applyFill="1" applyBorder="1" applyAlignment="1">
      <alignment horizontal="center" wrapText="1"/>
    </xf>
    <xf numFmtId="166" fontId="1" fillId="0" borderId="22" xfId="0" applyNumberFormat="1" applyFont="1" applyFill="1" applyBorder="1" applyAlignment="1">
      <alignment horizontal="center" wrapText="1"/>
    </xf>
    <xf numFmtId="166" fontId="2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/>
    </xf>
    <xf numFmtId="166" fontId="36" fillId="0" borderId="25" xfId="0" applyNumberFormat="1" applyFont="1" applyFill="1" applyBorder="1" applyAlignment="1">
      <alignment horizontal="center" wrapText="1"/>
    </xf>
    <xf numFmtId="166" fontId="1" fillId="0" borderId="25" xfId="0" applyNumberFormat="1" applyFont="1" applyFill="1" applyBorder="1" applyAlignment="1">
      <alignment horizontal="center" wrapText="1"/>
    </xf>
    <xf numFmtId="166" fontId="21" fillId="0" borderId="25" xfId="0" applyNumberFormat="1" applyFont="1" applyFill="1" applyBorder="1" applyAlignment="1">
      <alignment horizontal="center"/>
    </xf>
    <xf numFmtId="1" fontId="37" fillId="0" borderId="25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166" fontId="21" fillId="0" borderId="21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 wrapText="1"/>
    </xf>
    <xf numFmtId="3" fontId="29" fillId="0" borderId="27" xfId="0" applyNumberFormat="1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41" xfId="0" applyNumberFormat="1" applyFont="1" applyBorder="1" applyAlignment="1">
      <alignment/>
    </xf>
    <xf numFmtId="0" fontId="42" fillId="0" borderId="4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" fontId="0" fillId="0" borderId="27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2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3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54" fillId="0" borderId="27" xfId="0" applyNumberFormat="1" applyFont="1" applyBorder="1" applyAlignment="1" applyProtection="1">
      <alignment horizontal="right" vertical="center"/>
      <protection locked="0"/>
    </xf>
    <xf numFmtId="1" fontId="21" fillId="0" borderId="27" xfId="0" applyNumberFormat="1" applyFont="1" applyFill="1" applyBorder="1" applyAlignment="1">
      <alignment/>
    </xf>
    <xf numFmtId="3" fontId="54" fillId="0" borderId="27" xfId="0" applyNumberFormat="1" applyFont="1" applyBorder="1" applyAlignment="1">
      <alignment horizontal="right" vertical="center"/>
    </xf>
    <xf numFmtId="166" fontId="0" fillId="0" borderId="0" xfId="0" applyNumberFormat="1" applyFill="1" applyAlignment="1">
      <alignment/>
    </xf>
    <xf numFmtId="3" fontId="35" fillId="0" borderId="0" xfId="0" applyNumberFormat="1" applyFont="1" applyAlignment="1">
      <alignment horizontal="center"/>
    </xf>
    <xf numFmtId="3" fontId="43" fillId="9" borderId="27" xfId="0" applyNumberFormat="1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/>
    </xf>
    <xf numFmtId="3" fontId="54" fillId="0" borderId="27" xfId="0" applyNumberFormat="1" applyFont="1" applyFill="1" applyBorder="1" applyAlignment="1" applyProtection="1">
      <alignment horizontal="right" vertical="center"/>
      <protection locked="0"/>
    </xf>
    <xf numFmtId="166" fontId="0" fillId="0" borderId="27" xfId="0" applyNumberFormat="1" applyFill="1" applyBorder="1" applyAlignment="1">
      <alignment/>
    </xf>
    <xf numFmtId="0" fontId="62" fillId="0" borderId="21" xfId="0" applyFont="1" applyFill="1" applyBorder="1" applyAlignment="1">
      <alignment horizontal="center" vertical="center" wrapText="1"/>
    </xf>
    <xf numFmtId="3" fontId="68" fillId="0" borderId="21" xfId="0" applyNumberFormat="1" applyFont="1" applyFill="1" applyBorder="1" applyAlignment="1">
      <alignment horizontal="center"/>
    </xf>
    <xf numFmtId="4" fontId="35" fillId="0" borderId="21" xfId="0" applyNumberFormat="1" applyFont="1" applyFill="1" applyBorder="1" applyAlignment="1">
      <alignment horizontal="center"/>
    </xf>
    <xf numFmtId="3" fontId="69" fillId="0" borderId="21" xfId="0" applyNumberFormat="1" applyFont="1" applyFill="1" applyBorder="1" applyAlignment="1">
      <alignment horizontal="center" wrapText="1"/>
    </xf>
    <xf numFmtId="3" fontId="70" fillId="0" borderId="21" xfId="0" applyNumberFormat="1" applyFont="1" applyFill="1" applyBorder="1" applyAlignment="1">
      <alignment horizontal="center"/>
    </xf>
    <xf numFmtId="3" fontId="71" fillId="0" borderId="21" xfId="0" applyNumberFormat="1" applyFont="1" applyFill="1" applyBorder="1" applyAlignment="1">
      <alignment horizontal="center" wrapText="1"/>
    </xf>
    <xf numFmtId="3" fontId="68" fillId="0" borderId="34" xfId="0" applyNumberFormat="1" applyFont="1" applyFill="1" applyBorder="1" applyAlignment="1">
      <alignment horizontal="center"/>
    </xf>
    <xf numFmtId="3" fontId="68" fillId="0" borderId="21" xfId="0" applyNumberFormat="1" applyFont="1" applyFill="1" applyBorder="1" applyAlignment="1">
      <alignment/>
    </xf>
    <xf numFmtId="3" fontId="68" fillId="0" borderId="27" xfId="0" applyNumberFormat="1" applyFont="1" applyFill="1" applyBorder="1" applyAlignment="1">
      <alignment/>
    </xf>
    <xf numFmtId="3" fontId="68" fillId="0" borderId="25" xfId="0" applyNumberFormat="1" applyFont="1" applyFill="1" applyBorder="1" applyAlignment="1">
      <alignment horizontal="center"/>
    </xf>
    <xf numFmtId="3" fontId="68" fillId="0" borderId="27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>
      <alignment/>
    </xf>
    <xf numFmtId="0" fontId="20" fillId="9" borderId="27" xfId="0" applyFont="1" applyFill="1" applyBorder="1" applyAlignment="1">
      <alignment horizontal="center"/>
    </xf>
    <xf numFmtId="3" fontId="0" fillId="9" borderId="27" xfId="0" applyNumberFormat="1" applyFill="1" applyBorder="1" applyAlignment="1">
      <alignment/>
    </xf>
    <xf numFmtId="1" fontId="0" fillId="9" borderId="27" xfId="0" applyNumberFormat="1" applyFill="1" applyBorder="1" applyAlignment="1">
      <alignment/>
    </xf>
    <xf numFmtId="166" fontId="0" fillId="9" borderId="27" xfId="0" applyNumberFormat="1" applyFill="1" applyBorder="1" applyAlignment="1">
      <alignment/>
    </xf>
    <xf numFmtId="0" fontId="20" fillId="9" borderId="27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166" fontId="0" fillId="9" borderId="27" xfId="0" applyNumberFormat="1" applyFill="1" applyBorder="1" applyAlignment="1">
      <alignment horizontal="center" vertical="center" wrapText="1"/>
    </xf>
    <xf numFmtId="1" fontId="0" fillId="9" borderId="27" xfId="0" applyNumberFormat="1" applyFill="1" applyBorder="1" applyAlignment="1">
      <alignment horizontal="center" vertical="center" wrapText="1"/>
    </xf>
    <xf numFmtId="1" fontId="21" fillId="9" borderId="27" xfId="0" applyNumberFormat="1" applyFont="1" applyFill="1" applyBorder="1" applyAlignment="1">
      <alignment horizontal="center" vertical="center" wrapText="1"/>
    </xf>
    <xf numFmtId="0" fontId="62" fillId="9" borderId="22" xfId="0" applyFont="1" applyFill="1" applyBorder="1" applyAlignment="1">
      <alignment horizontal="center" vertical="center" wrapText="1"/>
    </xf>
    <xf numFmtId="0" fontId="62" fillId="9" borderId="21" xfId="0" applyFont="1" applyFill="1" applyBorder="1" applyAlignment="1">
      <alignment horizontal="center" vertical="center" wrapText="1"/>
    </xf>
    <xf numFmtId="0" fontId="62" fillId="9" borderId="25" xfId="0" applyFont="1" applyFill="1" applyBorder="1" applyAlignment="1">
      <alignment horizontal="center" vertical="center" wrapText="1"/>
    </xf>
    <xf numFmtId="0" fontId="62" fillId="9" borderId="27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9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left" wrapText="1"/>
    </xf>
    <xf numFmtId="0" fontId="29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vertical="center"/>
    </xf>
    <xf numFmtId="0" fontId="26" fillId="0" borderId="45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" fillId="0" borderId="4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5"/>
  <sheetViews>
    <sheetView tabSelected="1" view="pageBreakPreview" zoomScale="80" zoomScaleNormal="75" zoomScaleSheetLayoutView="80" zoomScalePageLayoutView="0" workbookViewId="0" topLeftCell="A1">
      <pane ySplit="7" topLeftCell="A59" activePane="bottomLeft" state="frozen"/>
      <selection pane="topLeft" activeCell="A1" sqref="A1"/>
      <selection pane="bottomLeft" activeCell="V72" sqref="V72"/>
    </sheetView>
  </sheetViews>
  <sheetFormatPr defaultColWidth="9.140625" defaultRowHeight="15"/>
  <cols>
    <col min="2" max="2" width="5.28125" style="1" customWidth="1"/>
    <col min="3" max="4" width="22.8515625" style="0" customWidth="1"/>
    <col min="5" max="5" width="14.421875" style="78" customWidth="1"/>
    <col min="6" max="6" width="17.8515625" style="78" customWidth="1"/>
    <col min="7" max="7" width="7.421875" style="0" customWidth="1"/>
    <col min="8" max="8" width="7.8515625" style="0" customWidth="1"/>
    <col min="9" max="9" width="17.140625" style="78" customWidth="1"/>
    <col min="10" max="10" width="30.140625" style="69" customWidth="1"/>
    <col min="11" max="11" width="15.140625" style="66" customWidth="1"/>
    <col min="12" max="12" width="37.28125" style="0" customWidth="1"/>
    <col min="13" max="15" width="12.57421875" style="0" customWidth="1"/>
    <col min="16" max="16" width="17.00390625" style="0" customWidth="1"/>
    <col min="17" max="17" width="9.421875" style="0" customWidth="1"/>
    <col min="18" max="18" width="9.28125" style="185" customWidth="1"/>
    <col min="19" max="19" width="9.421875" style="0" customWidth="1"/>
    <col min="20" max="20" width="14.7109375" style="185" customWidth="1"/>
    <col min="21" max="21" width="14.57421875" style="126" customWidth="1"/>
    <col min="22" max="22" width="12.140625" style="0" customWidth="1"/>
    <col min="23" max="23" width="23.421875" style="85" customWidth="1"/>
    <col min="24" max="24" width="18.140625" style="2" customWidth="1"/>
    <col min="25" max="25" width="17.00390625" style="115" customWidth="1"/>
    <col min="26" max="26" width="13.7109375" style="122" customWidth="1"/>
    <col min="27" max="28" width="12.8515625" style="122" customWidth="1"/>
    <col min="29" max="31" width="12.8515625" style="123" customWidth="1"/>
    <col min="32" max="32" width="13.57421875" style="123" customWidth="1"/>
    <col min="33" max="33" width="12.8515625" style="123" customWidth="1"/>
    <col min="34" max="34" width="12.57421875" style="123" customWidth="1"/>
    <col min="35" max="35" width="11.7109375" style="123" customWidth="1"/>
    <col min="36" max="36" width="12.57421875" style="123" customWidth="1"/>
    <col min="37" max="37" width="13.7109375" style="123" customWidth="1"/>
    <col min="38" max="38" width="13.421875" style="133" customWidth="1"/>
    <col min="39" max="39" width="14.00390625" style="0" bestFit="1" customWidth="1"/>
  </cols>
  <sheetData>
    <row r="1" spans="2:38" ht="15.75">
      <c r="B1" s="341"/>
      <c r="C1" s="341"/>
      <c r="D1" s="341"/>
      <c r="E1" s="73"/>
      <c r="F1" s="342" t="s">
        <v>108</v>
      </c>
      <c r="G1" s="342"/>
      <c r="H1" s="342"/>
      <c r="I1" s="73" t="s">
        <v>198</v>
      </c>
      <c r="J1" s="67"/>
      <c r="K1" s="61"/>
      <c r="L1" s="4"/>
      <c r="M1" s="3"/>
      <c r="N1" s="3"/>
      <c r="O1" s="3"/>
      <c r="P1" s="3"/>
      <c r="Q1" s="3"/>
      <c r="R1" s="175"/>
      <c r="S1" s="3"/>
      <c r="T1" s="175"/>
      <c r="U1" s="124"/>
      <c r="V1" s="3"/>
      <c r="W1" s="158"/>
      <c r="X1" s="5"/>
      <c r="Y1" s="111"/>
      <c r="Z1" s="116"/>
      <c r="AA1" s="116"/>
      <c r="AB1" s="116"/>
      <c r="AC1" s="117"/>
      <c r="AD1" s="117"/>
      <c r="AE1" s="117"/>
      <c r="AF1" s="117"/>
      <c r="AG1" s="117"/>
      <c r="AH1" s="117"/>
      <c r="AI1" s="117"/>
      <c r="AJ1" s="117"/>
      <c r="AK1" s="117"/>
      <c r="AL1" s="137"/>
    </row>
    <row r="2" spans="2:38" ht="15">
      <c r="B2" s="6"/>
      <c r="C2" s="7"/>
      <c r="D2" s="7"/>
      <c r="E2" s="74"/>
      <c r="F2" s="74"/>
      <c r="G2" s="7"/>
      <c r="H2" s="7"/>
      <c r="I2" s="74"/>
      <c r="J2" s="68"/>
      <c r="K2" s="62"/>
      <c r="L2" s="7"/>
      <c r="M2" s="7"/>
      <c r="N2" s="7"/>
      <c r="O2" s="7"/>
      <c r="P2" s="7"/>
      <c r="Q2" s="7"/>
      <c r="R2" s="176"/>
      <c r="S2" s="7"/>
      <c r="T2" s="176"/>
      <c r="U2" s="125"/>
      <c r="V2" s="7"/>
      <c r="W2" s="159"/>
      <c r="X2" s="8"/>
      <c r="Y2" s="112"/>
      <c r="Z2" s="118"/>
      <c r="AA2" s="118"/>
      <c r="AB2" s="118"/>
      <c r="AC2" s="119"/>
      <c r="AD2" s="119"/>
      <c r="AE2" s="119"/>
      <c r="AF2" s="119"/>
      <c r="AG2" s="119"/>
      <c r="AH2" s="119"/>
      <c r="AI2" s="119"/>
      <c r="AJ2" s="119"/>
      <c r="AK2" s="119"/>
      <c r="AL2" s="136"/>
    </row>
    <row r="3" spans="2:38" ht="18.75">
      <c r="B3" s="6"/>
      <c r="C3" s="9"/>
      <c r="D3" s="9" t="s">
        <v>181</v>
      </c>
      <c r="E3" s="74"/>
      <c r="F3" s="74"/>
      <c r="G3" s="10"/>
      <c r="H3" s="10"/>
      <c r="I3" s="74"/>
      <c r="J3" s="68"/>
      <c r="K3" s="63"/>
      <c r="L3" s="10"/>
      <c r="M3" s="10"/>
      <c r="N3" s="10"/>
      <c r="O3" s="10"/>
      <c r="P3" s="10"/>
      <c r="Q3" s="10"/>
      <c r="R3" s="177"/>
      <c r="S3" s="10"/>
      <c r="T3" s="177"/>
      <c r="U3" s="125"/>
      <c r="V3" s="10" t="s">
        <v>137</v>
      </c>
      <c r="W3" s="160"/>
      <c r="X3" s="11"/>
      <c r="Y3" s="113"/>
      <c r="Z3" s="118"/>
      <c r="AA3" s="118"/>
      <c r="AB3" s="118"/>
      <c r="AC3" s="119"/>
      <c r="AD3" s="119"/>
      <c r="AE3" s="119"/>
      <c r="AF3" s="119"/>
      <c r="AG3" s="119"/>
      <c r="AH3" s="119"/>
      <c r="AI3" s="119"/>
      <c r="AJ3" s="119"/>
      <c r="AK3" s="119"/>
      <c r="AL3" s="136"/>
    </row>
    <row r="4" spans="2:38" ht="15.75" thickBot="1">
      <c r="B4" s="12"/>
      <c r="C4" s="13"/>
      <c r="D4" s="13"/>
      <c r="E4" s="72"/>
      <c r="F4" s="75"/>
      <c r="G4" s="14"/>
      <c r="H4" s="14"/>
      <c r="I4" s="75"/>
      <c r="J4" s="68"/>
      <c r="K4" s="64"/>
      <c r="L4" s="14"/>
      <c r="M4" s="14"/>
      <c r="N4" s="14"/>
      <c r="O4" s="14"/>
      <c r="P4" s="15"/>
      <c r="Q4" s="14"/>
      <c r="R4" s="178"/>
      <c r="S4" s="14"/>
      <c r="T4" s="178"/>
      <c r="U4" s="125"/>
      <c r="V4" s="7"/>
      <c r="W4" s="159"/>
      <c r="X4" s="8"/>
      <c r="Y4" s="112"/>
      <c r="Z4" s="118"/>
      <c r="AA4" s="118"/>
      <c r="AB4" s="118"/>
      <c r="AC4" s="119"/>
      <c r="AD4" s="119"/>
      <c r="AE4" s="119"/>
      <c r="AF4" s="119"/>
      <c r="AG4" s="119"/>
      <c r="AH4" s="119"/>
      <c r="AI4" s="119"/>
      <c r="AJ4" s="119"/>
      <c r="AK4" s="119"/>
      <c r="AL4" s="136"/>
    </row>
    <row r="5" spans="2:39" ht="15.75" customHeight="1">
      <c r="B5" s="343" t="s">
        <v>0</v>
      </c>
      <c r="C5" s="209"/>
      <c r="D5" s="344" t="s">
        <v>1</v>
      </c>
      <c r="E5" s="345" t="s">
        <v>2</v>
      </c>
      <c r="F5" s="345"/>
      <c r="G5" s="345"/>
      <c r="H5" s="345"/>
      <c r="I5" s="345"/>
      <c r="J5" s="70"/>
      <c r="K5" s="336" t="s">
        <v>3</v>
      </c>
      <c r="L5" s="337" t="s">
        <v>4</v>
      </c>
      <c r="M5" s="337" t="s">
        <v>5</v>
      </c>
      <c r="N5" s="337" t="s">
        <v>6</v>
      </c>
      <c r="O5" s="337" t="s">
        <v>7</v>
      </c>
      <c r="P5" s="334" t="s">
        <v>8</v>
      </c>
      <c r="Q5" s="333" t="s">
        <v>9</v>
      </c>
      <c r="R5" s="333"/>
      <c r="S5" s="335" t="s">
        <v>10</v>
      </c>
      <c r="T5" s="335"/>
      <c r="U5" s="335"/>
      <c r="V5" s="335"/>
      <c r="W5" s="335"/>
      <c r="X5" s="335"/>
      <c r="Y5" s="79"/>
      <c r="Z5" s="120"/>
      <c r="AA5" s="120"/>
      <c r="AB5" s="120"/>
      <c r="AC5" s="121"/>
      <c r="AD5" s="121"/>
      <c r="AE5" s="121"/>
      <c r="AF5" s="121"/>
      <c r="AG5" s="121"/>
      <c r="AH5" s="121"/>
      <c r="AI5" s="121"/>
      <c r="AJ5" s="121"/>
      <c r="AK5" s="121"/>
      <c r="AL5" s="135"/>
      <c r="AM5" s="155"/>
    </row>
    <row r="6" spans="2:39" ht="96.75" customHeight="1">
      <c r="B6" s="343"/>
      <c r="C6" s="210" t="s">
        <v>11</v>
      </c>
      <c r="D6" s="344"/>
      <c r="E6" s="76" t="s">
        <v>12</v>
      </c>
      <c r="F6" s="76" t="s">
        <v>13</v>
      </c>
      <c r="G6" s="16" t="s">
        <v>14</v>
      </c>
      <c r="H6" s="17" t="s">
        <v>15</v>
      </c>
      <c r="I6" s="76" t="s">
        <v>16</v>
      </c>
      <c r="J6" s="71" t="s">
        <v>111</v>
      </c>
      <c r="K6" s="336"/>
      <c r="L6" s="337"/>
      <c r="M6" s="337"/>
      <c r="N6" s="337"/>
      <c r="O6" s="337"/>
      <c r="P6" s="334"/>
      <c r="Q6" s="18" t="s">
        <v>17</v>
      </c>
      <c r="R6" s="19" t="s">
        <v>18</v>
      </c>
      <c r="S6" s="20" t="s">
        <v>19</v>
      </c>
      <c r="T6" s="21" t="s">
        <v>18</v>
      </c>
      <c r="U6" s="22" t="s">
        <v>93</v>
      </c>
      <c r="V6" s="23" t="s">
        <v>150</v>
      </c>
      <c r="W6" s="211" t="s">
        <v>20</v>
      </c>
      <c r="X6" s="24" t="s">
        <v>238</v>
      </c>
      <c r="Y6" s="80" t="s">
        <v>134</v>
      </c>
      <c r="Z6" s="120"/>
      <c r="AA6" s="120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35"/>
      <c r="AM6" s="155"/>
    </row>
    <row r="7" spans="1:39" s="28" customFormat="1" ht="15.75" thickBot="1">
      <c r="A7" s="162"/>
      <c r="B7" s="54">
        <v>1</v>
      </c>
      <c r="C7" s="212">
        <v>2</v>
      </c>
      <c r="D7" s="212">
        <v>3</v>
      </c>
      <c r="E7" s="59">
        <v>4</v>
      </c>
      <c r="F7" s="59">
        <v>5</v>
      </c>
      <c r="G7" s="163">
        <v>6</v>
      </c>
      <c r="H7" s="25">
        <v>7</v>
      </c>
      <c r="I7" s="77">
        <v>8</v>
      </c>
      <c r="J7" s="6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179">
        <v>17</v>
      </c>
      <c r="S7" s="25">
        <v>18</v>
      </c>
      <c r="T7" s="186">
        <v>19</v>
      </c>
      <c r="U7" s="25">
        <v>20</v>
      </c>
      <c r="V7" s="26">
        <v>21</v>
      </c>
      <c r="W7" s="26">
        <v>22</v>
      </c>
      <c r="X7" s="26">
        <v>23</v>
      </c>
      <c r="Y7" s="81">
        <v>24</v>
      </c>
      <c r="Z7" s="82" t="s">
        <v>95</v>
      </c>
      <c r="AA7" s="27" t="s">
        <v>96</v>
      </c>
      <c r="AB7" s="27" t="s">
        <v>97</v>
      </c>
      <c r="AC7" s="27" t="s">
        <v>98</v>
      </c>
      <c r="AD7" s="27" t="s">
        <v>99</v>
      </c>
      <c r="AE7" s="27" t="s">
        <v>100</v>
      </c>
      <c r="AF7" s="27" t="s">
        <v>101</v>
      </c>
      <c r="AG7" s="27" t="s">
        <v>102</v>
      </c>
      <c r="AH7" s="27" t="s">
        <v>103</v>
      </c>
      <c r="AI7" s="27" t="s">
        <v>104</v>
      </c>
      <c r="AJ7" s="27" t="s">
        <v>105</v>
      </c>
      <c r="AK7" s="27" t="s">
        <v>94</v>
      </c>
      <c r="AL7" s="134" t="s">
        <v>92</v>
      </c>
      <c r="AM7" s="213" t="s">
        <v>172</v>
      </c>
    </row>
    <row r="8" spans="1:41" s="88" customFormat="1" ht="57" customHeight="1">
      <c r="A8" s="207"/>
      <c r="B8" s="54">
        <v>1</v>
      </c>
      <c r="C8" s="131" t="s">
        <v>21</v>
      </c>
      <c r="D8" s="131" t="s">
        <v>22</v>
      </c>
      <c r="E8" s="131" t="s">
        <v>23</v>
      </c>
      <c r="F8" s="105"/>
      <c r="G8" s="164">
        <v>27</v>
      </c>
      <c r="H8" s="90" t="s">
        <v>24</v>
      </c>
      <c r="I8" s="90">
        <v>7532382690</v>
      </c>
      <c r="J8" s="173" t="s">
        <v>214</v>
      </c>
      <c r="K8" s="60" t="s">
        <v>109</v>
      </c>
      <c r="L8" s="29" t="s">
        <v>136</v>
      </c>
      <c r="M8" s="29" t="s">
        <v>25</v>
      </c>
      <c r="N8" s="29" t="s">
        <v>26</v>
      </c>
      <c r="O8" s="29" t="s">
        <v>27</v>
      </c>
      <c r="P8" s="30"/>
      <c r="Q8" s="29"/>
      <c r="R8" s="194" t="s">
        <v>223</v>
      </c>
      <c r="S8" s="29"/>
      <c r="T8" s="194" t="s">
        <v>37</v>
      </c>
      <c r="U8" s="308" t="s">
        <v>239</v>
      </c>
      <c r="V8" s="29">
        <v>8760</v>
      </c>
      <c r="W8" s="203">
        <f>AL8</f>
        <v>10434.909412284578</v>
      </c>
      <c r="X8" s="221"/>
      <c r="Y8" s="83" t="s">
        <v>135</v>
      </c>
      <c r="Z8" s="222">
        <f>Z9/11.315</f>
        <v>0</v>
      </c>
      <c r="AA8" s="222">
        <f aca="true" t="shared" si="0" ref="AA8:AK8">AA9/11.315</f>
        <v>0</v>
      </c>
      <c r="AB8" s="222">
        <f t="shared" si="0"/>
        <v>0</v>
      </c>
      <c r="AC8" s="222">
        <f t="shared" si="0"/>
        <v>1998.7627043747239</v>
      </c>
      <c r="AD8" s="222">
        <f t="shared" si="0"/>
        <v>917.0128148475476</v>
      </c>
      <c r="AE8" s="222">
        <f t="shared" si="0"/>
        <v>3077.9496243923995</v>
      </c>
      <c r="AF8" s="222">
        <f t="shared" si="0"/>
        <v>1174.9005744586832</v>
      </c>
      <c r="AG8" s="222">
        <f t="shared" si="0"/>
        <v>1056.0318161732214</v>
      </c>
      <c r="AH8" s="222">
        <f t="shared" si="0"/>
        <v>1885.2850198851083</v>
      </c>
      <c r="AI8" s="222">
        <f t="shared" si="0"/>
        <v>324.9668581528944</v>
      </c>
      <c r="AJ8" s="222">
        <f t="shared" si="0"/>
        <v>0</v>
      </c>
      <c r="AK8" s="222">
        <f t="shared" si="0"/>
        <v>0</v>
      </c>
      <c r="AL8" s="278">
        <f aca="true" t="shared" si="1" ref="AL8:AL18">SUM(Z8:AK8)</f>
        <v>10434.909412284578</v>
      </c>
      <c r="AM8" s="223" t="s">
        <v>170</v>
      </c>
      <c r="AN8" s="48"/>
      <c r="AO8" s="48"/>
    </row>
    <row r="9" spans="1:41" s="50" customFormat="1" ht="15">
      <c r="A9" s="87"/>
      <c r="B9" s="165"/>
      <c r="C9" s="90"/>
      <c r="D9" s="90"/>
      <c r="E9" s="90"/>
      <c r="F9" s="101"/>
      <c r="G9" s="33"/>
      <c r="H9" s="33"/>
      <c r="I9" s="33"/>
      <c r="J9" s="166"/>
      <c r="K9" s="60"/>
      <c r="L9" s="34"/>
      <c r="M9" s="34"/>
      <c r="N9" s="34"/>
      <c r="O9" s="34"/>
      <c r="P9" s="35"/>
      <c r="Q9" s="34" t="s">
        <v>29</v>
      </c>
      <c r="R9" s="220"/>
      <c r="S9" s="34" t="s">
        <v>29</v>
      </c>
      <c r="T9" s="220"/>
      <c r="U9" s="308"/>
      <c r="V9" s="29"/>
      <c r="W9" s="203"/>
      <c r="X9" s="224">
        <f>AL9</f>
        <v>118071</v>
      </c>
      <c r="Y9" s="83"/>
      <c r="Z9" s="225">
        <v>0</v>
      </c>
      <c r="AA9" s="225">
        <v>0</v>
      </c>
      <c r="AB9" s="225">
        <v>0</v>
      </c>
      <c r="AC9" s="225">
        <v>22616</v>
      </c>
      <c r="AD9" s="225">
        <v>10376</v>
      </c>
      <c r="AE9" s="225">
        <v>34827</v>
      </c>
      <c r="AF9" s="225">
        <v>13294</v>
      </c>
      <c r="AG9" s="225">
        <v>11949</v>
      </c>
      <c r="AH9" s="225">
        <v>21332</v>
      </c>
      <c r="AI9" s="225">
        <v>3677</v>
      </c>
      <c r="AJ9" s="225">
        <v>0</v>
      </c>
      <c r="AK9" s="225">
        <v>0</v>
      </c>
      <c r="AL9" s="278">
        <f>SUM(Z9:AK9)</f>
        <v>118071</v>
      </c>
      <c r="AM9" s="223" t="s">
        <v>171</v>
      </c>
      <c r="AN9" s="48"/>
      <c r="AO9" s="48"/>
    </row>
    <row r="10" spans="1:41" s="88" customFormat="1" ht="57" customHeight="1">
      <c r="A10" s="89"/>
      <c r="B10" s="32">
        <v>2</v>
      </c>
      <c r="C10" s="90" t="s">
        <v>112</v>
      </c>
      <c r="D10" s="33" t="s">
        <v>30</v>
      </c>
      <c r="E10" s="33" t="s">
        <v>31</v>
      </c>
      <c r="F10" s="52" t="s">
        <v>32</v>
      </c>
      <c r="G10" s="37" t="s">
        <v>33</v>
      </c>
      <c r="H10" s="33" t="s">
        <v>24</v>
      </c>
      <c r="I10" s="38">
        <v>7532382690</v>
      </c>
      <c r="J10" s="173" t="s">
        <v>216</v>
      </c>
      <c r="K10" s="60">
        <v>9912818963</v>
      </c>
      <c r="L10" s="39" t="s">
        <v>34</v>
      </c>
      <c r="M10" s="39" t="s">
        <v>35</v>
      </c>
      <c r="N10" s="39" t="s">
        <v>36</v>
      </c>
      <c r="O10" s="34" t="s">
        <v>192</v>
      </c>
      <c r="P10" s="33"/>
      <c r="Q10" s="34"/>
      <c r="R10" s="194" t="s">
        <v>221</v>
      </c>
      <c r="S10" s="34"/>
      <c r="T10" s="194" t="s">
        <v>28</v>
      </c>
      <c r="U10" s="308" t="s">
        <v>239</v>
      </c>
      <c r="V10" s="29">
        <v>8760</v>
      </c>
      <c r="W10" s="203">
        <f>AL10</f>
        <v>2720.9898365002214</v>
      </c>
      <c r="X10" s="224"/>
      <c r="Y10" s="83" t="s">
        <v>135</v>
      </c>
      <c r="Z10" s="222">
        <f>Z11/11.315</f>
        <v>8.219178082191782</v>
      </c>
      <c r="AA10" s="222">
        <f aca="true" t="shared" si="2" ref="AA10:AK10">AA11/11.315</f>
        <v>7.158638974812196</v>
      </c>
      <c r="AB10" s="222">
        <f t="shared" si="2"/>
        <v>227.39726027397262</v>
      </c>
      <c r="AC10" s="222">
        <f t="shared" si="2"/>
        <v>252.93857711003093</v>
      </c>
      <c r="AD10" s="222">
        <f t="shared" si="2"/>
        <v>223.1551038444543</v>
      </c>
      <c r="AE10" s="222">
        <f t="shared" si="2"/>
        <v>1207.688908528502</v>
      </c>
      <c r="AF10" s="222">
        <f t="shared" si="2"/>
        <v>406.53999116217415</v>
      </c>
      <c r="AG10" s="222">
        <f t="shared" si="2"/>
        <v>183.65002209456475</v>
      </c>
      <c r="AH10" s="222">
        <f t="shared" si="2"/>
        <v>67.25585505965533</v>
      </c>
      <c r="AI10" s="222">
        <f t="shared" si="2"/>
        <v>136.986301369863</v>
      </c>
      <c r="AJ10" s="222">
        <f t="shared" si="2"/>
        <v>0</v>
      </c>
      <c r="AK10" s="222">
        <f t="shared" si="2"/>
        <v>0</v>
      </c>
      <c r="AL10" s="283">
        <f>SUM(Z10:AK10)</f>
        <v>2720.9898365002214</v>
      </c>
      <c r="AM10" s="223" t="s">
        <v>170</v>
      </c>
      <c r="AN10" s="48"/>
      <c r="AO10" s="48"/>
    </row>
    <row r="11" spans="1:41" s="50" customFormat="1" ht="15">
      <c r="A11" s="87"/>
      <c r="B11" s="32"/>
      <c r="C11" s="33"/>
      <c r="D11" s="33"/>
      <c r="E11" s="33"/>
      <c r="F11" s="52"/>
      <c r="G11" s="33"/>
      <c r="H11" s="33"/>
      <c r="I11" s="33"/>
      <c r="J11" s="166"/>
      <c r="K11" s="60"/>
      <c r="L11" s="34"/>
      <c r="M11" s="34"/>
      <c r="N11" s="34"/>
      <c r="O11" s="34"/>
      <c r="P11" s="35"/>
      <c r="Q11" s="34" t="s">
        <v>29</v>
      </c>
      <c r="R11" s="220"/>
      <c r="S11" s="34" t="s">
        <v>29</v>
      </c>
      <c r="T11" s="220"/>
      <c r="U11" s="308"/>
      <c r="V11" s="29"/>
      <c r="W11" s="203"/>
      <c r="X11" s="224">
        <f>AL11</f>
        <v>30788</v>
      </c>
      <c r="Y11" s="83"/>
      <c r="Z11" s="225">
        <v>93</v>
      </c>
      <c r="AA11" s="225">
        <v>81</v>
      </c>
      <c r="AB11" s="225">
        <v>2573</v>
      </c>
      <c r="AC11" s="225">
        <v>2862</v>
      </c>
      <c r="AD11" s="225">
        <v>2525</v>
      </c>
      <c r="AE11" s="225">
        <v>13665</v>
      </c>
      <c r="AF11" s="225">
        <v>4600</v>
      </c>
      <c r="AG11" s="225">
        <f>1047+1031</f>
        <v>2078</v>
      </c>
      <c r="AH11" s="225">
        <v>761</v>
      </c>
      <c r="AI11" s="225">
        <v>1550</v>
      </c>
      <c r="AJ11" s="225">
        <v>0</v>
      </c>
      <c r="AK11" s="225">
        <v>0</v>
      </c>
      <c r="AL11" s="278">
        <f>SUM(Z11:AK11)</f>
        <v>30788</v>
      </c>
      <c r="AM11" s="223" t="s">
        <v>171</v>
      </c>
      <c r="AN11" s="48"/>
      <c r="AO11" s="48"/>
    </row>
    <row r="12" spans="1:41" s="88" customFormat="1" ht="56.25" customHeight="1">
      <c r="A12" s="89"/>
      <c r="B12" s="32">
        <v>3</v>
      </c>
      <c r="C12" s="90" t="s">
        <v>112</v>
      </c>
      <c r="D12" s="33" t="s">
        <v>145</v>
      </c>
      <c r="E12" s="33" t="s">
        <v>31</v>
      </c>
      <c r="F12" s="52" t="s">
        <v>146</v>
      </c>
      <c r="G12" s="92">
        <v>2</v>
      </c>
      <c r="H12" s="33" t="s">
        <v>24</v>
      </c>
      <c r="I12" s="38">
        <v>7532382690</v>
      </c>
      <c r="J12" s="167" t="s">
        <v>215</v>
      </c>
      <c r="K12" s="60" t="s">
        <v>147</v>
      </c>
      <c r="L12" s="39" t="s">
        <v>148</v>
      </c>
      <c r="M12" s="39" t="s">
        <v>47</v>
      </c>
      <c r="N12" s="39" t="s">
        <v>149</v>
      </c>
      <c r="O12" s="34" t="s">
        <v>46</v>
      </c>
      <c r="P12" s="33"/>
      <c r="Q12" s="34" t="s">
        <v>29</v>
      </c>
      <c r="R12" s="220" t="s">
        <v>222</v>
      </c>
      <c r="S12" s="34" t="s">
        <v>29</v>
      </c>
      <c r="T12" s="220" t="s">
        <v>133</v>
      </c>
      <c r="U12" s="308" t="s">
        <v>239</v>
      </c>
      <c r="V12" s="29">
        <v>8760</v>
      </c>
      <c r="W12" s="203">
        <f>AL12</f>
        <v>2433.76049491825</v>
      </c>
      <c r="X12" s="224"/>
      <c r="Y12" s="83" t="s">
        <v>135</v>
      </c>
      <c r="Z12" s="222">
        <f>Z13/11.315</f>
        <v>53.292090145824126</v>
      </c>
      <c r="AA12" s="222">
        <f aca="true" t="shared" si="3" ref="AA12:AK12">AA13/11.315</f>
        <v>70.61422889969067</v>
      </c>
      <c r="AB12" s="222">
        <f t="shared" si="3"/>
        <v>88.11312417145382</v>
      </c>
      <c r="AC12" s="222">
        <f t="shared" si="3"/>
        <v>321.16659301811757</v>
      </c>
      <c r="AD12" s="222">
        <f t="shared" si="3"/>
        <v>301.63499779054354</v>
      </c>
      <c r="AE12" s="222">
        <f t="shared" si="3"/>
        <v>503.4909412284578</v>
      </c>
      <c r="AF12" s="222">
        <f t="shared" si="3"/>
        <v>392.311091471498</v>
      </c>
      <c r="AG12" s="222">
        <f t="shared" si="3"/>
        <v>325.143614670791</v>
      </c>
      <c r="AH12" s="222">
        <f t="shared" si="3"/>
        <v>272.02828104286345</v>
      </c>
      <c r="AI12" s="222">
        <f t="shared" si="3"/>
        <v>105.96553247901016</v>
      </c>
      <c r="AJ12" s="222">
        <f t="shared" si="3"/>
        <v>0</v>
      </c>
      <c r="AK12" s="222">
        <f t="shared" si="3"/>
        <v>0</v>
      </c>
      <c r="AL12" s="278">
        <f>SUM(Z12:AK12)</f>
        <v>2433.76049491825</v>
      </c>
      <c r="AM12" s="223" t="s">
        <v>170</v>
      </c>
      <c r="AN12" s="48"/>
      <c r="AO12" s="48"/>
    </row>
    <row r="13" spans="1:41" s="88" customFormat="1" ht="20.25" customHeight="1">
      <c r="A13" s="89"/>
      <c r="B13" s="32"/>
      <c r="C13" s="90"/>
      <c r="D13" s="33"/>
      <c r="E13" s="33"/>
      <c r="F13" s="52"/>
      <c r="G13" s="92"/>
      <c r="H13" s="33"/>
      <c r="I13" s="38"/>
      <c r="J13" s="167"/>
      <c r="K13" s="60"/>
      <c r="L13" s="39"/>
      <c r="M13" s="39"/>
      <c r="N13" s="39"/>
      <c r="O13" s="34"/>
      <c r="P13" s="33"/>
      <c r="Q13" s="34"/>
      <c r="R13" s="220"/>
      <c r="S13" s="34"/>
      <c r="T13" s="220"/>
      <c r="U13" s="308"/>
      <c r="V13" s="45"/>
      <c r="W13" s="203"/>
      <c r="X13" s="224">
        <f>AL13</f>
        <v>27538</v>
      </c>
      <c r="Y13" s="83"/>
      <c r="Z13" s="225">
        <f>603</f>
        <v>603</v>
      </c>
      <c r="AA13" s="225">
        <f>417+382</f>
        <v>799</v>
      </c>
      <c r="AB13" s="225">
        <f>290+707</f>
        <v>997</v>
      </c>
      <c r="AC13" s="225">
        <f>3092+542</f>
        <v>3634</v>
      </c>
      <c r="AD13" s="279">
        <f>2548+865</f>
        <v>3413</v>
      </c>
      <c r="AE13" s="225">
        <f>4428+1269</f>
        <v>5697</v>
      </c>
      <c r="AF13" s="225">
        <f>3404+1035</f>
        <v>4439</v>
      </c>
      <c r="AG13" s="225">
        <f>2853+826</f>
        <v>3679</v>
      </c>
      <c r="AH13" s="225">
        <f>3078</f>
        <v>3078</v>
      </c>
      <c r="AI13" s="225">
        <f>1086+113</f>
        <v>1199</v>
      </c>
      <c r="AJ13" s="225">
        <v>0</v>
      </c>
      <c r="AK13" s="225">
        <v>0</v>
      </c>
      <c r="AL13" s="280">
        <f>SUM(Z13:AK13)</f>
        <v>27538</v>
      </c>
      <c r="AM13" s="223" t="s">
        <v>171</v>
      </c>
      <c r="AN13" s="48"/>
      <c r="AO13" s="48"/>
    </row>
    <row r="14" spans="1:41" s="50" customFormat="1" ht="42.75">
      <c r="A14" s="87"/>
      <c r="B14" s="32">
        <v>4</v>
      </c>
      <c r="C14" s="33" t="s">
        <v>21</v>
      </c>
      <c r="D14" s="33" t="s">
        <v>38</v>
      </c>
      <c r="E14" s="33" t="s">
        <v>31</v>
      </c>
      <c r="F14" s="52" t="s">
        <v>39</v>
      </c>
      <c r="G14" s="37">
        <v>15</v>
      </c>
      <c r="H14" s="33" t="s">
        <v>24</v>
      </c>
      <c r="I14" s="38">
        <v>7532382690</v>
      </c>
      <c r="J14" s="167" t="s">
        <v>213</v>
      </c>
      <c r="K14" s="60">
        <v>5983114661</v>
      </c>
      <c r="L14" s="40" t="s">
        <v>40</v>
      </c>
      <c r="M14" s="39" t="s">
        <v>35</v>
      </c>
      <c r="N14" s="39" t="s">
        <v>41</v>
      </c>
      <c r="O14" s="34" t="s">
        <v>42</v>
      </c>
      <c r="P14" s="33"/>
      <c r="Q14" s="34"/>
      <c r="R14" s="194" t="s">
        <v>224</v>
      </c>
      <c r="S14" s="34"/>
      <c r="T14" s="303" t="s">
        <v>142</v>
      </c>
      <c r="U14" s="308" t="s">
        <v>239</v>
      </c>
      <c r="V14" s="59">
        <v>8760</v>
      </c>
      <c r="W14" s="226">
        <f>AL14</f>
        <v>24907.733097657972</v>
      </c>
      <c r="X14" s="224"/>
      <c r="Y14" s="83" t="s">
        <v>135</v>
      </c>
      <c r="Z14" s="222">
        <f>Z15/11.315</f>
        <v>0</v>
      </c>
      <c r="AA14" s="222">
        <f aca="true" t="shared" si="4" ref="AA14:AK14">AA15/11.315</f>
        <v>175.16570923552806</v>
      </c>
      <c r="AB14" s="222">
        <f t="shared" si="4"/>
        <v>1256.3853292090146</v>
      </c>
      <c r="AC14" s="222">
        <f t="shared" si="4"/>
        <v>4037.91427308882</v>
      </c>
      <c r="AD14" s="222">
        <f t="shared" si="4"/>
        <v>4513.919575784357</v>
      </c>
      <c r="AE14" s="222">
        <f t="shared" si="4"/>
        <v>5994.432169686257</v>
      </c>
      <c r="AF14" s="222">
        <f t="shared" si="4"/>
        <v>3808.83782589483</v>
      </c>
      <c r="AG14" s="222">
        <f t="shared" si="4"/>
        <v>3455.05965532479</v>
      </c>
      <c r="AH14" s="222">
        <f t="shared" si="4"/>
        <v>1666.0185594343793</v>
      </c>
      <c r="AI14" s="222">
        <f t="shared" si="4"/>
        <v>0</v>
      </c>
      <c r="AJ14" s="222">
        <f t="shared" si="4"/>
        <v>0</v>
      </c>
      <c r="AK14" s="222">
        <f t="shared" si="4"/>
        <v>0</v>
      </c>
      <c r="AL14" s="278">
        <f t="shared" si="1"/>
        <v>24907.733097657972</v>
      </c>
      <c r="AM14" s="223" t="s">
        <v>170</v>
      </c>
      <c r="AN14" s="48"/>
      <c r="AO14" s="48"/>
    </row>
    <row r="15" spans="1:41" s="50" customFormat="1" ht="15">
      <c r="A15" s="157"/>
      <c r="B15" s="41"/>
      <c r="C15" s="33"/>
      <c r="D15" s="33"/>
      <c r="E15" s="42"/>
      <c r="F15" s="102"/>
      <c r="G15" s="42"/>
      <c r="H15" s="42"/>
      <c r="I15" s="43"/>
      <c r="J15" s="168"/>
      <c r="K15" s="60"/>
      <c r="L15" s="44"/>
      <c r="M15" s="44"/>
      <c r="N15" s="44"/>
      <c r="O15" s="44"/>
      <c r="P15" s="43"/>
      <c r="Q15" s="34">
        <v>110</v>
      </c>
      <c r="R15" s="193"/>
      <c r="S15" s="34">
        <v>110</v>
      </c>
      <c r="T15" s="193"/>
      <c r="U15" s="308"/>
      <c r="V15" s="59"/>
      <c r="W15" s="226"/>
      <c r="X15" s="224">
        <f>AL15</f>
        <v>281831</v>
      </c>
      <c r="Y15" s="83"/>
      <c r="Z15" s="225">
        <v>0</v>
      </c>
      <c r="AA15" s="225">
        <v>1982</v>
      </c>
      <c r="AB15" s="225">
        <v>14216</v>
      </c>
      <c r="AC15" s="225">
        <v>45689</v>
      </c>
      <c r="AD15" s="225">
        <v>51075</v>
      </c>
      <c r="AE15" s="225">
        <v>67827</v>
      </c>
      <c r="AF15" s="225">
        <v>43097</v>
      </c>
      <c r="AG15" s="225">
        <v>39094</v>
      </c>
      <c r="AH15" s="225">
        <v>18851</v>
      </c>
      <c r="AI15" s="225">
        <v>0</v>
      </c>
      <c r="AJ15" s="225">
        <v>0</v>
      </c>
      <c r="AK15" s="225">
        <v>0</v>
      </c>
      <c r="AL15" s="278">
        <f t="shared" si="1"/>
        <v>281831</v>
      </c>
      <c r="AM15" s="223" t="s">
        <v>171</v>
      </c>
      <c r="AN15" s="48"/>
      <c r="AO15" s="48"/>
    </row>
    <row r="16" spans="2:41" s="53" customFormat="1" ht="59.25" customHeight="1">
      <c r="B16" s="46">
        <v>5</v>
      </c>
      <c r="C16" s="150" t="s">
        <v>193</v>
      </c>
      <c r="D16" s="208" t="s">
        <v>194</v>
      </c>
      <c r="E16" s="310" t="s">
        <v>31</v>
      </c>
      <c r="F16" s="346" t="s">
        <v>44</v>
      </c>
      <c r="G16" s="310">
        <v>9</v>
      </c>
      <c r="H16" s="310" t="s">
        <v>24</v>
      </c>
      <c r="I16" s="310">
        <v>7532382690</v>
      </c>
      <c r="J16" s="173" t="s">
        <v>202</v>
      </c>
      <c r="K16" s="60">
        <v>8820615294</v>
      </c>
      <c r="L16" s="310" t="s">
        <v>45</v>
      </c>
      <c r="M16" s="332">
        <v>1</v>
      </c>
      <c r="N16" s="310">
        <v>210</v>
      </c>
      <c r="O16" s="310" t="s">
        <v>46</v>
      </c>
      <c r="P16" s="310"/>
      <c r="Q16" s="310" t="s">
        <v>29</v>
      </c>
      <c r="R16" s="328" t="s">
        <v>223</v>
      </c>
      <c r="S16" s="310" t="s">
        <v>29</v>
      </c>
      <c r="T16" s="328" t="s">
        <v>37</v>
      </c>
      <c r="U16" s="308" t="s">
        <v>239</v>
      </c>
      <c r="V16" s="59">
        <v>8760</v>
      </c>
      <c r="W16" s="226">
        <f>AL16</f>
        <v>9182.059213433497</v>
      </c>
      <c r="X16" s="224"/>
      <c r="Y16" s="83" t="s">
        <v>135</v>
      </c>
      <c r="Z16" s="222">
        <f>Z17/11.315</f>
        <v>251.34776844896157</v>
      </c>
      <c r="AA16" s="222">
        <f aca="true" t="shared" si="5" ref="AA16:AK16">AA17/11.315</f>
        <v>257.88775961113566</v>
      </c>
      <c r="AB16" s="222">
        <f t="shared" si="5"/>
        <v>518.338488731772</v>
      </c>
      <c r="AC16" s="222">
        <f t="shared" si="5"/>
        <v>1238.0026513477685</v>
      </c>
      <c r="AD16" s="222">
        <f t="shared" si="5"/>
        <v>1703.579319487406</v>
      </c>
      <c r="AE16" s="222">
        <f t="shared" si="5"/>
        <v>1914.0079540433055</v>
      </c>
      <c r="AF16" s="222">
        <f t="shared" si="5"/>
        <v>1194.2554131683607</v>
      </c>
      <c r="AG16" s="222">
        <f t="shared" si="5"/>
        <v>1098.5417587273532</v>
      </c>
      <c r="AH16" s="222">
        <f t="shared" si="5"/>
        <v>713.1241714538224</v>
      </c>
      <c r="AI16" s="222">
        <f t="shared" si="5"/>
        <v>292.9739284136103</v>
      </c>
      <c r="AJ16" s="222">
        <f t="shared" si="5"/>
        <v>0</v>
      </c>
      <c r="AK16" s="222">
        <f t="shared" si="5"/>
        <v>0</v>
      </c>
      <c r="AL16" s="278">
        <f t="shared" si="1"/>
        <v>9182.059213433497</v>
      </c>
      <c r="AM16" s="223" t="s">
        <v>170</v>
      </c>
      <c r="AN16" s="155"/>
      <c r="AO16" s="155"/>
    </row>
    <row r="17" spans="2:41" s="53" customFormat="1" ht="15">
      <c r="B17" s="47"/>
      <c r="C17" s="30"/>
      <c r="D17" s="156"/>
      <c r="E17" s="310"/>
      <c r="F17" s="346"/>
      <c r="G17" s="310"/>
      <c r="H17" s="310"/>
      <c r="I17" s="310"/>
      <c r="J17" s="169"/>
      <c r="K17" s="60"/>
      <c r="L17" s="310"/>
      <c r="M17" s="332"/>
      <c r="N17" s="310"/>
      <c r="O17" s="310"/>
      <c r="P17" s="310"/>
      <c r="Q17" s="310"/>
      <c r="R17" s="328"/>
      <c r="S17" s="310"/>
      <c r="T17" s="328"/>
      <c r="U17" s="308"/>
      <c r="V17" s="29"/>
      <c r="W17" s="203"/>
      <c r="X17" s="224">
        <f>AL17</f>
        <v>103895</v>
      </c>
      <c r="Y17" s="83"/>
      <c r="Z17" s="225">
        <v>2844</v>
      </c>
      <c r="AA17" s="225">
        <v>2918</v>
      </c>
      <c r="AB17" s="225">
        <v>5865</v>
      </c>
      <c r="AC17" s="225">
        <v>14008</v>
      </c>
      <c r="AD17" s="225">
        <v>19276</v>
      </c>
      <c r="AE17" s="225">
        <v>21657</v>
      </c>
      <c r="AF17" s="225">
        <v>13513</v>
      </c>
      <c r="AG17" s="225">
        <v>12430</v>
      </c>
      <c r="AH17" s="225">
        <v>8069</v>
      </c>
      <c r="AI17" s="225">
        <v>3315</v>
      </c>
      <c r="AJ17" s="225">
        <v>0</v>
      </c>
      <c r="AK17" s="225">
        <v>0</v>
      </c>
      <c r="AL17" s="278">
        <f>SUM(Z17:AK17)</f>
        <v>103895</v>
      </c>
      <c r="AM17" s="223" t="s">
        <v>171</v>
      </c>
      <c r="AN17" s="155"/>
      <c r="AO17" s="155"/>
    </row>
    <row r="18" spans="1:41" s="50" customFormat="1" ht="19.5" customHeight="1">
      <c r="A18" s="87"/>
      <c r="B18" s="330">
        <v>6</v>
      </c>
      <c r="C18" s="331" t="s">
        <v>195</v>
      </c>
      <c r="D18" s="310" t="s">
        <v>194</v>
      </c>
      <c r="E18" s="310" t="s">
        <v>31</v>
      </c>
      <c r="F18" s="308" t="s">
        <v>44</v>
      </c>
      <c r="G18" s="322" t="s">
        <v>227</v>
      </c>
      <c r="H18" s="310" t="s">
        <v>24</v>
      </c>
      <c r="I18" s="321">
        <v>7532382690</v>
      </c>
      <c r="J18" s="173" t="s">
        <v>220</v>
      </c>
      <c r="K18" s="60" t="s">
        <v>56</v>
      </c>
      <c r="L18" s="310" t="s">
        <v>45</v>
      </c>
      <c r="M18" s="310">
        <v>1</v>
      </c>
      <c r="N18" s="310">
        <v>140</v>
      </c>
      <c r="O18" s="310" t="s">
        <v>46</v>
      </c>
      <c r="P18" s="321"/>
      <c r="Q18" s="310">
        <v>187</v>
      </c>
      <c r="R18" s="322" t="s">
        <v>224</v>
      </c>
      <c r="S18" s="310">
        <v>187</v>
      </c>
      <c r="T18" s="329" t="s">
        <v>142</v>
      </c>
      <c r="U18" s="308" t="s">
        <v>239</v>
      </c>
      <c r="V18" s="29">
        <v>8760</v>
      </c>
      <c r="W18" s="203">
        <f>AL18</f>
        <v>10401.325673884225</v>
      </c>
      <c r="X18" s="224"/>
      <c r="Y18" s="83"/>
      <c r="Z18" s="222">
        <f>Z19/11.315</f>
        <v>466.81396376491386</v>
      </c>
      <c r="AA18" s="222">
        <f aca="true" t="shared" si="6" ref="AA18:AK18">AA19/11.315</f>
        <v>406.71674768007074</v>
      </c>
      <c r="AB18" s="222">
        <f t="shared" si="6"/>
        <v>229.4299602297835</v>
      </c>
      <c r="AC18" s="222">
        <f t="shared" si="6"/>
        <v>1317.454706142289</v>
      </c>
      <c r="AD18" s="222">
        <f t="shared" si="6"/>
        <v>2028.1926646045074</v>
      </c>
      <c r="AE18" s="222">
        <f t="shared" si="6"/>
        <v>1893.5041979673001</v>
      </c>
      <c r="AF18" s="222">
        <f t="shared" si="6"/>
        <v>1322.3155103844456</v>
      </c>
      <c r="AG18" s="222">
        <f t="shared" si="6"/>
        <v>1218.6478126380912</v>
      </c>
      <c r="AH18" s="222">
        <f t="shared" si="6"/>
        <v>911.9752540874945</v>
      </c>
      <c r="AI18" s="222">
        <f t="shared" si="6"/>
        <v>606.2748563853293</v>
      </c>
      <c r="AJ18" s="222">
        <f t="shared" si="6"/>
        <v>0</v>
      </c>
      <c r="AK18" s="222">
        <f t="shared" si="6"/>
        <v>0</v>
      </c>
      <c r="AL18" s="278">
        <f t="shared" si="1"/>
        <v>10401.325673884225</v>
      </c>
      <c r="AM18" s="223" t="s">
        <v>170</v>
      </c>
      <c r="AN18" s="48"/>
      <c r="AO18" s="48"/>
    </row>
    <row r="19" spans="1:41" s="50" customFormat="1" ht="27.75" customHeight="1">
      <c r="A19" s="87"/>
      <c r="B19" s="330"/>
      <c r="C19" s="331"/>
      <c r="D19" s="310"/>
      <c r="E19" s="310"/>
      <c r="F19" s="308"/>
      <c r="G19" s="322"/>
      <c r="H19" s="310"/>
      <c r="I19" s="321"/>
      <c r="J19" s="167"/>
      <c r="K19" s="60"/>
      <c r="L19" s="310"/>
      <c r="M19" s="310"/>
      <c r="N19" s="310"/>
      <c r="O19" s="310"/>
      <c r="P19" s="321"/>
      <c r="Q19" s="310"/>
      <c r="R19" s="322"/>
      <c r="S19" s="310"/>
      <c r="T19" s="329"/>
      <c r="U19" s="308"/>
      <c r="V19" s="49"/>
      <c r="W19" s="203"/>
      <c r="X19" s="224">
        <f>AL19</f>
        <v>117691</v>
      </c>
      <c r="Y19" s="83" t="s">
        <v>135</v>
      </c>
      <c r="Z19" s="225">
        <v>5282</v>
      </c>
      <c r="AA19" s="225">
        <v>4602</v>
      </c>
      <c r="AB19" s="225">
        <v>2596</v>
      </c>
      <c r="AC19" s="225">
        <v>14907</v>
      </c>
      <c r="AD19" s="225">
        <v>22949</v>
      </c>
      <c r="AE19" s="225">
        <v>21425</v>
      </c>
      <c r="AF19" s="225">
        <v>14962</v>
      </c>
      <c r="AG19" s="225">
        <v>13789</v>
      </c>
      <c r="AH19" s="225">
        <v>10319</v>
      </c>
      <c r="AI19" s="225">
        <v>6860</v>
      </c>
      <c r="AJ19" s="225">
        <v>0</v>
      </c>
      <c r="AK19" s="225">
        <v>0</v>
      </c>
      <c r="AL19" s="286">
        <f>SUM(Z19:AK19)</f>
        <v>117691</v>
      </c>
      <c r="AM19" s="223" t="s">
        <v>171</v>
      </c>
      <c r="AN19" s="48"/>
      <c r="AO19" s="48"/>
    </row>
    <row r="20" spans="1:41" s="88" customFormat="1" ht="29.25" customHeight="1">
      <c r="A20" s="89"/>
      <c r="B20" s="32">
        <v>7</v>
      </c>
      <c r="C20" s="33" t="s">
        <v>48</v>
      </c>
      <c r="D20" s="33" t="s">
        <v>48</v>
      </c>
      <c r="E20" s="33" t="s">
        <v>31</v>
      </c>
      <c r="F20" s="52" t="s">
        <v>49</v>
      </c>
      <c r="G20" s="37">
        <v>7</v>
      </c>
      <c r="H20" s="33" t="s">
        <v>24</v>
      </c>
      <c r="I20" s="33">
        <v>7550008335</v>
      </c>
      <c r="J20" s="173" t="s">
        <v>209</v>
      </c>
      <c r="K20" s="60">
        <v>9572015482</v>
      </c>
      <c r="L20" s="34" t="s">
        <v>50</v>
      </c>
      <c r="M20" s="34">
        <v>1</v>
      </c>
      <c r="N20" s="34" t="s">
        <v>51</v>
      </c>
      <c r="O20" s="34" t="s">
        <v>52</v>
      </c>
      <c r="P20" s="35"/>
      <c r="Q20" s="34">
        <v>110</v>
      </c>
      <c r="R20" s="220" t="s">
        <v>224</v>
      </c>
      <c r="S20" s="34">
        <v>110</v>
      </c>
      <c r="T20" s="304" t="s">
        <v>142</v>
      </c>
      <c r="U20" s="308" t="s">
        <v>239</v>
      </c>
      <c r="V20" s="29">
        <v>8760</v>
      </c>
      <c r="W20" s="203">
        <f>AL20</f>
        <v>11677.242598320812</v>
      </c>
      <c r="X20" s="224"/>
      <c r="Y20" s="152" t="s">
        <v>135</v>
      </c>
      <c r="Z20" s="222">
        <f>Z21/11.315</f>
        <v>0</v>
      </c>
      <c r="AA20" s="222">
        <f aca="true" t="shared" si="7" ref="AA20:AK20">AA21/11.315</f>
        <v>0</v>
      </c>
      <c r="AB20" s="222">
        <f t="shared" si="7"/>
        <v>0</v>
      </c>
      <c r="AC20" s="222">
        <f t="shared" si="7"/>
        <v>1696.8625718073354</v>
      </c>
      <c r="AD20" s="222">
        <f t="shared" si="7"/>
        <v>1205.921343349536</v>
      </c>
      <c r="AE20" s="222">
        <f t="shared" si="7"/>
        <v>4558.815731330093</v>
      </c>
      <c r="AF20" s="222">
        <f t="shared" si="7"/>
        <v>1749.1825011047283</v>
      </c>
      <c r="AG20" s="222">
        <f t="shared" si="7"/>
        <v>1527.79496243924</v>
      </c>
      <c r="AH20" s="222">
        <f t="shared" si="7"/>
        <v>938.6654882898807</v>
      </c>
      <c r="AI20" s="222">
        <f t="shared" si="7"/>
        <v>0</v>
      </c>
      <c r="AJ20" s="222">
        <f t="shared" si="7"/>
        <v>0</v>
      </c>
      <c r="AK20" s="222">
        <f t="shared" si="7"/>
        <v>0</v>
      </c>
      <c r="AL20" s="287">
        <f>SUM(Z20:AK20)</f>
        <v>11677.242598320812</v>
      </c>
      <c r="AM20" s="223" t="s">
        <v>170</v>
      </c>
      <c r="AN20" s="48"/>
      <c r="AO20" s="48"/>
    </row>
    <row r="21" spans="1:41" s="50" customFormat="1" ht="24" customHeight="1">
      <c r="A21" s="87"/>
      <c r="B21" s="32"/>
      <c r="C21" s="33"/>
      <c r="D21" s="33"/>
      <c r="E21" s="33"/>
      <c r="F21" s="52"/>
      <c r="G21" s="37"/>
      <c r="H21" s="33"/>
      <c r="I21" s="33"/>
      <c r="J21" s="166"/>
      <c r="K21" s="60"/>
      <c r="L21" s="34"/>
      <c r="M21" s="34"/>
      <c r="N21" s="34"/>
      <c r="O21" s="34"/>
      <c r="P21" s="35"/>
      <c r="Q21" s="34"/>
      <c r="R21" s="220"/>
      <c r="S21" s="34"/>
      <c r="T21" s="220"/>
      <c r="U21" s="308"/>
      <c r="V21" s="29"/>
      <c r="W21" s="203"/>
      <c r="X21" s="224">
        <f>AL21</f>
        <v>132128</v>
      </c>
      <c r="Y21" s="152"/>
      <c r="Z21" s="225">
        <v>0</v>
      </c>
      <c r="AA21" s="225">
        <v>0</v>
      </c>
      <c r="AB21" s="225">
        <v>0</v>
      </c>
      <c r="AC21" s="225">
        <v>19200</v>
      </c>
      <c r="AD21" s="225">
        <f>7650+5995</f>
        <v>13645</v>
      </c>
      <c r="AE21" s="225">
        <v>51583</v>
      </c>
      <c r="AF21" s="225">
        <v>19792</v>
      </c>
      <c r="AG21" s="225">
        <v>17287</v>
      </c>
      <c r="AH21" s="225">
        <v>10621</v>
      </c>
      <c r="AI21" s="225">
        <v>0</v>
      </c>
      <c r="AJ21" s="225">
        <v>0</v>
      </c>
      <c r="AK21" s="225">
        <v>0</v>
      </c>
      <c r="AL21" s="287">
        <f>SUM(Z21:AK21)</f>
        <v>132128</v>
      </c>
      <c r="AM21" s="223" t="s">
        <v>171</v>
      </c>
      <c r="AN21" s="48"/>
      <c r="AO21" s="48"/>
    </row>
    <row r="22" spans="1:41" s="88" customFormat="1" ht="42" customHeight="1">
      <c r="A22" s="89"/>
      <c r="B22" s="338">
        <v>8</v>
      </c>
      <c r="C22" s="325" t="s">
        <v>113</v>
      </c>
      <c r="D22" s="325" t="s">
        <v>53</v>
      </c>
      <c r="E22" s="33" t="s">
        <v>31</v>
      </c>
      <c r="F22" s="52" t="s">
        <v>54</v>
      </c>
      <c r="G22" s="37">
        <v>4</v>
      </c>
      <c r="H22" s="33" t="s">
        <v>24</v>
      </c>
      <c r="I22" s="38">
        <v>7532382690</v>
      </c>
      <c r="J22" s="173" t="s">
        <v>205</v>
      </c>
      <c r="K22" s="60">
        <v>5231274764</v>
      </c>
      <c r="L22" s="34" t="s">
        <v>143</v>
      </c>
      <c r="M22" s="34">
        <v>1</v>
      </c>
      <c r="N22" s="34">
        <v>50</v>
      </c>
      <c r="O22" s="34" t="s">
        <v>55</v>
      </c>
      <c r="P22" s="35" t="s">
        <v>56</v>
      </c>
      <c r="Q22" s="34" t="s">
        <v>29</v>
      </c>
      <c r="R22" s="328" t="s">
        <v>223</v>
      </c>
      <c r="S22" s="34" t="s">
        <v>29</v>
      </c>
      <c r="T22" s="220" t="s">
        <v>37</v>
      </c>
      <c r="U22" s="308" t="s">
        <v>239</v>
      </c>
      <c r="V22" s="29">
        <v>8760</v>
      </c>
      <c r="W22" s="323">
        <f>AL22</f>
        <v>9547.149801148918</v>
      </c>
      <c r="X22" s="227"/>
      <c r="Y22" s="152" t="s">
        <v>135</v>
      </c>
      <c r="Z22" s="250">
        <f>Z23/11.315</f>
        <v>10.251878038002651</v>
      </c>
      <c r="AA22" s="250">
        <f aca="true" t="shared" si="8" ref="AA22:AK22">AA23/11.315</f>
        <v>211.84268669907203</v>
      </c>
      <c r="AB22" s="250">
        <f t="shared" si="8"/>
        <v>820.5037560760053</v>
      </c>
      <c r="AC22" s="250">
        <f t="shared" si="8"/>
        <v>1359.3460008837826</v>
      </c>
      <c r="AD22" s="250">
        <f t="shared" si="8"/>
        <v>1675.121520106054</v>
      </c>
      <c r="AE22" s="250">
        <f t="shared" si="8"/>
        <v>1744.8519664162616</v>
      </c>
      <c r="AF22" s="250">
        <f t="shared" si="8"/>
        <v>1307.02607158639</v>
      </c>
      <c r="AG22" s="250">
        <f t="shared" si="8"/>
        <v>1229.1648254529387</v>
      </c>
      <c r="AH22" s="250">
        <f t="shared" si="8"/>
        <v>818.029164825453</v>
      </c>
      <c r="AI22" s="250">
        <f t="shared" si="8"/>
        <v>371.01193106495805</v>
      </c>
      <c r="AJ22" s="250">
        <f t="shared" si="8"/>
        <v>0</v>
      </c>
      <c r="AK22" s="250">
        <f t="shared" si="8"/>
        <v>0</v>
      </c>
      <c r="AL22" s="284">
        <f>SUM(Z22:AK22)</f>
        <v>9547.149801148918</v>
      </c>
      <c r="AM22" s="223" t="s">
        <v>170</v>
      </c>
      <c r="AN22" s="48"/>
      <c r="AO22" s="48"/>
    </row>
    <row r="23" spans="1:41" s="88" customFormat="1" ht="15" customHeight="1">
      <c r="A23" s="89"/>
      <c r="B23" s="339"/>
      <c r="C23" s="326"/>
      <c r="D23" s="326"/>
      <c r="E23" s="33"/>
      <c r="F23" s="52"/>
      <c r="G23" s="37"/>
      <c r="H23" s="33"/>
      <c r="I23" s="38"/>
      <c r="J23" s="167"/>
      <c r="K23" s="60"/>
      <c r="L23" s="39" t="s">
        <v>144</v>
      </c>
      <c r="M23" s="39" t="s">
        <v>58</v>
      </c>
      <c r="N23" s="39" t="s">
        <v>59</v>
      </c>
      <c r="O23" s="34"/>
      <c r="P23" s="33"/>
      <c r="Q23" s="34"/>
      <c r="R23" s="328"/>
      <c r="S23" s="34"/>
      <c r="T23" s="220"/>
      <c r="U23" s="308"/>
      <c r="V23" s="29"/>
      <c r="W23" s="314"/>
      <c r="X23" s="231"/>
      <c r="Y23" s="83"/>
      <c r="Z23" s="228">
        <v>116</v>
      </c>
      <c r="AA23" s="228">
        <v>2397</v>
      </c>
      <c r="AB23" s="228">
        <v>9284</v>
      </c>
      <c r="AC23" s="228">
        <f>4650+10731</f>
        <v>15381</v>
      </c>
      <c r="AD23" s="228">
        <v>18954</v>
      </c>
      <c r="AE23" s="228">
        <v>19743</v>
      </c>
      <c r="AF23" s="228">
        <v>14789</v>
      </c>
      <c r="AG23" s="228">
        <v>13908</v>
      </c>
      <c r="AH23" s="228">
        <v>9256</v>
      </c>
      <c r="AI23" s="228">
        <v>4198</v>
      </c>
      <c r="AJ23" s="228">
        <v>0</v>
      </c>
      <c r="AK23" s="228">
        <v>0</v>
      </c>
      <c r="AL23" s="285">
        <f>SUM(Z23:AK23)</f>
        <v>108026</v>
      </c>
      <c r="AM23" s="223" t="s">
        <v>171</v>
      </c>
      <c r="AN23" s="48"/>
      <c r="AO23" s="48"/>
    </row>
    <row r="24" spans="1:41" s="88" customFormat="1" ht="15">
      <c r="A24" s="89"/>
      <c r="B24" s="339"/>
      <c r="C24" s="326"/>
      <c r="D24" s="326"/>
      <c r="E24" s="33"/>
      <c r="F24" s="52"/>
      <c r="G24" s="37"/>
      <c r="H24" s="33"/>
      <c r="I24" s="38"/>
      <c r="J24" s="167"/>
      <c r="K24" s="60"/>
      <c r="L24" s="39" t="s">
        <v>60</v>
      </c>
      <c r="M24" s="39" t="s">
        <v>47</v>
      </c>
      <c r="N24" s="39" t="s">
        <v>59</v>
      </c>
      <c r="O24" s="34"/>
      <c r="P24" s="33"/>
      <c r="Q24" s="34"/>
      <c r="R24" s="220"/>
      <c r="S24" s="34"/>
      <c r="T24" s="220"/>
      <c r="U24" s="36"/>
      <c r="V24" s="29"/>
      <c r="W24" s="314"/>
      <c r="X24" s="230"/>
      <c r="Y24" s="83"/>
      <c r="Z24" s="232"/>
      <c r="AA24" s="233"/>
      <c r="AB24" s="233"/>
      <c r="AC24" s="233"/>
      <c r="AD24" s="234"/>
      <c r="AE24" s="234"/>
      <c r="AF24" s="234"/>
      <c r="AG24" s="234"/>
      <c r="AH24" s="234"/>
      <c r="AI24" s="234"/>
      <c r="AJ24" s="234"/>
      <c r="AK24" s="233"/>
      <c r="AL24" s="235"/>
      <c r="AM24" s="48"/>
      <c r="AN24" s="48"/>
      <c r="AO24" s="48"/>
    </row>
    <row r="25" spans="1:41" s="88" customFormat="1" ht="15.75" customHeight="1">
      <c r="A25" s="89"/>
      <c r="B25" s="339"/>
      <c r="C25" s="326"/>
      <c r="D25" s="326"/>
      <c r="E25" s="42"/>
      <c r="F25" s="102"/>
      <c r="G25" s="106"/>
      <c r="H25" s="42"/>
      <c r="I25" s="43"/>
      <c r="J25" s="168"/>
      <c r="K25" s="60"/>
      <c r="L25" s="310" t="s">
        <v>61</v>
      </c>
      <c r="M25" s="310">
        <v>1</v>
      </c>
      <c r="N25" s="310">
        <v>17</v>
      </c>
      <c r="O25" s="310"/>
      <c r="P25" s="321"/>
      <c r="Q25" s="310"/>
      <c r="R25" s="322"/>
      <c r="S25" s="310"/>
      <c r="T25" s="322"/>
      <c r="U25" s="308"/>
      <c r="V25" s="29"/>
      <c r="W25" s="314"/>
      <c r="X25" s="230"/>
      <c r="Y25" s="83"/>
      <c r="Z25" s="236"/>
      <c r="AA25" s="237"/>
      <c r="AB25" s="237"/>
      <c r="AC25" s="237"/>
      <c r="AD25" s="238"/>
      <c r="AE25" s="238"/>
      <c r="AF25" s="238"/>
      <c r="AG25" s="238"/>
      <c r="AH25" s="238"/>
      <c r="AI25" s="238"/>
      <c r="AJ25" s="238"/>
      <c r="AK25" s="237"/>
      <c r="AL25" s="239"/>
      <c r="AM25" s="48"/>
      <c r="AN25" s="48"/>
      <c r="AO25" s="48"/>
    </row>
    <row r="26" spans="1:41" s="88" customFormat="1" ht="15">
      <c r="A26" s="89"/>
      <c r="B26" s="339"/>
      <c r="C26" s="326"/>
      <c r="D26" s="326"/>
      <c r="E26" s="90"/>
      <c r="F26" s="101"/>
      <c r="G26" s="91"/>
      <c r="H26" s="93"/>
      <c r="I26" s="94"/>
      <c r="J26" s="167"/>
      <c r="K26" s="60"/>
      <c r="L26" s="310"/>
      <c r="M26" s="310"/>
      <c r="N26" s="310"/>
      <c r="O26" s="310"/>
      <c r="P26" s="321"/>
      <c r="Q26" s="310"/>
      <c r="R26" s="322"/>
      <c r="S26" s="310"/>
      <c r="T26" s="322"/>
      <c r="U26" s="308"/>
      <c r="V26" s="29"/>
      <c r="W26" s="314"/>
      <c r="X26" s="314">
        <f>AL23</f>
        <v>108026</v>
      </c>
      <c r="Y26" s="48"/>
      <c r="Z26" s="240"/>
      <c r="AA26" s="241"/>
      <c r="AB26" s="241"/>
      <c r="AC26" s="241"/>
      <c r="AD26" s="242"/>
      <c r="AE26" s="242"/>
      <c r="AF26" s="242"/>
      <c r="AG26" s="242"/>
      <c r="AH26" s="242"/>
      <c r="AI26" s="243"/>
      <c r="AJ26" s="242"/>
      <c r="AK26" s="241"/>
      <c r="AL26" s="317"/>
      <c r="AM26" s="48"/>
      <c r="AN26" s="48"/>
      <c r="AO26" s="48"/>
    </row>
    <row r="27" spans="1:41" s="88" customFormat="1" ht="15">
      <c r="A27" s="89"/>
      <c r="B27" s="339"/>
      <c r="C27" s="326"/>
      <c r="D27" s="326"/>
      <c r="E27" s="33"/>
      <c r="F27" s="52"/>
      <c r="G27" s="37"/>
      <c r="H27" s="95"/>
      <c r="I27" s="38"/>
      <c r="J27" s="167"/>
      <c r="K27" s="60"/>
      <c r="L27" s="96"/>
      <c r="M27" s="96"/>
      <c r="N27" s="96"/>
      <c r="O27" s="96"/>
      <c r="P27" s="97"/>
      <c r="Q27" s="96"/>
      <c r="R27" s="180"/>
      <c r="S27" s="96"/>
      <c r="T27" s="180"/>
      <c r="U27" s="36"/>
      <c r="V27" s="29"/>
      <c r="W27" s="314"/>
      <c r="X27" s="315"/>
      <c r="Y27" s="8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318"/>
      <c r="AM27" s="48"/>
      <c r="AN27" s="48"/>
      <c r="AO27" s="48"/>
    </row>
    <row r="28" spans="1:41" s="88" customFormat="1" ht="15">
      <c r="A28" s="89"/>
      <c r="B28" s="340"/>
      <c r="C28" s="327"/>
      <c r="D28" s="327"/>
      <c r="E28" s="33"/>
      <c r="F28" s="52"/>
      <c r="G28" s="37"/>
      <c r="H28" s="95"/>
      <c r="I28" s="38"/>
      <c r="J28" s="167"/>
      <c r="K28" s="60"/>
      <c r="L28" s="96"/>
      <c r="M28" s="96"/>
      <c r="N28" s="96"/>
      <c r="O28" s="96"/>
      <c r="P28" s="97"/>
      <c r="Q28" s="96"/>
      <c r="R28" s="180"/>
      <c r="S28" s="96"/>
      <c r="T28" s="180"/>
      <c r="U28" s="36"/>
      <c r="V28" s="29"/>
      <c r="W28" s="324"/>
      <c r="X28" s="316"/>
      <c r="Y28" s="83"/>
      <c r="Z28" s="236"/>
      <c r="AA28" s="237"/>
      <c r="AB28" s="237"/>
      <c r="AC28" s="237"/>
      <c r="AD28" s="238"/>
      <c r="AE28" s="238"/>
      <c r="AF28" s="238"/>
      <c r="AG28" s="238"/>
      <c r="AH28" s="238"/>
      <c r="AI28" s="238"/>
      <c r="AJ28" s="238"/>
      <c r="AK28" s="237"/>
      <c r="AL28" s="319"/>
      <c r="AM28" s="48"/>
      <c r="AN28" s="48"/>
      <c r="AO28" s="48"/>
    </row>
    <row r="29" spans="1:41" s="88" customFormat="1" ht="42.75" customHeight="1">
      <c r="A29" s="89"/>
      <c r="B29" s="32">
        <v>9</v>
      </c>
      <c r="C29" s="33" t="s">
        <v>138</v>
      </c>
      <c r="D29" s="33" t="s">
        <v>139</v>
      </c>
      <c r="E29" s="33" t="s">
        <v>31</v>
      </c>
      <c r="F29" s="52" t="s">
        <v>62</v>
      </c>
      <c r="G29" s="37">
        <v>1</v>
      </c>
      <c r="H29" s="33" t="s">
        <v>24</v>
      </c>
      <c r="I29" s="38">
        <v>7532382690</v>
      </c>
      <c r="J29" s="173" t="s">
        <v>207</v>
      </c>
      <c r="K29" s="60">
        <v>1899668636</v>
      </c>
      <c r="L29" s="34" t="s">
        <v>63</v>
      </c>
      <c r="M29" s="34">
        <v>2</v>
      </c>
      <c r="N29" s="34" t="s">
        <v>64</v>
      </c>
      <c r="O29" s="34" t="s">
        <v>65</v>
      </c>
      <c r="P29" s="35" t="s">
        <v>66</v>
      </c>
      <c r="Q29" s="34">
        <v>219</v>
      </c>
      <c r="R29" s="220" t="s">
        <v>224</v>
      </c>
      <c r="S29" s="34">
        <v>219</v>
      </c>
      <c r="T29" s="304" t="s">
        <v>142</v>
      </c>
      <c r="U29" s="308" t="s">
        <v>239</v>
      </c>
      <c r="V29" s="29">
        <v>8760</v>
      </c>
      <c r="W29" s="203">
        <f>AL29</f>
        <v>13098.983650022095</v>
      </c>
      <c r="X29" s="224"/>
      <c r="Y29" s="83" t="s">
        <v>135</v>
      </c>
      <c r="Z29" s="222">
        <f>Z30/11.315</f>
        <v>178.08219178082192</v>
      </c>
      <c r="AA29" s="222">
        <f aca="true" t="shared" si="9" ref="AA29:AK29">AA30/11.315</f>
        <v>250.99425541316836</v>
      </c>
      <c r="AB29" s="222">
        <f t="shared" si="9"/>
        <v>649.5802032699956</v>
      </c>
      <c r="AC29" s="222">
        <f t="shared" si="9"/>
        <v>1760.671674768007</v>
      </c>
      <c r="AD29" s="222">
        <f t="shared" si="9"/>
        <v>2274.768007070261</v>
      </c>
      <c r="AE29" s="222">
        <f t="shared" si="9"/>
        <v>3275.7401679186924</v>
      </c>
      <c r="AF29" s="222">
        <f t="shared" si="9"/>
        <v>2031.0207688908529</v>
      </c>
      <c r="AG29" s="222">
        <f t="shared" si="9"/>
        <v>1549.977905435263</v>
      </c>
      <c r="AH29" s="222">
        <f t="shared" si="9"/>
        <v>870.9677419354839</v>
      </c>
      <c r="AI29" s="222">
        <f t="shared" si="9"/>
        <v>257.1807335395493</v>
      </c>
      <c r="AJ29" s="222">
        <f t="shared" si="9"/>
        <v>0</v>
      </c>
      <c r="AK29" s="222">
        <f t="shared" si="9"/>
        <v>0</v>
      </c>
      <c r="AL29" s="278">
        <f aca="true" t="shared" si="10" ref="AL29:AL34">SUM(Z29:AK29)</f>
        <v>13098.983650022095</v>
      </c>
      <c r="AM29" s="223" t="s">
        <v>170</v>
      </c>
      <c r="AN29" s="48"/>
      <c r="AO29" s="48"/>
    </row>
    <row r="30" spans="1:41" s="50" customFormat="1" ht="15">
      <c r="A30" s="87"/>
      <c r="B30" s="32"/>
      <c r="C30" s="98"/>
      <c r="D30" s="48"/>
      <c r="E30" s="48"/>
      <c r="F30" s="103"/>
      <c r="G30" s="107"/>
      <c r="H30" s="48"/>
      <c r="I30" s="48"/>
      <c r="J30" s="170"/>
      <c r="K30" s="60"/>
      <c r="L30" s="48"/>
      <c r="M30" s="48"/>
      <c r="N30" s="48"/>
      <c r="O30" s="48"/>
      <c r="P30" s="48"/>
      <c r="Q30" s="48"/>
      <c r="R30" s="181"/>
      <c r="S30" s="48"/>
      <c r="T30" s="181"/>
      <c r="U30" s="308"/>
      <c r="V30" s="51"/>
      <c r="W30" s="203"/>
      <c r="X30" s="224">
        <f>AL30</f>
        <v>148215</v>
      </c>
      <c r="Y30" s="83"/>
      <c r="Z30" s="225">
        <v>2015</v>
      </c>
      <c r="AA30" s="225">
        <v>2840</v>
      </c>
      <c r="AB30" s="225">
        <v>7350</v>
      </c>
      <c r="AC30" s="225">
        <v>19922</v>
      </c>
      <c r="AD30" s="225">
        <v>25739</v>
      </c>
      <c r="AE30" s="225">
        <v>37065</v>
      </c>
      <c r="AF30" s="225">
        <v>22981</v>
      </c>
      <c r="AG30" s="225">
        <v>17538</v>
      </c>
      <c r="AH30" s="225">
        <v>9855</v>
      </c>
      <c r="AI30" s="225">
        <v>2910</v>
      </c>
      <c r="AJ30" s="225">
        <v>0</v>
      </c>
      <c r="AK30" s="225">
        <v>0</v>
      </c>
      <c r="AL30" s="278">
        <f t="shared" si="10"/>
        <v>148215</v>
      </c>
      <c r="AM30" s="223" t="s">
        <v>171</v>
      </c>
      <c r="AN30" s="48"/>
      <c r="AO30" s="48"/>
    </row>
    <row r="31" spans="1:41" s="88" customFormat="1" ht="51.75" customHeight="1">
      <c r="A31" s="89"/>
      <c r="B31" s="32">
        <v>10</v>
      </c>
      <c r="C31" s="33" t="s">
        <v>114</v>
      </c>
      <c r="D31" s="52" t="s">
        <v>131</v>
      </c>
      <c r="E31" s="33" t="s">
        <v>31</v>
      </c>
      <c r="F31" s="52" t="s">
        <v>119</v>
      </c>
      <c r="G31" s="108">
        <v>14</v>
      </c>
      <c r="H31" s="52" t="s">
        <v>24</v>
      </c>
      <c r="I31" s="38">
        <v>7532382690</v>
      </c>
      <c r="J31" s="173" t="s">
        <v>210</v>
      </c>
      <c r="K31" s="60" t="s">
        <v>106</v>
      </c>
      <c r="L31" s="36" t="s">
        <v>67</v>
      </c>
      <c r="M31" s="34">
        <v>1</v>
      </c>
      <c r="N31" s="34">
        <v>50</v>
      </c>
      <c r="O31" s="34" t="s">
        <v>123</v>
      </c>
      <c r="P31" s="35" t="s">
        <v>124</v>
      </c>
      <c r="Q31" s="34"/>
      <c r="R31" s="220" t="s">
        <v>221</v>
      </c>
      <c r="S31" s="34"/>
      <c r="T31" s="220" t="s">
        <v>28</v>
      </c>
      <c r="U31" s="308" t="s">
        <v>239</v>
      </c>
      <c r="V31" s="29">
        <v>8760</v>
      </c>
      <c r="W31" s="203">
        <f>AL31</f>
        <v>3100.044189129474</v>
      </c>
      <c r="X31" s="224"/>
      <c r="Y31" s="83" t="s">
        <v>135</v>
      </c>
      <c r="Z31" s="222">
        <f>Z32/11.315</f>
        <v>0</v>
      </c>
      <c r="AA31" s="222">
        <f aca="true" t="shared" si="11" ref="AA31:AK31">AA32/11.315</f>
        <v>8.837825894829873</v>
      </c>
      <c r="AB31" s="222">
        <f t="shared" si="11"/>
        <v>40.300486080424214</v>
      </c>
      <c r="AC31" s="222">
        <f t="shared" si="11"/>
        <v>490.80866106937697</v>
      </c>
      <c r="AD31" s="222">
        <f t="shared" si="11"/>
        <v>490.80866106937697</v>
      </c>
      <c r="AE31" s="222">
        <f t="shared" si="11"/>
        <v>678.3473265576669</v>
      </c>
      <c r="AF31" s="222">
        <f t="shared" si="11"/>
        <v>678.3473265576669</v>
      </c>
      <c r="AG31" s="222">
        <f t="shared" si="11"/>
        <v>356.2969509500663</v>
      </c>
      <c r="AH31" s="222">
        <f t="shared" si="11"/>
        <v>356.2969509500663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78">
        <f t="shared" si="10"/>
        <v>3100.044189129474</v>
      </c>
      <c r="AM31" s="223" t="s">
        <v>170</v>
      </c>
      <c r="AN31" s="48"/>
      <c r="AO31" s="48"/>
    </row>
    <row r="32" spans="1:41" s="50" customFormat="1" ht="15">
      <c r="A32" s="87"/>
      <c r="B32" s="32"/>
      <c r="C32" s="33"/>
      <c r="D32" s="52"/>
      <c r="E32" s="33"/>
      <c r="F32" s="52"/>
      <c r="G32" s="108"/>
      <c r="H32" s="52"/>
      <c r="I32" s="33"/>
      <c r="J32" s="166"/>
      <c r="K32" s="60"/>
      <c r="L32" s="36"/>
      <c r="M32" s="34"/>
      <c r="N32" s="34"/>
      <c r="O32" s="34"/>
      <c r="P32" s="35"/>
      <c r="Q32" s="34" t="s">
        <v>29</v>
      </c>
      <c r="R32" s="220"/>
      <c r="S32" s="34" t="s">
        <v>29</v>
      </c>
      <c r="T32" s="220"/>
      <c r="U32" s="308"/>
      <c r="V32" s="29"/>
      <c r="W32" s="203"/>
      <c r="X32" s="224">
        <f>AL32</f>
        <v>35077</v>
      </c>
      <c r="Y32" s="83"/>
      <c r="Z32" s="225">
        <v>0</v>
      </c>
      <c r="AA32" s="225">
        <v>100</v>
      </c>
      <c r="AB32" s="225">
        <v>456</v>
      </c>
      <c r="AC32" s="225">
        <f>11107/2</f>
        <v>5553.5</v>
      </c>
      <c r="AD32" s="225">
        <f>11107/2</f>
        <v>5553.5</v>
      </c>
      <c r="AE32" s="225">
        <f>15351/2</f>
        <v>7675.5</v>
      </c>
      <c r="AF32" s="225">
        <f>15351/2</f>
        <v>7675.5</v>
      </c>
      <c r="AG32" s="225">
        <f>8063/2</f>
        <v>4031.5</v>
      </c>
      <c r="AH32" s="225">
        <f>8063/2</f>
        <v>4031.5</v>
      </c>
      <c r="AI32" s="225">
        <v>0</v>
      </c>
      <c r="AJ32" s="225">
        <v>0</v>
      </c>
      <c r="AK32" s="225">
        <v>0</v>
      </c>
      <c r="AL32" s="278">
        <f>SUM(Z32:AK32)</f>
        <v>35077</v>
      </c>
      <c r="AM32" s="223" t="s">
        <v>171</v>
      </c>
      <c r="AN32" s="48"/>
      <c r="AO32" s="48"/>
    </row>
    <row r="33" spans="1:41" s="88" customFormat="1" ht="42.75" customHeight="1">
      <c r="A33" s="89"/>
      <c r="B33" s="32">
        <v>11</v>
      </c>
      <c r="C33" s="33" t="s">
        <v>132</v>
      </c>
      <c r="D33" s="33" t="s">
        <v>125</v>
      </c>
      <c r="E33" s="33" t="s">
        <v>31</v>
      </c>
      <c r="F33" s="52" t="s">
        <v>126</v>
      </c>
      <c r="G33" s="37"/>
      <c r="H33" s="33" t="s">
        <v>24</v>
      </c>
      <c r="I33" s="33">
        <v>7550006365</v>
      </c>
      <c r="J33" s="173" t="s">
        <v>211</v>
      </c>
      <c r="K33" s="60">
        <v>2574790810</v>
      </c>
      <c r="L33" s="34" t="s">
        <v>127</v>
      </c>
      <c r="M33" s="34">
        <v>1</v>
      </c>
      <c r="N33" s="34">
        <v>26</v>
      </c>
      <c r="O33" s="34" t="s">
        <v>128</v>
      </c>
      <c r="P33" s="35"/>
      <c r="Q33" s="34" t="s">
        <v>29</v>
      </c>
      <c r="R33" s="220" t="s">
        <v>222</v>
      </c>
      <c r="S33" s="34" t="s">
        <v>29</v>
      </c>
      <c r="T33" s="220" t="s">
        <v>133</v>
      </c>
      <c r="U33" s="308" t="s">
        <v>239</v>
      </c>
      <c r="V33" s="29">
        <v>8760</v>
      </c>
      <c r="W33" s="203">
        <f>AL33</f>
        <v>2314.904268399789</v>
      </c>
      <c r="X33" s="224"/>
      <c r="Y33" s="83" t="s">
        <v>135</v>
      </c>
      <c r="Z33" s="222">
        <f>Z34/11.386</f>
        <v>11.154048831898823</v>
      </c>
      <c r="AA33" s="222">
        <f aca="true" t="shared" si="12" ref="AA33:AK33">AA34/11.386</f>
        <v>0</v>
      </c>
      <c r="AB33" s="222">
        <f t="shared" si="12"/>
        <v>195.5910767609345</v>
      </c>
      <c r="AC33" s="222">
        <f t="shared" si="12"/>
        <v>333.5675390830845</v>
      </c>
      <c r="AD33" s="222">
        <f t="shared" si="12"/>
        <v>258.8266291937467</v>
      </c>
      <c r="AE33" s="222">
        <f t="shared" si="12"/>
        <v>438.16968206569476</v>
      </c>
      <c r="AF33" s="222">
        <f t="shared" si="12"/>
        <v>323.02828034428245</v>
      </c>
      <c r="AG33" s="222">
        <f t="shared" si="12"/>
        <v>524.6794308800281</v>
      </c>
      <c r="AH33" s="222">
        <f t="shared" si="12"/>
        <v>153.25838749341298</v>
      </c>
      <c r="AI33" s="222">
        <f t="shared" si="12"/>
        <v>76.62919374670649</v>
      </c>
      <c r="AJ33" s="222">
        <f t="shared" si="12"/>
        <v>0</v>
      </c>
      <c r="AK33" s="222">
        <f t="shared" si="12"/>
        <v>0</v>
      </c>
      <c r="AL33" s="278">
        <f t="shared" si="10"/>
        <v>2314.904268399789</v>
      </c>
      <c r="AM33" s="223" t="s">
        <v>170</v>
      </c>
      <c r="AN33" s="48"/>
      <c r="AO33" s="48"/>
    </row>
    <row r="34" spans="1:41" s="50" customFormat="1" ht="15">
      <c r="A34" s="87"/>
      <c r="B34" s="32"/>
      <c r="C34" s="33"/>
      <c r="D34" s="33"/>
      <c r="E34" s="33"/>
      <c r="F34" s="52"/>
      <c r="G34" s="37"/>
      <c r="H34" s="33"/>
      <c r="I34" s="33"/>
      <c r="J34" s="166"/>
      <c r="K34" s="60"/>
      <c r="L34" s="34" t="s">
        <v>129</v>
      </c>
      <c r="M34" s="34"/>
      <c r="N34" s="34"/>
      <c r="O34" s="34" t="s">
        <v>130</v>
      </c>
      <c r="P34" s="35"/>
      <c r="Q34" s="34"/>
      <c r="R34" s="220"/>
      <c r="S34" s="34"/>
      <c r="T34" s="220"/>
      <c r="U34" s="308"/>
      <c r="V34" s="29"/>
      <c r="W34" s="203"/>
      <c r="X34" s="224">
        <f>AL34</f>
        <v>26357.5</v>
      </c>
      <c r="Y34" s="83"/>
      <c r="Z34" s="225">
        <v>127</v>
      </c>
      <c r="AA34" s="225">
        <v>0</v>
      </c>
      <c r="AB34" s="225">
        <v>2227</v>
      </c>
      <c r="AC34" s="225">
        <v>3798</v>
      </c>
      <c r="AD34" s="225">
        <v>2947</v>
      </c>
      <c r="AE34" s="225">
        <v>4989</v>
      </c>
      <c r="AF34" s="225">
        <v>3678</v>
      </c>
      <c r="AG34" s="225">
        <v>5974</v>
      </c>
      <c r="AH34" s="225">
        <v>1745</v>
      </c>
      <c r="AI34" s="225">
        <f>AH34/2</f>
        <v>872.5</v>
      </c>
      <c r="AJ34" s="225">
        <v>0</v>
      </c>
      <c r="AK34" s="225">
        <v>0</v>
      </c>
      <c r="AL34" s="278">
        <f t="shared" si="10"/>
        <v>26357.5</v>
      </c>
      <c r="AM34" s="223" t="s">
        <v>171</v>
      </c>
      <c r="AN34" s="48"/>
      <c r="AO34" s="48"/>
    </row>
    <row r="35" spans="1:41" s="88" customFormat="1" ht="46.5" customHeight="1">
      <c r="A35" s="89"/>
      <c r="B35" s="32">
        <v>12</v>
      </c>
      <c r="C35" s="320" t="s">
        <v>115</v>
      </c>
      <c r="D35" s="33" t="s">
        <v>121</v>
      </c>
      <c r="E35" s="33" t="s">
        <v>31</v>
      </c>
      <c r="F35" s="52" t="s">
        <v>54</v>
      </c>
      <c r="G35" s="37">
        <v>32</v>
      </c>
      <c r="H35" s="33" t="s">
        <v>24</v>
      </c>
      <c r="I35" s="38">
        <v>7532382690</v>
      </c>
      <c r="J35" s="173" t="s">
        <v>218</v>
      </c>
      <c r="K35" s="60" t="s">
        <v>110</v>
      </c>
      <c r="L35" s="34" t="s">
        <v>68</v>
      </c>
      <c r="M35" s="34">
        <v>1</v>
      </c>
      <c r="N35" s="34">
        <v>210</v>
      </c>
      <c r="O35" s="34" t="s">
        <v>69</v>
      </c>
      <c r="P35" s="34" t="s">
        <v>70</v>
      </c>
      <c r="Q35" s="34">
        <v>121</v>
      </c>
      <c r="R35" s="220" t="s">
        <v>224</v>
      </c>
      <c r="S35" s="34">
        <v>121</v>
      </c>
      <c r="T35" s="304" t="s">
        <v>142</v>
      </c>
      <c r="U35" s="308" t="s">
        <v>239</v>
      </c>
      <c r="V35" s="29">
        <v>8760</v>
      </c>
      <c r="W35" s="203">
        <f>AL35</f>
        <v>8769.42112240389</v>
      </c>
      <c r="X35" s="224"/>
      <c r="Y35" s="83" t="s">
        <v>135</v>
      </c>
      <c r="Z35" s="244">
        <f>Z36/11.315</f>
        <v>119.75254087494477</v>
      </c>
      <c r="AA35" s="244">
        <f aca="true" t="shared" si="13" ref="AA35:AK35">AA36/11.315</f>
        <v>124.96685815289439</v>
      </c>
      <c r="AB35" s="244">
        <f t="shared" si="13"/>
        <v>443.5704816615113</v>
      </c>
      <c r="AC35" s="244">
        <f t="shared" si="13"/>
        <v>1383.6500220945647</v>
      </c>
      <c r="AD35" s="244">
        <f t="shared" si="13"/>
        <v>1696.9509500662837</v>
      </c>
      <c r="AE35" s="244">
        <f t="shared" si="13"/>
        <v>2001.2372956252764</v>
      </c>
      <c r="AF35" s="244">
        <f t="shared" si="13"/>
        <v>1087.4060980998674</v>
      </c>
      <c r="AG35" s="244">
        <f t="shared" si="13"/>
        <v>1091.0296067167478</v>
      </c>
      <c r="AH35" s="244">
        <f t="shared" si="13"/>
        <v>676.9774635439683</v>
      </c>
      <c r="AI35" s="244">
        <f t="shared" si="13"/>
        <v>143.87980556783032</v>
      </c>
      <c r="AJ35" s="244">
        <f t="shared" si="13"/>
        <v>0</v>
      </c>
      <c r="AK35" s="244">
        <f t="shared" si="13"/>
        <v>0</v>
      </c>
      <c r="AL35" s="281">
        <f>SUM(Z35:AK35)</f>
        <v>8769.42112240389</v>
      </c>
      <c r="AM35" s="223" t="s">
        <v>170</v>
      </c>
      <c r="AN35" s="48"/>
      <c r="AO35" s="48"/>
    </row>
    <row r="36" spans="1:41" s="88" customFormat="1" ht="19.5" customHeight="1">
      <c r="A36" s="89"/>
      <c r="B36" s="32"/>
      <c r="C36" s="320"/>
      <c r="D36" s="33"/>
      <c r="E36" s="33"/>
      <c r="F36" s="52"/>
      <c r="G36" s="37"/>
      <c r="H36" s="33"/>
      <c r="I36" s="33"/>
      <c r="J36" s="166"/>
      <c r="K36" s="60"/>
      <c r="L36" s="34"/>
      <c r="M36" s="34"/>
      <c r="N36" s="34"/>
      <c r="O36" s="34"/>
      <c r="P36" s="35"/>
      <c r="Q36" s="34"/>
      <c r="R36" s="220"/>
      <c r="S36" s="34"/>
      <c r="T36" s="220"/>
      <c r="U36" s="308"/>
      <c r="V36" s="99"/>
      <c r="W36" s="203"/>
      <c r="X36" s="224">
        <f>AL36</f>
        <v>99226</v>
      </c>
      <c r="Y36" s="83"/>
      <c r="Z36" s="225">
        <v>1355</v>
      </c>
      <c r="AA36" s="225">
        <v>1414</v>
      </c>
      <c r="AB36" s="225">
        <v>5019</v>
      </c>
      <c r="AC36" s="225">
        <v>15656</v>
      </c>
      <c r="AD36" s="225">
        <v>19201</v>
      </c>
      <c r="AE36" s="225">
        <v>22644</v>
      </c>
      <c r="AF36" s="245">
        <v>12304</v>
      </c>
      <c r="AG36" s="225">
        <v>12345</v>
      </c>
      <c r="AH36" s="225">
        <v>7660</v>
      </c>
      <c r="AI36" s="225">
        <v>1628</v>
      </c>
      <c r="AJ36" s="225">
        <v>0</v>
      </c>
      <c r="AK36" s="225">
        <v>0</v>
      </c>
      <c r="AL36" s="282">
        <f>SUM(Z36:AK36)</f>
        <v>99226</v>
      </c>
      <c r="AM36" s="223" t="s">
        <v>171</v>
      </c>
      <c r="AN36" s="48"/>
      <c r="AO36" s="48"/>
    </row>
    <row r="37" spans="1:41" s="88" customFormat="1" ht="52.5" customHeight="1">
      <c r="A37" s="89"/>
      <c r="B37" s="32">
        <v>13</v>
      </c>
      <c r="C37" s="33" t="s">
        <v>116</v>
      </c>
      <c r="D37" s="33" t="s">
        <v>122</v>
      </c>
      <c r="E37" s="33" t="s">
        <v>31</v>
      </c>
      <c r="F37" s="52" t="s">
        <v>120</v>
      </c>
      <c r="G37" s="37">
        <v>1</v>
      </c>
      <c r="H37" s="33" t="s">
        <v>24</v>
      </c>
      <c r="I37" s="38">
        <v>7532382690</v>
      </c>
      <c r="J37" s="173" t="s">
        <v>204</v>
      </c>
      <c r="K37" s="60">
        <v>2182319004</v>
      </c>
      <c r="L37" s="34" t="s">
        <v>71</v>
      </c>
      <c r="M37" s="34">
        <v>1</v>
      </c>
      <c r="N37" s="34" t="s">
        <v>72</v>
      </c>
      <c r="O37" s="34" t="s">
        <v>73</v>
      </c>
      <c r="P37" s="35" t="s">
        <v>74</v>
      </c>
      <c r="Q37" s="310" t="s">
        <v>29</v>
      </c>
      <c r="R37" s="220" t="s">
        <v>223</v>
      </c>
      <c r="S37" s="310" t="s">
        <v>29</v>
      </c>
      <c r="T37" s="220" t="s">
        <v>75</v>
      </c>
      <c r="U37" s="308" t="s">
        <v>239</v>
      </c>
      <c r="V37" s="29">
        <v>8760</v>
      </c>
      <c r="W37" s="203">
        <f>AL37</f>
        <v>9829.076447193991</v>
      </c>
      <c r="X37" s="224"/>
      <c r="Y37" s="83" t="s">
        <v>135</v>
      </c>
      <c r="Z37" s="222">
        <f>Z38/11.315</f>
        <v>168.62571807335397</v>
      </c>
      <c r="AA37" s="222">
        <f aca="true" t="shared" si="14" ref="AA37:AK37">AA38/11.315</f>
        <v>246.66372072470173</v>
      </c>
      <c r="AB37" s="222">
        <f t="shared" si="14"/>
        <v>751.8338488731772</v>
      </c>
      <c r="AC37" s="222">
        <f t="shared" si="14"/>
        <v>1412.372956252762</v>
      </c>
      <c r="AD37" s="222">
        <f t="shared" si="14"/>
        <v>1677.1542200618649</v>
      </c>
      <c r="AE37" s="222">
        <f t="shared" si="14"/>
        <v>1884.4896155545737</v>
      </c>
      <c r="AF37" s="222">
        <f t="shared" si="14"/>
        <v>1273.5307114449845</v>
      </c>
      <c r="AG37" s="222">
        <f t="shared" si="14"/>
        <v>1253.4688466637208</v>
      </c>
      <c r="AH37" s="222">
        <f t="shared" si="14"/>
        <v>823.950508174989</v>
      </c>
      <c r="AI37" s="222">
        <f t="shared" si="14"/>
        <v>336.98630136986304</v>
      </c>
      <c r="AJ37" s="222">
        <f t="shared" si="14"/>
        <v>0</v>
      </c>
      <c r="AK37" s="222">
        <f t="shared" si="14"/>
        <v>0</v>
      </c>
      <c r="AL37" s="278">
        <f>SUM(Z37:AK37)</f>
        <v>9829.076447193991</v>
      </c>
      <c r="AM37" s="223" t="s">
        <v>170</v>
      </c>
      <c r="AN37" s="48"/>
      <c r="AO37" s="48"/>
    </row>
    <row r="38" spans="1:41" s="28" customFormat="1" ht="15">
      <c r="A38" s="87"/>
      <c r="B38" s="32"/>
      <c r="C38" s="33"/>
      <c r="D38" s="33"/>
      <c r="E38" s="33"/>
      <c r="F38" s="52"/>
      <c r="G38" s="37"/>
      <c r="H38" s="33"/>
      <c r="I38" s="33"/>
      <c r="J38" s="166"/>
      <c r="K38" s="60"/>
      <c r="L38" s="34" t="s">
        <v>60</v>
      </c>
      <c r="M38" s="34">
        <v>1</v>
      </c>
      <c r="N38" s="34">
        <v>9</v>
      </c>
      <c r="O38" s="34"/>
      <c r="P38" s="35"/>
      <c r="Q38" s="310"/>
      <c r="R38" s="220"/>
      <c r="S38" s="310"/>
      <c r="T38" s="220"/>
      <c r="U38" s="308"/>
      <c r="V38" s="29"/>
      <c r="W38" s="203"/>
      <c r="X38" s="224">
        <f>AL38</f>
        <v>111216</v>
      </c>
      <c r="Y38" s="83"/>
      <c r="Z38" s="225">
        <v>1908</v>
      </c>
      <c r="AA38" s="225">
        <v>2791</v>
      </c>
      <c r="AB38" s="225">
        <v>8507</v>
      </c>
      <c r="AC38" s="225">
        <f>5043+10938</f>
        <v>15981</v>
      </c>
      <c r="AD38" s="225">
        <v>18977</v>
      </c>
      <c r="AE38" s="225">
        <v>21323</v>
      </c>
      <c r="AF38" s="225">
        <v>14410</v>
      </c>
      <c r="AG38" s="225">
        <v>14183</v>
      </c>
      <c r="AH38" s="225">
        <v>9323</v>
      </c>
      <c r="AI38" s="225">
        <v>3813</v>
      </c>
      <c r="AJ38" s="225">
        <v>0</v>
      </c>
      <c r="AK38" s="225">
        <v>0</v>
      </c>
      <c r="AL38" s="278">
        <f>SUM(Z38:AK38)</f>
        <v>111216</v>
      </c>
      <c r="AM38" s="223" t="s">
        <v>171</v>
      </c>
      <c r="AN38" s="154"/>
      <c r="AO38" s="154"/>
    </row>
    <row r="39" spans="1:41" s="28" customFormat="1" ht="42.75" customHeight="1">
      <c r="A39" s="87"/>
      <c r="B39" s="32"/>
      <c r="C39" s="33"/>
      <c r="D39" s="33"/>
      <c r="E39" s="33"/>
      <c r="F39" s="52"/>
      <c r="G39" s="37"/>
      <c r="H39" s="33"/>
      <c r="I39" s="38"/>
      <c r="J39" s="167"/>
      <c r="K39" s="60"/>
      <c r="L39" s="39" t="s">
        <v>76</v>
      </c>
      <c r="M39" s="39" t="s">
        <v>47</v>
      </c>
      <c r="N39" s="39" t="s">
        <v>77</v>
      </c>
      <c r="O39" s="34"/>
      <c r="P39" s="33"/>
      <c r="Q39" s="34"/>
      <c r="R39" s="220"/>
      <c r="S39" s="34"/>
      <c r="T39" s="220"/>
      <c r="U39" s="308" t="s">
        <v>239</v>
      </c>
      <c r="V39" s="29">
        <v>8760</v>
      </c>
      <c r="W39" s="203"/>
      <c r="X39" s="224"/>
      <c r="Y39" s="83"/>
      <c r="Z39" s="229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134"/>
      <c r="AM39" s="48"/>
      <c r="AN39" s="154"/>
      <c r="AO39" s="154"/>
    </row>
    <row r="40" spans="1:41" s="50" customFormat="1" ht="15">
      <c r="A40" s="87"/>
      <c r="B40" s="32"/>
      <c r="C40" s="33"/>
      <c r="D40" s="33"/>
      <c r="E40" s="33"/>
      <c r="F40" s="52"/>
      <c r="G40" s="37"/>
      <c r="H40" s="33"/>
      <c r="I40" s="38"/>
      <c r="J40" s="167"/>
      <c r="K40" s="60"/>
      <c r="L40" s="39" t="s">
        <v>57</v>
      </c>
      <c r="M40" s="39" t="s">
        <v>78</v>
      </c>
      <c r="N40" s="39" t="s">
        <v>59</v>
      </c>
      <c r="O40" s="34"/>
      <c r="P40" s="33"/>
      <c r="Q40" s="34"/>
      <c r="R40" s="220"/>
      <c r="S40" s="34"/>
      <c r="T40" s="220"/>
      <c r="U40" s="308"/>
      <c r="V40" s="29"/>
      <c r="W40" s="203"/>
      <c r="X40" s="224"/>
      <c r="Y40" s="83"/>
      <c r="Z40" s="225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134"/>
      <c r="AM40" s="48"/>
      <c r="AN40" s="48"/>
      <c r="AO40" s="48"/>
    </row>
    <row r="41" spans="1:41" s="88" customFormat="1" ht="52.5" customHeight="1">
      <c r="A41" s="89"/>
      <c r="B41" s="32">
        <v>14</v>
      </c>
      <c r="C41" s="38" t="s">
        <v>118</v>
      </c>
      <c r="D41" s="100" t="s">
        <v>79</v>
      </c>
      <c r="E41" s="38" t="s">
        <v>31</v>
      </c>
      <c r="F41" s="104" t="s">
        <v>80</v>
      </c>
      <c r="G41" s="109">
        <v>9</v>
      </c>
      <c r="H41" s="100" t="s">
        <v>24</v>
      </c>
      <c r="I41" s="38">
        <v>7532382690</v>
      </c>
      <c r="J41" s="173" t="s">
        <v>203</v>
      </c>
      <c r="K41" s="60">
        <v>4289169512</v>
      </c>
      <c r="L41" s="34" t="s">
        <v>81</v>
      </c>
      <c r="M41" s="34">
        <v>2</v>
      </c>
      <c r="N41" s="34">
        <v>210</v>
      </c>
      <c r="O41" s="34" t="s">
        <v>65</v>
      </c>
      <c r="P41" s="35" t="s">
        <v>66</v>
      </c>
      <c r="Q41" s="34">
        <v>219</v>
      </c>
      <c r="R41" s="220" t="s">
        <v>224</v>
      </c>
      <c r="S41" s="34">
        <v>219</v>
      </c>
      <c r="T41" s="304" t="s">
        <v>142</v>
      </c>
      <c r="U41" s="308" t="s">
        <v>239</v>
      </c>
      <c r="V41" s="29">
        <v>8760</v>
      </c>
      <c r="W41" s="203">
        <f>AL41</f>
        <v>26613.345117101195</v>
      </c>
      <c r="X41" s="224"/>
      <c r="Y41" s="83" t="s">
        <v>135</v>
      </c>
      <c r="Z41" s="222">
        <f>Z42/11.315</f>
        <v>177.11003093239063</v>
      </c>
      <c r="AA41" s="222">
        <f aca="true" t="shared" si="15" ref="AA41:AK41">AA42/11.315</f>
        <v>202.82810428634556</v>
      </c>
      <c r="AB41" s="222">
        <f t="shared" si="15"/>
        <v>2292.532037118869</v>
      </c>
      <c r="AC41" s="222">
        <f t="shared" si="15"/>
        <v>4117.454706142289</v>
      </c>
      <c r="AD41" s="222">
        <f t="shared" si="15"/>
        <v>5151.922227132126</v>
      </c>
      <c r="AE41" s="222">
        <f t="shared" si="15"/>
        <v>5894.829871851524</v>
      </c>
      <c r="AF41" s="222">
        <f t="shared" si="15"/>
        <v>4223.950508174989</v>
      </c>
      <c r="AG41" s="222">
        <f t="shared" si="15"/>
        <v>2843.747238179408</v>
      </c>
      <c r="AH41" s="222">
        <f t="shared" si="15"/>
        <v>1514.0079540433055</v>
      </c>
      <c r="AI41" s="222">
        <f t="shared" si="15"/>
        <v>194.96243923994697</v>
      </c>
      <c r="AJ41" s="222">
        <f t="shared" si="15"/>
        <v>0</v>
      </c>
      <c r="AK41" s="222">
        <f t="shared" si="15"/>
        <v>0</v>
      </c>
      <c r="AL41" s="278">
        <f>SUM(Z41:AK41)</f>
        <v>26613.345117101195</v>
      </c>
      <c r="AM41" s="223" t="s">
        <v>170</v>
      </c>
      <c r="AN41" s="48"/>
      <c r="AO41" s="48"/>
    </row>
    <row r="42" spans="1:41" s="50" customFormat="1" ht="15">
      <c r="A42" s="87"/>
      <c r="B42" s="32"/>
      <c r="C42" s="33"/>
      <c r="D42" s="33"/>
      <c r="E42" s="33"/>
      <c r="F42" s="52"/>
      <c r="G42" s="37"/>
      <c r="H42" s="33"/>
      <c r="I42" s="33"/>
      <c r="J42" s="166"/>
      <c r="K42" s="60"/>
      <c r="L42" s="34"/>
      <c r="M42" s="34"/>
      <c r="N42" s="34"/>
      <c r="O42" s="34"/>
      <c r="P42" s="35"/>
      <c r="Q42" s="34"/>
      <c r="R42" s="220"/>
      <c r="S42" s="34"/>
      <c r="T42" s="220"/>
      <c r="U42" s="308"/>
      <c r="V42" s="29"/>
      <c r="W42" s="203"/>
      <c r="X42" s="224">
        <f>AL42</f>
        <v>301130</v>
      </c>
      <c r="Y42" s="83"/>
      <c r="Z42" s="225">
        <v>2004</v>
      </c>
      <c r="AA42" s="225">
        <v>2295</v>
      </c>
      <c r="AB42" s="225">
        <v>25940</v>
      </c>
      <c r="AC42" s="225">
        <v>46589</v>
      </c>
      <c r="AD42" s="225">
        <v>58294</v>
      </c>
      <c r="AE42" s="225">
        <v>66700</v>
      </c>
      <c r="AF42" s="225">
        <v>47794</v>
      </c>
      <c r="AG42" s="225">
        <v>32177</v>
      </c>
      <c r="AH42" s="225">
        <v>17131</v>
      </c>
      <c r="AI42" s="225">
        <v>2206</v>
      </c>
      <c r="AJ42" s="225">
        <v>0</v>
      </c>
      <c r="AK42" s="225">
        <v>0</v>
      </c>
      <c r="AL42" s="278">
        <f>SUM(Z42:AK42)</f>
        <v>301130</v>
      </c>
      <c r="AM42" s="223" t="s">
        <v>171</v>
      </c>
      <c r="AN42" s="48"/>
      <c r="AO42" s="48"/>
    </row>
    <row r="43" spans="1:41" s="50" customFormat="1" ht="15">
      <c r="A43" s="87"/>
      <c r="B43" s="32"/>
      <c r="C43" s="33"/>
      <c r="D43" s="33"/>
      <c r="E43" s="33"/>
      <c r="F43" s="52"/>
      <c r="G43" s="37"/>
      <c r="H43" s="33"/>
      <c r="I43" s="33"/>
      <c r="J43" s="166"/>
      <c r="K43" s="60"/>
      <c r="L43" s="34"/>
      <c r="M43" s="34"/>
      <c r="N43" s="34"/>
      <c r="O43" s="34"/>
      <c r="P43" s="35"/>
      <c r="Q43" s="34"/>
      <c r="R43" s="220"/>
      <c r="S43" s="34"/>
      <c r="T43" s="220"/>
      <c r="U43" s="36"/>
      <c r="V43" s="29"/>
      <c r="W43" s="203"/>
      <c r="X43" s="224"/>
      <c r="Y43" s="83"/>
      <c r="Z43" s="225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134"/>
      <c r="AM43" s="48"/>
      <c r="AN43" s="48"/>
      <c r="AO43" s="48"/>
    </row>
    <row r="44" spans="1:41" s="88" customFormat="1" ht="29.25" customHeight="1">
      <c r="A44" s="89"/>
      <c r="B44" s="32">
        <v>15</v>
      </c>
      <c r="C44" s="42" t="s">
        <v>117</v>
      </c>
      <c r="D44" s="42" t="s">
        <v>43</v>
      </c>
      <c r="E44" s="42" t="s">
        <v>82</v>
      </c>
      <c r="F44" s="102"/>
      <c r="G44" s="106">
        <v>83</v>
      </c>
      <c r="H44" s="42" t="s">
        <v>24</v>
      </c>
      <c r="I44" s="43">
        <v>7532382690</v>
      </c>
      <c r="J44" s="173" t="s">
        <v>206</v>
      </c>
      <c r="K44" s="151">
        <v>9439503204</v>
      </c>
      <c r="L44" s="44" t="s">
        <v>83</v>
      </c>
      <c r="M44" s="44">
        <v>1</v>
      </c>
      <c r="N44" s="44" t="s">
        <v>84</v>
      </c>
      <c r="O44" s="44" t="s">
        <v>85</v>
      </c>
      <c r="P44" s="150">
        <v>26083</v>
      </c>
      <c r="Q44" s="44">
        <v>154</v>
      </c>
      <c r="R44" s="220" t="s">
        <v>224</v>
      </c>
      <c r="S44" s="44">
        <v>154</v>
      </c>
      <c r="T44" s="305" t="s">
        <v>142</v>
      </c>
      <c r="U44" s="308" t="s">
        <v>239</v>
      </c>
      <c r="V44" s="45">
        <v>8760</v>
      </c>
      <c r="W44" s="227">
        <f>AL44</f>
        <v>19618.029164825453</v>
      </c>
      <c r="X44" s="227"/>
      <c r="Y44" s="83" t="s">
        <v>135</v>
      </c>
      <c r="Z44" s="222">
        <f>Z45/11.315</f>
        <v>0</v>
      </c>
      <c r="AA44" s="222">
        <f aca="true" t="shared" si="16" ref="AA44:AK44">AA45/11.315</f>
        <v>0</v>
      </c>
      <c r="AB44" s="222">
        <f t="shared" si="16"/>
        <v>945.3822359699515</v>
      </c>
      <c r="AC44" s="222">
        <f t="shared" si="16"/>
        <v>3395.0508174988954</v>
      </c>
      <c r="AD44" s="222">
        <f t="shared" si="16"/>
        <v>3894.299602297835</v>
      </c>
      <c r="AE44" s="222">
        <f t="shared" si="16"/>
        <v>4795.1391957578435</v>
      </c>
      <c r="AF44" s="222">
        <f t="shared" si="16"/>
        <v>3016.0848431285904</v>
      </c>
      <c r="AG44" s="222">
        <f t="shared" si="16"/>
        <v>2268.05125939019</v>
      </c>
      <c r="AH44" s="222">
        <f t="shared" si="16"/>
        <v>1304.0212107821476</v>
      </c>
      <c r="AI44" s="222">
        <f t="shared" si="16"/>
        <v>0</v>
      </c>
      <c r="AJ44" s="222">
        <f t="shared" si="16"/>
        <v>0</v>
      </c>
      <c r="AK44" s="222">
        <f t="shared" si="16"/>
        <v>0</v>
      </c>
      <c r="AL44" s="278">
        <f>SUM(Z44:AK44)</f>
        <v>19618.029164825453</v>
      </c>
      <c r="AM44" s="223" t="s">
        <v>170</v>
      </c>
      <c r="AN44" s="48"/>
      <c r="AO44" s="48"/>
    </row>
    <row r="45" spans="1:41" s="88" customFormat="1" ht="29.25" customHeight="1">
      <c r="A45" s="138"/>
      <c r="B45" s="149"/>
      <c r="C45" s="55"/>
      <c r="D45" s="55"/>
      <c r="E45" s="55"/>
      <c r="F45" s="105"/>
      <c r="G45" s="110"/>
      <c r="H45" s="55"/>
      <c r="I45" s="56"/>
      <c r="J45" s="174"/>
      <c r="K45" s="58"/>
      <c r="L45" s="59"/>
      <c r="M45" s="59"/>
      <c r="N45" s="59"/>
      <c r="O45" s="59"/>
      <c r="P45" s="148"/>
      <c r="Q45" s="59"/>
      <c r="R45" s="182"/>
      <c r="S45" s="59"/>
      <c r="T45" s="182"/>
      <c r="U45" s="308"/>
      <c r="V45" s="59"/>
      <c r="W45" s="248"/>
      <c r="X45" s="248">
        <f>AL45</f>
        <v>221978</v>
      </c>
      <c r="Y45" s="139"/>
      <c r="Z45" s="225">
        <v>0</v>
      </c>
      <c r="AA45" s="225">
        <v>0</v>
      </c>
      <c r="AB45" s="225">
        <v>10697</v>
      </c>
      <c r="AC45" s="225">
        <v>38415</v>
      </c>
      <c r="AD45" s="225">
        <v>44064</v>
      </c>
      <c r="AE45" s="225">
        <v>54257</v>
      </c>
      <c r="AF45" s="225">
        <v>34127</v>
      </c>
      <c r="AG45" s="225">
        <v>25663</v>
      </c>
      <c r="AH45" s="225">
        <v>14755</v>
      </c>
      <c r="AI45" s="225">
        <v>0</v>
      </c>
      <c r="AJ45" s="225">
        <v>0</v>
      </c>
      <c r="AK45" s="225">
        <v>0</v>
      </c>
      <c r="AL45" s="278">
        <f>SUM(Z45:AK45)</f>
        <v>221978</v>
      </c>
      <c r="AM45" s="223" t="s">
        <v>171</v>
      </c>
      <c r="AN45" s="48"/>
      <c r="AO45" s="48"/>
    </row>
    <row r="46" spans="1:41" s="88" customFormat="1" ht="29.25" customHeight="1">
      <c r="A46" s="138"/>
      <c r="B46" s="149" t="s">
        <v>187</v>
      </c>
      <c r="C46" s="55"/>
      <c r="D46" s="55" t="s">
        <v>173</v>
      </c>
      <c r="E46" s="55" t="s">
        <v>82</v>
      </c>
      <c r="F46" s="55" t="s">
        <v>174</v>
      </c>
      <c r="G46" s="55" t="s">
        <v>178</v>
      </c>
      <c r="H46" s="55" t="s">
        <v>175</v>
      </c>
      <c r="I46" s="55">
        <v>7532382690</v>
      </c>
      <c r="J46" s="171" t="s">
        <v>225</v>
      </c>
      <c r="K46" s="58" t="s">
        <v>176</v>
      </c>
      <c r="L46" s="59" t="s">
        <v>173</v>
      </c>
      <c r="M46" s="59">
        <v>1</v>
      </c>
      <c r="N46" s="59"/>
      <c r="O46" s="59" t="s">
        <v>177</v>
      </c>
      <c r="P46" s="148"/>
      <c r="Q46" s="59"/>
      <c r="R46" s="277" t="s">
        <v>240</v>
      </c>
      <c r="S46" s="59"/>
      <c r="T46" s="277" t="s">
        <v>240</v>
      </c>
      <c r="U46" s="308" t="s">
        <v>239</v>
      </c>
      <c r="V46" s="59">
        <v>8760</v>
      </c>
      <c r="W46" s="248">
        <f>AL46</f>
        <v>49.84533804684049</v>
      </c>
      <c r="X46" s="248"/>
      <c r="Y46" s="139"/>
      <c r="Z46" s="222">
        <f>Z47/11.315</f>
        <v>4.15377817057004</v>
      </c>
      <c r="AA46" s="222">
        <f aca="true" t="shared" si="17" ref="AA46:AK46">AA47/11.315</f>
        <v>4.15377817057004</v>
      </c>
      <c r="AB46" s="222">
        <f t="shared" si="17"/>
        <v>4.15377817057004</v>
      </c>
      <c r="AC46" s="222">
        <f t="shared" si="17"/>
        <v>4.15377817057004</v>
      </c>
      <c r="AD46" s="222">
        <f t="shared" si="17"/>
        <v>4.15377817057004</v>
      </c>
      <c r="AE46" s="222">
        <f t="shared" si="17"/>
        <v>4.15377817057004</v>
      </c>
      <c r="AF46" s="222">
        <f t="shared" si="17"/>
        <v>4.15377817057004</v>
      </c>
      <c r="AG46" s="222">
        <f t="shared" si="17"/>
        <v>4.15377817057004</v>
      </c>
      <c r="AH46" s="222">
        <f t="shared" si="17"/>
        <v>4.15377817057004</v>
      </c>
      <c r="AI46" s="222">
        <f t="shared" si="17"/>
        <v>4.15377817057004</v>
      </c>
      <c r="AJ46" s="222">
        <f t="shared" si="17"/>
        <v>4.15377817057004</v>
      </c>
      <c r="AK46" s="222">
        <f t="shared" si="17"/>
        <v>4.15377817057004</v>
      </c>
      <c r="AL46" s="278">
        <f aca="true" t="shared" si="18" ref="AL46:AL61">SUM(Z46:AK46)</f>
        <v>49.84533804684049</v>
      </c>
      <c r="AM46" s="223" t="s">
        <v>170</v>
      </c>
      <c r="AN46" s="48"/>
      <c r="AO46" s="48"/>
    </row>
    <row r="47" spans="1:41" s="88" customFormat="1" ht="29.25" customHeight="1">
      <c r="A47" s="138"/>
      <c r="B47" s="149"/>
      <c r="C47" s="55"/>
      <c r="D47" s="55"/>
      <c r="E47" s="55"/>
      <c r="F47" s="105"/>
      <c r="G47" s="110"/>
      <c r="H47" s="55"/>
      <c r="I47" s="55"/>
      <c r="J47" s="171"/>
      <c r="K47" s="58"/>
      <c r="L47" s="59"/>
      <c r="M47" s="59"/>
      <c r="N47" s="59"/>
      <c r="O47" s="59"/>
      <c r="P47" s="148"/>
      <c r="Q47" s="59"/>
      <c r="R47" s="182"/>
      <c r="S47" s="59"/>
      <c r="T47" s="182"/>
      <c r="U47" s="308"/>
      <c r="V47" s="59"/>
      <c r="W47" s="248"/>
      <c r="X47" s="248">
        <f>AL47</f>
        <v>564</v>
      </c>
      <c r="Y47" s="140"/>
      <c r="Z47" s="225">
        <v>47</v>
      </c>
      <c r="AA47" s="225">
        <v>47</v>
      </c>
      <c r="AB47" s="225">
        <v>47</v>
      </c>
      <c r="AC47" s="225">
        <v>47</v>
      </c>
      <c r="AD47" s="225">
        <v>47</v>
      </c>
      <c r="AE47" s="225">
        <v>47</v>
      </c>
      <c r="AF47" s="225">
        <v>47</v>
      </c>
      <c r="AG47" s="225">
        <v>47</v>
      </c>
      <c r="AH47" s="225">
        <v>47</v>
      </c>
      <c r="AI47" s="225">
        <v>47</v>
      </c>
      <c r="AJ47" s="225">
        <v>47</v>
      </c>
      <c r="AK47" s="225">
        <v>47</v>
      </c>
      <c r="AL47" s="278">
        <f t="shared" si="18"/>
        <v>564</v>
      </c>
      <c r="AM47" s="223" t="s">
        <v>171</v>
      </c>
      <c r="AN47" s="48"/>
      <c r="AO47" s="48"/>
    </row>
    <row r="48" spans="2:41" s="198" customFormat="1" ht="29.25" customHeight="1">
      <c r="B48" s="54">
        <v>16</v>
      </c>
      <c r="C48" s="141" t="s">
        <v>21</v>
      </c>
      <c r="D48" s="141" t="s">
        <v>86</v>
      </c>
      <c r="E48" s="141" t="s">
        <v>31</v>
      </c>
      <c r="F48" s="142" t="s">
        <v>87</v>
      </c>
      <c r="G48" s="143">
        <v>27</v>
      </c>
      <c r="H48" s="141" t="s">
        <v>24</v>
      </c>
      <c r="I48" s="144">
        <v>7532382690</v>
      </c>
      <c r="J48" s="173" t="s">
        <v>201</v>
      </c>
      <c r="K48" s="60" t="s">
        <v>107</v>
      </c>
      <c r="L48" s="145" t="s">
        <v>88</v>
      </c>
      <c r="M48" s="145" t="s">
        <v>47</v>
      </c>
      <c r="N48" s="145" t="s">
        <v>89</v>
      </c>
      <c r="O48" s="145" t="s">
        <v>90</v>
      </c>
      <c r="P48" s="146"/>
      <c r="Q48" s="147" t="s">
        <v>91</v>
      </c>
      <c r="R48" s="183" t="s">
        <v>221</v>
      </c>
      <c r="S48" s="147" t="s">
        <v>91</v>
      </c>
      <c r="T48" s="183" t="s">
        <v>226</v>
      </c>
      <c r="U48" s="308" t="s">
        <v>239</v>
      </c>
      <c r="V48" s="147">
        <v>8760</v>
      </c>
      <c r="W48" s="249">
        <f>AL48</f>
        <v>8755.634114007955</v>
      </c>
      <c r="X48" s="249"/>
      <c r="Y48" s="83" t="s">
        <v>135</v>
      </c>
      <c r="Z48" s="222">
        <f>Z49/11.315</f>
        <v>310.64958020327003</v>
      </c>
      <c r="AA48" s="222">
        <f aca="true" t="shared" si="19" ref="AA48:AI48">AA49/11.315</f>
        <v>337.7817057003977</v>
      </c>
      <c r="AB48" s="222">
        <f t="shared" si="19"/>
        <v>649.4034467520991</v>
      </c>
      <c r="AC48" s="222">
        <f t="shared" si="19"/>
        <v>1226.7786124613347</v>
      </c>
      <c r="AD48" s="222">
        <f t="shared" si="19"/>
        <v>1398.9394608926204</v>
      </c>
      <c r="AE48" s="222">
        <f t="shared" si="19"/>
        <v>1512.417145382236</v>
      </c>
      <c r="AF48" s="222">
        <f t="shared" si="19"/>
        <v>1067.1674768007072</v>
      </c>
      <c r="AG48" s="222">
        <f t="shared" si="19"/>
        <v>1030.6672558550597</v>
      </c>
      <c r="AH48" s="222">
        <f t="shared" si="19"/>
        <v>654.7945205479452</v>
      </c>
      <c r="AI48" s="222">
        <f t="shared" si="19"/>
        <v>567.0349094122846</v>
      </c>
      <c r="AJ48" s="222">
        <v>0</v>
      </c>
      <c r="AK48" s="222">
        <v>0</v>
      </c>
      <c r="AL48" s="278">
        <f t="shared" si="18"/>
        <v>8755.634114007955</v>
      </c>
      <c r="AM48" s="223" t="s">
        <v>170</v>
      </c>
      <c r="AN48" s="155"/>
      <c r="AO48" s="199"/>
    </row>
    <row r="49" spans="2:41" s="198" customFormat="1" ht="29.25" customHeight="1">
      <c r="B49" s="54"/>
      <c r="C49" s="55"/>
      <c r="D49" s="55"/>
      <c r="E49" s="55"/>
      <c r="F49" s="105"/>
      <c r="G49" s="110"/>
      <c r="H49" s="55"/>
      <c r="I49" s="56"/>
      <c r="J49" s="173"/>
      <c r="K49" s="60"/>
      <c r="L49" s="57"/>
      <c r="M49" s="57"/>
      <c r="N49" s="57"/>
      <c r="O49" s="57"/>
      <c r="P49" s="58"/>
      <c r="Q49" s="59"/>
      <c r="R49" s="182"/>
      <c r="S49" s="59"/>
      <c r="T49" s="182"/>
      <c r="U49" s="308"/>
      <c r="V49" s="59"/>
      <c r="W49" s="248"/>
      <c r="X49" s="248">
        <f>AL49</f>
        <v>99070</v>
      </c>
      <c r="Y49" s="84"/>
      <c r="Z49" s="225">
        <v>3515</v>
      </c>
      <c r="AA49" s="225">
        <v>3822</v>
      </c>
      <c r="AB49" s="225">
        <v>7348</v>
      </c>
      <c r="AC49" s="225">
        <v>13881</v>
      </c>
      <c r="AD49" s="225">
        <v>15829</v>
      </c>
      <c r="AE49" s="225">
        <v>17113</v>
      </c>
      <c r="AF49" s="225">
        <v>12075</v>
      </c>
      <c r="AG49" s="225">
        <v>11662</v>
      </c>
      <c r="AH49" s="225">
        <v>7409</v>
      </c>
      <c r="AI49" s="225">
        <v>6416</v>
      </c>
      <c r="AJ49" s="225">
        <v>0</v>
      </c>
      <c r="AK49" s="225">
        <v>0</v>
      </c>
      <c r="AL49" s="278">
        <f>SUM(Z49:AK49)</f>
        <v>99070</v>
      </c>
      <c r="AM49" s="223" t="s">
        <v>171</v>
      </c>
      <c r="AN49" s="155"/>
      <c r="AO49" s="199"/>
    </row>
    <row r="50" spans="2:41" s="200" customFormat="1" ht="29.25" customHeight="1">
      <c r="B50" s="54">
        <v>17</v>
      </c>
      <c r="C50" s="55" t="s">
        <v>21</v>
      </c>
      <c r="D50" s="55" t="s">
        <v>151</v>
      </c>
      <c r="E50" s="55" t="s">
        <v>31</v>
      </c>
      <c r="F50" s="105" t="s">
        <v>140</v>
      </c>
      <c r="G50" s="110">
        <v>10</v>
      </c>
      <c r="H50" s="55" t="s">
        <v>24</v>
      </c>
      <c r="I50" s="56">
        <v>7532382690</v>
      </c>
      <c r="J50" s="173" t="s">
        <v>199</v>
      </c>
      <c r="K50" s="60" t="s">
        <v>152</v>
      </c>
      <c r="L50" s="57" t="s">
        <v>141</v>
      </c>
      <c r="M50" s="57" t="s">
        <v>78</v>
      </c>
      <c r="N50" s="57" t="s">
        <v>153</v>
      </c>
      <c r="O50" s="57"/>
      <c r="P50" s="58"/>
      <c r="Q50" s="59">
        <v>219</v>
      </c>
      <c r="R50" s="182" t="s">
        <v>224</v>
      </c>
      <c r="S50" s="59">
        <v>219</v>
      </c>
      <c r="T50" s="306" t="s">
        <v>142</v>
      </c>
      <c r="U50" s="308" t="s">
        <v>239</v>
      </c>
      <c r="V50" s="59">
        <v>8760</v>
      </c>
      <c r="W50" s="248">
        <f>AL50</f>
        <v>24907.733097657972</v>
      </c>
      <c r="X50" s="248"/>
      <c r="Y50" s="83" t="s">
        <v>135</v>
      </c>
      <c r="Z50" s="222">
        <f>Z51/11.315</f>
        <v>0</v>
      </c>
      <c r="AA50" s="222">
        <f>AA51/11.315</f>
        <v>175.16570923552806</v>
      </c>
      <c r="AB50" s="222">
        <f aca="true" t="shared" si="20" ref="AB50:AK50">AB51/11.315</f>
        <v>1256.3853292090146</v>
      </c>
      <c r="AC50" s="222">
        <f t="shared" si="20"/>
        <v>4037.91427308882</v>
      </c>
      <c r="AD50" s="222">
        <f t="shared" si="20"/>
        <v>4513.919575784357</v>
      </c>
      <c r="AE50" s="222">
        <f t="shared" si="20"/>
        <v>5994.432169686257</v>
      </c>
      <c r="AF50" s="222">
        <f t="shared" si="20"/>
        <v>3808.83782589483</v>
      </c>
      <c r="AG50" s="222">
        <f t="shared" si="20"/>
        <v>3455.05965532479</v>
      </c>
      <c r="AH50" s="222">
        <f t="shared" si="20"/>
        <v>1666.0185594343793</v>
      </c>
      <c r="AI50" s="222">
        <f t="shared" si="20"/>
        <v>0</v>
      </c>
      <c r="AJ50" s="222">
        <f t="shared" si="20"/>
        <v>0</v>
      </c>
      <c r="AK50" s="222">
        <f t="shared" si="20"/>
        <v>0</v>
      </c>
      <c r="AL50" s="278">
        <f>SUM(Z50:AK50)</f>
        <v>24907.733097657972</v>
      </c>
      <c r="AM50" s="223" t="s">
        <v>170</v>
      </c>
      <c r="AN50" s="155"/>
      <c r="AO50" s="201"/>
    </row>
    <row r="51" spans="2:41" s="200" customFormat="1" ht="29.25" customHeight="1">
      <c r="B51" s="54"/>
      <c r="C51" s="55"/>
      <c r="D51" s="55"/>
      <c r="E51" s="55"/>
      <c r="F51" s="105"/>
      <c r="G51" s="110"/>
      <c r="H51" s="55"/>
      <c r="I51" s="56"/>
      <c r="J51" s="173"/>
      <c r="K51" s="60"/>
      <c r="L51" s="57"/>
      <c r="M51" s="57"/>
      <c r="N51" s="57"/>
      <c r="O51" s="57"/>
      <c r="P51" s="58"/>
      <c r="Q51" s="59"/>
      <c r="R51" s="182"/>
      <c r="S51" s="59"/>
      <c r="T51" s="182"/>
      <c r="U51" s="308"/>
      <c r="V51" s="59"/>
      <c r="W51" s="248"/>
      <c r="X51" s="248">
        <f>AL51</f>
        <v>281831</v>
      </c>
      <c r="Y51" s="84"/>
      <c r="Z51" s="225">
        <v>0</v>
      </c>
      <c r="AA51" s="225">
        <v>1982</v>
      </c>
      <c r="AB51" s="225">
        <v>14216</v>
      </c>
      <c r="AC51" s="225">
        <v>45689</v>
      </c>
      <c r="AD51" s="225">
        <v>51075</v>
      </c>
      <c r="AE51" s="225">
        <v>67827</v>
      </c>
      <c r="AF51" s="225">
        <v>43097</v>
      </c>
      <c r="AG51" s="225">
        <v>39094</v>
      </c>
      <c r="AH51" s="225">
        <v>18851</v>
      </c>
      <c r="AI51" s="225">
        <v>0</v>
      </c>
      <c r="AJ51" s="225">
        <v>0</v>
      </c>
      <c r="AK51" s="225">
        <v>0</v>
      </c>
      <c r="AL51" s="278">
        <f>SUM(Z51:AK51)</f>
        <v>281831</v>
      </c>
      <c r="AM51" s="223" t="s">
        <v>171</v>
      </c>
      <c r="AN51" s="155"/>
      <c r="AO51" s="201"/>
    </row>
    <row r="52" spans="2:66" ht="38.25" customHeight="1">
      <c r="B52" s="54">
        <v>18</v>
      </c>
      <c r="C52" s="55" t="s">
        <v>21</v>
      </c>
      <c r="D52" s="55" t="s">
        <v>154</v>
      </c>
      <c r="E52" s="55" t="s">
        <v>31</v>
      </c>
      <c r="F52" s="105" t="s">
        <v>155</v>
      </c>
      <c r="G52" s="110">
        <v>12</v>
      </c>
      <c r="H52" s="55" t="s">
        <v>24</v>
      </c>
      <c r="I52" s="56">
        <v>7532382690</v>
      </c>
      <c r="J52" s="173" t="s">
        <v>212</v>
      </c>
      <c r="K52" s="60" t="s">
        <v>156</v>
      </c>
      <c r="L52" s="57" t="s">
        <v>157</v>
      </c>
      <c r="M52" s="57" t="s">
        <v>47</v>
      </c>
      <c r="N52" s="57" t="s">
        <v>158</v>
      </c>
      <c r="O52" s="57" t="s">
        <v>159</v>
      </c>
      <c r="P52" s="58" t="s">
        <v>160</v>
      </c>
      <c r="Q52" s="127" t="s">
        <v>91</v>
      </c>
      <c r="R52" s="184" t="s">
        <v>221</v>
      </c>
      <c r="S52" s="127" t="s">
        <v>91</v>
      </c>
      <c r="T52" s="184" t="s">
        <v>28</v>
      </c>
      <c r="U52" s="308" t="s">
        <v>239</v>
      </c>
      <c r="V52" s="59">
        <v>8760</v>
      </c>
      <c r="W52" s="248">
        <f>AL52</f>
        <v>1740.5214317277953</v>
      </c>
      <c r="X52" s="248"/>
      <c r="Y52" s="83" t="s">
        <v>135</v>
      </c>
      <c r="Z52" s="222">
        <f>Z53/11.315</f>
        <v>0</v>
      </c>
      <c r="AA52" s="222">
        <f aca="true" t="shared" si="21" ref="AA52:AK52">AA53/11.315</f>
        <v>52.23155103844454</v>
      </c>
      <c r="AB52" s="222">
        <f t="shared" si="21"/>
        <v>185.41758727353073</v>
      </c>
      <c r="AC52" s="222">
        <f t="shared" si="21"/>
        <v>87.75961113566063</v>
      </c>
      <c r="AD52" s="222">
        <f t="shared" si="21"/>
        <v>171.1886875828546</v>
      </c>
      <c r="AE52" s="222">
        <f t="shared" si="21"/>
        <v>626.7786124613345</v>
      </c>
      <c r="AF52" s="222">
        <f t="shared" si="21"/>
        <v>220.5921343349536</v>
      </c>
      <c r="AG52" s="222">
        <f t="shared" si="21"/>
        <v>220.6805125939019</v>
      </c>
      <c r="AH52" s="222">
        <f t="shared" si="21"/>
        <v>105.87715422006187</v>
      </c>
      <c r="AI52" s="222">
        <f t="shared" si="21"/>
        <v>69.99558108705259</v>
      </c>
      <c r="AJ52" s="222">
        <f t="shared" si="21"/>
        <v>0</v>
      </c>
      <c r="AK52" s="222">
        <f t="shared" si="21"/>
        <v>0</v>
      </c>
      <c r="AL52" s="278">
        <f t="shared" si="18"/>
        <v>1740.5214317277953</v>
      </c>
      <c r="AM52" s="223" t="s">
        <v>170</v>
      </c>
      <c r="AN52" s="155"/>
      <c r="AO52" s="155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</row>
    <row r="53" spans="2:66" ht="29.25" customHeight="1">
      <c r="B53" s="54"/>
      <c r="C53" s="55"/>
      <c r="D53" s="55"/>
      <c r="E53" s="55"/>
      <c r="F53" s="105"/>
      <c r="G53" s="110"/>
      <c r="H53" s="55"/>
      <c r="I53" s="56"/>
      <c r="J53" s="173"/>
      <c r="K53" s="60"/>
      <c r="L53" s="57"/>
      <c r="M53" s="57"/>
      <c r="N53" s="57"/>
      <c r="O53" s="57"/>
      <c r="P53" s="58"/>
      <c r="Q53" s="59"/>
      <c r="R53" s="182"/>
      <c r="S53" s="59"/>
      <c r="T53" s="182"/>
      <c r="U53" s="308"/>
      <c r="V53" s="59"/>
      <c r="W53" s="248"/>
      <c r="X53" s="248">
        <f>AL53</f>
        <v>19694</v>
      </c>
      <c r="Y53" s="84"/>
      <c r="Z53" s="225">
        <v>0</v>
      </c>
      <c r="AA53" s="225">
        <f>12+579</f>
        <v>591</v>
      </c>
      <c r="AB53" s="225">
        <v>2098</v>
      </c>
      <c r="AC53" s="225">
        <f>381+612</f>
        <v>993</v>
      </c>
      <c r="AD53" s="225">
        <v>1937</v>
      </c>
      <c r="AE53" s="225">
        <f>6296+796</f>
        <v>7092</v>
      </c>
      <c r="AF53" s="225">
        <v>2496</v>
      </c>
      <c r="AG53" s="225">
        <f>1718+779</f>
        <v>2497</v>
      </c>
      <c r="AH53" s="225">
        <v>1198</v>
      </c>
      <c r="AI53" s="225">
        <f>735+57</f>
        <v>792</v>
      </c>
      <c r="AJ53" s="225">
        <v>0</v>
      </c>
      <c r="AK53" s="225">
        <v>0</v>
      </c>
      <c r="AL53" s="278">
        <f>SUM(Z53:AK53)</f>
        <v>19694</v>
      </c>
      <c r="AM53" s="223" t="s">
        <v>171</v>
      </c>
      <c r="AN53" s="155"/>
      <c r="AO53" s="155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</row>
    <row r="54" spans="2:41" s="196" customFormat="1" ht="42" customHeight="1">
      <c r="B54" s="54">
        <v>19</v>
      </c>
      <c r="C54" s="55" t="s">
        <v>21</v>
      </c>
      <c r="D54" s="55" t="s">
        <v>86</v>
      </c>
      <c r="E54" s="55" t="s">
        <v>31</v>
      </c>
      <c r="F54" s="105" t="s">
        <v>161</v>
      </c>
      <c r="G54" s="110">
        <v>1</v>
      </c>
      <c r="H54" s="55" t="s">
        <v>24</v>
      </c>
      <c r="I54" s="56">
        <v>7532382690</v>
      </c>
      <c r="J54" s="172" t="s">
        <v>219</v>
      </c>
      <c r="K54" s="128" t="s">
        <v>162</v>
      </c>
      <c r="L54" s="57" t="s">
        <v>163</v>
      </c>
      <c r="M54" s="129">
        <v>1</v>
      </c>
      <c r="N54" s="57" t="s">
        <v>164</v>
      </c>
      <c r="O54" s="127" t="s">
        <v>165</v>
      </c>
      <c r="P54" s="127" t="s">
        <v>166</v>
      </c>
      <c r="Q54" s="59" t="s">
        <v>91</v>
      </c>
      <c r="R54" s="184" t="s">
        <v>221</v>
      </c>
      <c r="S54" s="59" t="s">
        <v>91</v>
      </c>
      <c r="T54" s="184" t="s">
        <v>28</v>
      </c>
      <c r="U54" s="308" t="s">
        <v>239</v>
      </c>
      <c r="V54" s="59">
        <v>8760</v>
      </c>
      <c r="W54" s="248">
        <f>AL54</f>
        <v>3393.371630578877</v>
      </c>
      <c r="X54" s="248"/>
      <c r="Y54" s="83" t="s">
        <v>135</v>
      </c>
      <c r="Z54" s="222">
        <f>Z55/11.315</f>
        <v>121.60848431285905</v>
      </c>
      <c r="AA54" s="222">
        <f aca="true" t="shared" si="22" ref="AA54:AK54">AA55/11.315</f>
        <v>208.88201502430402</v>
      </c>
      <c r="AB54" s="222">
        <f t="shared" si="22"/>
        <v>208.88201502430402</v>
      </c>
      <c r="AC54" s="222">
        <f t="shared" si="22"/>
        <v>293.68095448519665</v>
      </c>
      <c r="AD54" s="222">
        <f t="shared" si="22"/>
        <v>722.4038886433938</v>
      </c>
      <c r="AE54" s="222">
        <f t="shared" si="22"/>
        <v>345.4706142288997</v>
      </c>
      <c r="AF54" s="222">
        <f t="shared" si="22"/>
        <v>656.5620857269112</v>
      </c>
      <c r="AG54" s="222">
        <f t="shared" si="22"/>
        <v>390.80866106937697</v>
      </c>
      <c r="AH54" s="222">
        <f t="shared" si="22"/>
        <v>271.0561201944322</v>
      </c>
      <c r="AI54" s="222">
        <f t="shared" si="22"/>
        <v>174.01679186920018</v>
      </c>
      <c r="AJ54" s="222">
        <f t="shared" si="22"/>
        <v>0</v>
      </c>
      <c r="AK54" s="222">
        <f t="shared" si="22"/>
        <v>0</v>
      </c>
      <c r="AL54" s="278">
        <f t="shared" si="18"/>
        <v>3393.371630578877</v>
      </c>
      <c r="AM54" s="223" t="s">
        <v>170</v>
      </c>
      <c r="AN54" s="155"/>
      <c r="AO54" s="197"/>
    </row>
    <row r="55" spans="2:41" s="196" customFormat="1" ht="29.25" customHeight="1">
      <c r="B55" s="54"/>
      <c r="C55" s="55"/>
      <c r="D55" s="55"/>
      <c r="E55" s="55"/>
      <c r="F55" s="105"/>
      <c r="G55" s="110"/>
      <c r="H55" s="55"/>
      <c r="I55" s="56"/>
      <c r="J55" s="173"/>
      <c r="K55" s="60"/>
      <c r="L55" s="57"/>
      <c r="M55" s="57"/>
      <c r="N55" s="57"/>
      <c r="O55" s="57"/>
      <c r="P55" s="58"/>
      <c r="Q55" s="59"/>
      <c r="R55" s="182"/>
      <c r="S55" s="59"/>
      <c r="T55" s="182"/>
      <c r="U55" s="308"/>
      <c r="V55" s="59"/>
      <c r="W55" s="248"/>
      <c r="X55" s="248">
        <f>AL55</f>
        <v>38396</v>
      </c>
      <c r="Y55" s="84"/>
      <c r="Z55" s="225">
        <v>1376</v>
      </c>
      <c r="AA55" s="225">
        <f>4727/2</f>
        <v>2363.5</v>
      </c>
      <c r="AB55" s="225">
        <f>4727/2</f>
        <v>2363.5</v>
      </c>
      <c r="AC55" s="225">
        <v>3323</v>
      </c>
      <c r="AD55" s="225">
        <v>8174</v>
      </c>
      <c r="AE55" s="225">
        <v>3909</v>
      </c>
      <c r="AF55" s="225">
        <v>7429</v>
      </c>
      <c r="AG55" s="225">
        <v>4422</v>
      </c>
      <c r="AH55" s="225">
        <v>3067</v>
      </c>
      <c r="AI55" s="225">
        <v>1969</v>
      </c>
      <c r="AJ55" s="225">
        <v>0</v>
      </c>
      <c r="AK55" s="225">
        <v>0</v>
      </c>
      <c r="AL55" s="278">
        <f>SUM(Z55:AK55)</f>
        <v>38396</v>
      </c>
      <c r="AM55" s="223" t="s">
        <v>171</v>
      </c>
      <c r="AN55" s="155"/>
      <c r="AO55" s="197"/>
    </row>
    <row r="56" spans="2:66" ht="51" customHeight="1">
      <c r="B56" s="54">
        <v>20</v>
      </c>
      <c r="C56" s="55" t="s">
        <v>115</v>
      </c>
      <c r="D56" s="130" t="s">
        <v>167</v>
      </c>
      <c r="E56" s="55" t="s">
        <v>31</v>
      </c>
      <c r="F56" s="131" t="s">
        <v>146</v>
      </c>
      <c r="G56" s="132">
        <v>2</v>
      </c>
      <c r="H56" s="132" t="s">
        <v>24</v>
      </c>
      <c r="I56" s="131">
        <v>7532382690</v>
      </c>
      <c r="J56" s="166" t="s">
        <v>217</v>
      </c>
      <c r="K56" s="202">
        <v>1618057101</v>
      </c>
      <c r="L56" s="34" t="s">
        <v>168</v>
      </c>
      <c r="M56" s="34">
        <v>1</v>
      </c>
      <c r="N56" s="34">
        <v>24</v>
      </c>
      <c r="O56" s="34" t="s">
        <v>169</v>
      </c>
      <c r="P56" s="53"/>
      <c r="Q56" s="34">
        <v>110</v>
      </c>
      <c r="R56" s="220" t="s">
        <v>222</v>
      </c>
      <c r="S56" s="34">
        <v>110</v>
      </c>
      <c r="T56" s="220" t="s">
        <v>133</v>
      </c>
      <c r="U56" s="308" t="s">
        <v>239</v>
      </c>
      <c r="V56" s="59">
        <v>8760</v>
      </c>
      <c r="W56" s="248">
        <f>AL56</f>
        <v>1414.5824127264693</v>
      </c>
      <c r="X56" s="248"/>
      <c r="Y56" s="83" t="s">
        <v>135</v>
      </c>
      <c r="Z56" s="222">
        <f>Z57/11.315</f>
        <v>8.219178082191782</v>
      </c>
      <c r="AA56" s="222">
        <f aca="true" t="shared" si="23" ref="AA56:AJ56">AA57/11.315</f>
        <v>18.471056120194433</v>
      </c>
      <c r="AB56" s="222">
        <f t="shared" si="23"/>
        <v>52.23155103844454</v>
      </c>
      <c r="AC56" s="222">
        <f t="shared" si="23"/>
        <v>215.11268228015908</v>
      </c>
      <c r="AD56" s="222">
        <f t="shared" si="23"/>
        <v>194.6089262041538</v>
      </c>
      <c r="AE56" s="222">
        <f t="shared" si="23"/>
        <v>398.49756959787896</v>
      </c>
      <c r="AF56" s="222">
        <f t="shared" si="23"/>
        <v>226.69023420238622</v>
      </c>
      <c r="AG56" s="222">
        <f t="shared" si="23"/>
        <v>191.33893062306674</v>
      </c>
      <c r="AH56" s="222">
        <f t="shared" si="23"/>
        <v>56.385329209014586</v>
      </c>
      <c r="AI56" s="222">
        <f t="shared" si="23"/>
        <v>53.02695536897923</v>
      </c>
      <c r="AJ56" s="222">
        <f t="shared" si="23"/>
        <v>0</v>
      </c>
      <c r="AK56" s="222">
        <f>AK57/11.315</f>
        <v>0</v>
      </c>
      <c r="AL56" s="278">
        <f t="shared" si="18"/>
        <v>1414.5824127264693</v>
      </c>
      <c r="AM56" s="223" t="s">
        <v>170</v>
      </c>
      <c r="AN56" s="155"/>
      <c r="AO56" s="155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</row>
    <row r="57" spans="1:41" s="28" customFormat="1" ht="24" customHeight="1">
      <c r="A57" s="87"/>
      <c r="B57" s="32"/>
      <c r="C57" s="33"/>
      <c r="D57" s="33"/>
      <c r="E57" s="33"/>
      <c r="F57" s="52"/>
      <c r="G57" s="37"/>
      <c r="H57" s="33"/>
      <c r="I57" s="33"/>
      <c r="J57" s="50"/>
      <c r="K57" s="60"/>
      <c r="L57" s="34"/>
      <c r="M57" s="34"/>
      <c r="N57" s="34"/>
      <c r="O57" s="34"/>
      <c r="P57" s="35"/>
      <c r="Q57" s="34"/>
      <c r="R57" s="220"/>
      <c r="S57" s="34"/>
      <c r="T57" s="220"/>
      <c r="U57" s="308"/>
      <c r="V57" s="29"/>
      <c r="W57" s="203"/>
      <c r="X57" s="224">
        <f>AL57</f>
        <v>16006</v>
      </c>
      <c r="Y57" s="152"/>
      <c r="Z57" s="225">
        <v>93</v>
      </c>
      <c r="AA57" s="225">
        <f>58+151</f>
        <v>209</v>
      </c>
      <c r="AB57" s="225">
        <f>116+475</f>
        <v>591</v>
      </c>
      <c r="AC57" s="225">
        <f>2065+369</f>
        <v>2434</v>
      </c>
      <c r="AD57" s="225">
        <f>1614+588</f>
        <v>2202</v>
      </c>
      <c r="AE57" s="225">
        <f>2756+1753</f>
        <v>4509</v>
      </c>
      <c r="AF57" s="225">
        <f>1323+1242</f>
        <v>2565</v>
      </c>
      <c r="AG57" s="225">
        <f>1615+550</f>
        <v>2165</v>
      </c>
      <c r="AH57" s="225">
        <v>638</v>
      </c>
      <c r="AI57" s="225">
        <f>498+102</f>
        <v>600</v>
      </c>
      <c r="AJ57" s="225">
        <v>0</v>
      </c>
      <c r="AK57" s="225">
        <v>0</v>
      </c>
      <c r="AL57" s="278">
        <f t="shared" si="18"/>
        <v>16006</v>
      </c>
      <c r="AM57" s="223" t="s">
        <v>171</v>
      </c>
      <c r="AN57" s="48"/>
      <c r="AO57" s="154"/>
    </row>
    <row r="58" spans="1:41" s="190" customFormat="1" ht="51.75" customHeight="1">
      <c r="A58" s="187"/>
      <c r="B58" s="32">
        <v>21</v>
      </c>
      <c r="C58" s="33" t="s">
        <v>182</v>
      </c>
      <c r="D58" s="52" t="s">
        <v>179</v>
      </c>
      <c r="E58" s="33" t="s">
        <v>31</v>
      </c>
      <c r="F58" s="52" t="s">
        <v>180</v>
      </c>
      <c r="G58" s="108">
        <v>30</v>
      </c>
      <c r="H58" s="52" t="s">
        <v>24</v>
      </c>
      <c r="I58" s="38">
        <v>7532382690</v>
      </c>
      <c r="J58" s="173" t="s">
        <v>208</v>
      </c>
      <c r="K58" s="60" t="s">
        <v>196</v>
      </c>
      <c r="L58" s="36" t="s">
        <v>189</v>
      </c>
      <c r="M58" s="34">
        <v>2</v>
      </c>
      <c r="N58" s="34" t="s">
        <v>188</v>
      </c>
      <c r="O58" s="34" t="s">
        <v>46</v>
      </c>
      <c r="P58" s="35"/>
      <c r="Q58" s="34">
        <v>362</v>
      </c>
      <c r="R58" s="220" t="s">
        <v>224</v>
      </c>
      <c r="S58" s="34">
        <v>362</v>
      </c>
      <c r="T58" s="304" t="s">
        <v>142</v>
      </c>
      <c r="U58" s="308" t="s">
        <v>239</v>
      </c>
      <c r="V58" s="29">
        <f>365*24</f>
        <v>8760</v>
      </c>
      <c r="W58" s="203">
        <f>AL58</f>
        <v>31723.110914714984</v>
      </c>
      <c r="X58" s="224"/>
      <c r="Y58" s="83" t="s">
        <v>135</v>
      </c>
      <c r="Z58" s="222">
        <f>Z59/11.315</f>
        <v>89.0852850198851</v>
      </c>
      <c r="AA58" s="222">
        <f aca="true" t="shared" si="24" ref="AA58:AK58">AA59/11.315</f>
        <v>108.61688024745914</v>
      </c>
      <c r="AB58" s="222">
        <f t="shared" si="24"/>
        <v>2186.4781263809105</v>
      </c>
      <c r="AC58" s="222">
        <f t="shared" si="24"/>
        <v>6827.750773309766</v>
      </c>
      <c r="AD58" s="222">
        <f t="shared" si="24"/>
        <v>5853.115333627928</v>
      </c>
      <c r="AE58" s="222">
        <f t="shared" si="24"/>
        <v>6252.585064074238</v>
      </c>
      <c r="AF58" s="222">
        <f t="shared" si="24"/>
        <v>4482.191780821918</v>
      </c>
      <c r="AG58" s="222">
        <f t="shared" si="24"/>
        <v>3492.620415377817</v>
      </c>
      <c r="AH58" s="222">
        <f t="shared" si="24"/>
        <v>2298.0114891736634</v>
      </c>
      <c r="AI58" s="222">
        <f t="shared" si="24"/>
        <v>132.6557666813964</v>
      </c>
      <c r="AJ58" s="222">
        <f t="shared" si="24"/>
        <v>0</v>
      </c>
      <c r="AK58" s="222">
        <f t="shared" si="24"/>
        <v>0</v>
      </c>
      <c r="AL58" s="278">
        <f t="shared" si="18"/>
        <v>31723.110914714984</v>
      </c>
      <c r="AM58" s="223" t="s">
        <v>170</v>
      </c>
      <c r="AN58" s="48"/>
      <c r="AO58" s="189"/>
    </row>
    <row r="59" spans="1:41" s="192" customFormat="1" ht="24" customHeight="1">
      <c r="A59" s="191"/>
      <c r="B59" s="32"/>
      <c r="C59" s="33"/>
      <c r="D59" s="33"/>
      <c r="E59" s="33"/>
      <c r="F59" s="52"/>
      <c r="G59" s="37"/>
      <c r="H59" s="33"/>
      <c r="I59" s="33"/>
      <c r="J59" s="166"/>
      <c r="K59" s="60"/>
      <c r="L59" s="34"/>
      <c r="M59" s="34"/>
      <c r="N59" s="34"/>
      <c r="O59" s="34"/>
      <c r="P59" s="35"/>
      <c r="Q59" s="34"/>
      <c r="R59" s="220"/>
      <c r="S59" s="34"/>
      <c r="T59" s="220"/>
      <c r="U59" s="308"/>
      <c r="V59" s="29"/>
      <c r="W59" s="203"/>
      <c r="X59" s="224">
        <f>AL59</f>
        <v>358947</v>
      </c>
      <c r="Y59" s="152"/>
      <c r="Z59" s="225">
        <v>1008</v>
      </c>
      <c r="AA59" s="225">
        <v>1229</v>
      </c>
      <c r="AB59" s="225">
        <v>24740</v>
      </c>
      <c r="AC59" s="225">
        <v>77256</v>
      </c>
      <c r="AD59" s="225">
        <v>66228</v>
      </c>
      <c r="AE59" s="225">
        <v>70748</v>
      </c>
      <c r="AF59" s="225">
        <v>50716</v>
      </c>
      <c r="AG59" s="225">
        <v>39519</v>
      </c>
      <c r="AH59" s="225">
        <v>26002</v>
      </c>
      <c r="AI59" s="225">
        <v>1501</v>
      </c>
      <c r="AJ59" s="225">
        <v>0</v>
      </c>
      <c r="AK59" s="225">
        <v>0</v>
      </c>
      <c r="AL59" s="278">
        <f t="shared" si="18"/>
        <v>358947</v>
      </c>
      <c r="AM59" s="223" t="s">
        <v>171</v>
      </c>
      <c r="AN59" s="48"/>
      <c r="AO59" s="188"/>
    </row>
    <row r="60" spans="1:41" s="190" customFormat="1" ht="51.75" customHeight="1">
      <c r="A60" s="187"/>
      <c r="B60" s="32">
        <v>22</v>
      </c>
      <c r="C60" s="33" t="s">
        <v>183</v>
      </c>
      <c r="D60" s="52" t="s">
        <v>184</v>
      </c>
      <c r="E60" s="33" t="s">
        <v>31</v>
      </c>
      <c r="F60" s="52" t="s">
        <v>185</v>
      </c>
      <c r="G60" s="108" t="s">
        <v>186</v>
      </c>
      <c r="H60" s="52" t="s">
        <v>24</v>
      </c>
      <c r="I60" s="38">
        <v>7532382690</v>
      </c>
      <c r="J60" s="173" t="s">
        <v>200</v>
      </c>
      <c r="K60" s="60" t="s">
        <v>197</v>
      </c>
      <c r="L60" s="36" t="s">
        <v>190</v>
      </c>
      <c r="M60" s="34">
        <v>2</v>
      </c>
      <c r="N60" s="34" t="s">
        <v>191</v>
      </c>
      <c r="O60" s="34" t="s">
        <v>46</v>
      </c>
      <c r="P60" s="35"/>
      <c r="Q60" s="34">
        <v>165</v>
      </c>
      <c r="R60" s="220" t="s">
        <v>224</v>
      </c>
      <c r="S60" s="34">
        <v>165</v>
      </c>
      <c r="T60" s="304" t="s">
        <v>142</v>
      </c>
      <c r="U60" s="308" t="s">
        <v>239</v>
      </c>
      <c r="V60" s="29">
        <f>365*24</f>
        <v>8760</v>
      </c>
      <c r="W60" s="203">
        <f>AL60</f>
        <v>14156.606274856385</v>
      </c>
      <c r="X60" s="224"/>
      <c r="Y60" s="83" t="s">
        <v>135</v>
      </c>
      <c r="Z60" s="222">
        <f>Z61/11.315</f>
        <v>358.285461776403</v>
      </c>
      <c r="AA60" s="222">
        <f aca="true" t="shared" si="25" ref="AA60:AK60">AA61/11.315</f>
        <v>374.9005744586832</v>
      </c>
      <c r="AB60" s="222">
        <f t="shared" si="25"/>
        <v>944.3216968625718</v>
      </c>
      <c r="AC60" s="222">
        <f t="shared" si="25"/>
        <v>2231.4626601855944</v>
      </c>
      <c r="AD60" s="222">
        <f t="shared" si="25"/>
        <v>2608.042421564295</v>
      </c>
      <c r="AE60" s="222">
        <f t="shared" si="25"/>
        <v>3246.2218294299605</v>
      </c>
      <c r="AF60" s="222">
        <f t="shared" si="25"/>
        <v>1592.576226248343</v>
      </c>
      <c r="AG60" s="222">
        <f t="shared" si="25"/>
        <v>1388.7759611135662</v>
      </c>
      <c r="AH60" s="222">
        <f t="shared" si="25"/>
        <v>970.0397702165268</v>
      </c>
      <c r="AI60" s="222">
        <f t="shared" si="25"/>
        <v>441.9796730004419</v>
      </c>
      <c r="AJ60" s="222">
        <f t="shared" si="25"/>
        <v>0</v>
      </c>
      <c r="AK60" s="222">
        <f t="shared" si="25"/>
        <v>0</v>
      </c>
      <c r="AL60" s="278">
        <f t="shared" si="18"/>
        <v>14156.606274856385</v>
      </c>
      <c r="AM60" s="223" t="s">
        <v>170</v>
      </c>
      <c r="AN60" s="48"/>
      <c r="AO60" s="189"/>
    </row>
    <row r="61" spans="1:41" s="190" customFormat="1" ht="22.5" customHeight="1">
      <c r="A61" s="195"/>
      <c r="B61" s="41"/>
      <c r="C61" s="156"/>
      <c r="D61" s="52"/>
      <c r="E61" s="33"/>
      <c r="F61" s="52"/>
      <c r="G61" s="108"/>
      <c r="H61" s="52"/>
      <c r="I61" s="38"/>
      <c r="J61" s="204"/>
      <c r="K61" s="60"/>
      <c r="L61" s="36"/>
      <c r="M61" s="34"/>
      <c r="N61" s="34"/>
      <c r="O61" s="34"/>
      <c r="P61" s="35"/>
      <c r="Q61" s="34"/>
      <c r="R61" s="220"/>
      <c r="S61" s="34"/>
      <c r="T61" s="220"/>
      <c r="U61" s="308"/>
      <c r="V61" s="29"/>
      <c r="W61" s="203"/>
      <c r="X61" s="224">
        <f>AL61</f>
        <v>160182</v>
      </c>
      <c r="Y61" s="83"/>
      <c r="Z61" s="225">
        <v>4054</v>
      </c>
      <c r="AA61" s="225">
        <v>4242</v>
      </c>
      <c r="AB61" s="225">
        <v>10685</v>
      </c>
      <c r="AC61" s="225">
        <v>25249</v>
      </c>
      <c r="AD61" s="225">
        <v>29510</v>
      </c>
      <c r="AE61" s="225">
        <v>36731</v>
      </c>
      <c r="AF61" s="225">
        <v>18020</v>
      </c>
      <c r="AG61" s="225">
        <v>15714</v>
      </c>
      <c r="AH61" s="225">
        <v>10976</v>
      </c>
      <c r="AI61" s="225">
        <v>5001</v>
      </c>
      <c r="AJ61" s="225">
        <v>0</v>
      </c>
      <c r="AK61" s="225">
        <v>0</v>
      </c>
      <c r="AL61" s="278">
        <f t="shared" si="18"/>
        <v>160182</v>
      </c>
      <c r="AM61" s="223" t="s">
        <v>171</v>
      </c>
      <c r="AN61" s="48"/>
      <c r="AO61" s="189"/>
    </row>
    <row r="62" spans="1:41" s="28" customFormat="1" ht="22.5" customHeight="1">
      <c r="A62" s="214"/>
      <c r="B62" s="311">
        <v>23</v>
      </c>
      <c r="C62" s="312" t="s">
        <v>228</v>
      </c>
      <c r="D62" s="307" t="s">
        <v>229</v>
      </c>
      <c r="E62" s="307" t="s">
        <v>31</v>
      </c>
      <c r="F62" s="313" t="s">
        <v>44</v>
      </c>
      <c r="G62" s="307">
        <v>19</v>
      </c>
      <c r="H62" s="307" t="s">
        <v>24</v>
      </c>
      <c r="I62" s="307">
        <v>7532382690</v>
      </c>
      <c r="J62" s="173" t="s">
        <v>231</v>
      </c>
      <c r="K62" s="217" t="s">
        <v>232</v>
      </c>
      <c r="L62" s="307" t="s">
        <v>45</v>
      </c>
      <c r="M62" s="309" t="s">
        <v>47</v>
      </c>
      <c r="N62" s="309" t="s">
        <v>230</v>
      </c>
      <c r="O62" s="307" t="s">
        <v>46</v>
      </c>
      <c r="P62" s="218"/>
      <c r="Q62" s="215" t="s">
        <v>29</v>
      </c>
      <c r="R62" s="277" t="s">
        <v>224</v>
      </c>
      <c r="S62" s="215">
        <v>111</v>
      </c>
      <c r="T62" s="304" t="s">
        <v>224</v>
      </c>
      <c r="U62" s="308" t="s">
        <v>239</v>
      </c>
      <c r="V62" s="219">
        <v>8760</v>
      </c>
      <c r="W62" s="203">
        <f>AL62</f>
        <v>5991.073795846222</v>
      </c>
      <c r="X62" s="224"/>
      <c r="Y62" s="83"/>
      <c r="Z62" s="251">
        <f>Z63/11.315</f>
        <v>0</v>
      </c>
      <c r="AA62" s="251">
        <f aca="true" t="shared" si="26" ref="AA62:AK62">AA63/11.315</f>
        <v>2.0326999558108705</v>
      </c>
      <c r="AB62" s="251">
        <f t="shared" si="26"/>
        <v>565.0022094564737</v>
      </c>
      <c r="AC62" s="251">
        <f t="shared" si="26"/>
        <v>996.4648696420682</v>
      </c>
      <c r="AD62" s="251">
        <f t="shared" si="26"/>
        <v>1157.7551922227133</v>
      </c>
      <c r="AE62" s="251">
        <f t="shared" si="26"/>
        <v>1225.7180733539549</v>
      </c>
      <c r="AF62" s="251">
        <f t="shared" si="26"/>
        <v>957.7551922227133</v>
      </c>
      <c r="AG62" s="251">
        <f t="shared" si="26"/>
        <v>972.3376049491825</v>
      </c>
      <c r="AH62" s="251">
        <f>AH63/11.315</f>
        <v>114.00795404330535</v>
      </c>
      <c r="AI62" s="251">
        <f t="shared" si="26"/>
        <v>0</v>
      </c>
      <c r="AJ62" s="251">
        <f t="shared" si="26"/>
        <v>0</v>
      </c>
      <c r="AK62" s="251">
        <f t="shared" si="26"/>
        <v>0</v>
      </c>
      <c r="AL62" s="278">
        <f>SUM(Z62:AK62)</f>
        <v>5991.073795846222</v>
      </c>
      <c r="AM62" s="223" t="s">
        <v>170</v>
      </c>
      <c r="AN62" s="154"/>
      <c r="AO62" s="154"/>
    </row>
    <row r="63" spans="1:41" s="28" customFormat="1" ht="23.25" customHeight="1">
      <c r="A63" s="214"/>
      <c r="B63" s="311"/>
      <c r="C63" s="312"/>
      <c r="D63" s="307"/>
      <c r="E63" s="307"/>
      <c r="F63" s="313"/>
      <c r="G63" s="307"/>
      <c r="H63" s="307"/>
      <c r="I63" s="307"/>
      <c r="J63" s="216"/>
      <c r="K63" s="217"/>
      <c r="L63" s="307"/>
      <c r="M63" s="309"/>
      <c r="N63" s="309"/>
      <c r="O63" s="307"/>
      <c r="P63" s="218"/>
      <c r="Q63" s="215"/>
      <c r="R63" s="215"/>
      <c r="S63" s="215"/>
      <c r="T63" s="215"/>
      <c r="U63" s="308"/>
      <c r="V63" s="219"/>
      <c r="W63" s="203"/>
      <c r="X63" s="224">
        <f>AL63</f>
        <v>67789</v>
      </c>
      <c r="Y63" s="83" t="s">
        <v>135</v>
      </c>
      <c r="Z63" s="228">
        <v>0</v>
      </c>
      <c r="AA63" s="228">
        <v>23</v>
      </c>
      <c r="AB63" s="228">
        <v>6393</v>
      </c>
      <c r="AC63" s="228">
        <v>11275</v>
      </c>
      <c r="AD63" s="228">
        <v>13100</v>
      </c>
      <c r="AE63" s="228">
        <v>13869</v>
      </c>
      <c r="AF63" s="228">
        <v>10837</v>
      </c>
      <c r="AG63" s="228">
        <v>11002</v>
      </c>
      <c r="AH63" s="228">
        <v>1290</v>
      </c>
      <c r="AI63" s="228">
        <v>0</v>
      </c>
      <c r="AJ63" s="228">
        <v>0</v>
      </c>
      <c r="AK63" s="228">
        <v>0</v>
      </c>
      <c r="AL63" s="278">
        <f>SUM(Z63:AK63)</f>
        <v>67789</v>
      </c>
      <c r="AM63" s="223" t="s">
        <v>171</v>
      </c>
      <c r="AN63" s="154"/>
      <c r="AO63" s="154"/>
    </row>
    <row r="64" spans="1:41" s="31" customFormat="1" ht="20.25" customHeight="1">
      <c r="A64" s="86"/>
      <c r="B64" s="41"/>
      <c r="C64" s="55" t="s">
        <v>92</v>
      </c>
      <c r="D64" s="50"/>
      <c r="E64" s="50"/>
      <c r="F64" s="50"/>
      <c r="G64" s="50"/>
      <c r="H64" s="50"/>
      <c r="I64" s="50"/>
      <c r="J64" s="205"/>
      <c r="K64" s="50"/>
      <c r="L64" s="50"/>
      <c r="M64" s="50"/>
      <c r="N64" s="50"/>
      <c r="O64" s="50"/>
      <c r="P64" s="50"/>
      <c r="Q64" s="50"/>
      <c r="R64" s="181"/>
      <c r="S64" s="50"/>
      <c r="T64" s="181"/>
      <c r="U64" s="50"/>
      <c r="V64" s="50"/>
      <c r="W64" s="206">
        <f>SUM(W8:W63)</f>
        <v>256781.4530973879</v>
      </c>
      <c r="X64" s="206">
        <f>SUM(X8:X63)</f>
        <v>2905646.5</v>
      </c>
      <c r="Y64" s="252"/>
      <c r="Z64" s="253"/>
      <c r="AA64" s="253"/>
      <c r="AB64" s="253"/>
      <c r="AC64" s="48"/>
      <c r="AD64" s="48"/>
      <c r="AE64" s="48"/>
      <c r="AF64" s="48"/>
      <c r="AG64" s="48"/>
      <c r="AH64" s="48"/>
      <c r="AI64" s="48"/>
      <c r="AJ64" s="48"/>
      <c r="AK64" s="48"/>
      <c r="AL64" s="161">
        <f>AL9+AL11+AL13+AL15+AL17+AL19+AL21+AL23+AL30+AL32+AL34+AL36+AL38+AL42+AL45+AL47+AL49+AL51+AL53+AL55+AL57+AL59+AL61+AL63</f>
        <v>2905646.5</v>
      </c>
      <c r="AM64" s="48"/>
      <c r="AN64" s="48"/>
      <c r="AO64" s="153"/>
    </row>
    <row r="65" spans="23:39" ht="15">
      <c r="W65" s="271"/>
      <c r="Y65" s="254"/>
      <c r="Z65" s="255" t="s">
        <v>170</v>
      </c>
      <c r="AA65" s="255" t="s">
        <v>171</v>
      </c>
      <c r="AB65" s="274"/>
      <c r="AC65" s="119"/>
      <c r="AD65" s="119"/>
      <c r="AE65" s="119"/>
      <c r="AF65" s="119"/>
      <c r="AG65" s="119"/>
      <c r="AH65" s="119"/>
      <c r="AI65" s="114"/>
      <c r="AJ65" s="119"/>
      <c r="AK65" s="119"/>
      <c r="AL65" s="136">
        <f>AL8+AL10+AL12+AL14+AL16+AL18+AL20+AL22+AL29+AL31+AL33+AL35+AL37+AL41+AL44+AL46+AL48+AL50+AL52+AL54+AL56+AL58+AL60+AL62</f>
        <v>256781.4530973879</v>
      </c>
      <c r="AM65" s="7"/>
    </row>
    <row r="66" spans="2:39" s="259" customFormat="1" ht="30">
      <c r="B66" s="258"/>
      <c r="E66" s="260"/>
      <c r="F66" s="260"/>
      <c r="I66" s="260"/>
      <c r="J66" s="261"/>
      <c r="K66" s="262"/>
      <c r="R66" s="263"/>
      <c r="T66" s="263"/>
      <c r="U66" s="298" t="s">
        <v>18</v>
      </c>
      <c r="V66" s="299" t="s">
        <v>233</v>
      </c>
      <c r="W66" s="300" t="s">
        <v>234</v>
      </c>
      <c r="X66" s="301" t="s">
        <v>235</v>
      </c>
      <c r="Y66" s="302" t="s">
        <v>236</v>
      </c>
      <c r="Z66" s="273" t="s">
        <v>242</v>
      </c>
      <c r="AA66" s="289"/>
      <c r="AB66" s="289"/>
      <c r="AC66" s="290"/>
      <c r="AD66" s="290"/>
      <c r="AE66" s="264"/>
      <c r="AF66" s="264"/>
      <c r="AG66" s="264"/>
      <c r="AH66" s="264"/>
      <c r="AI66" s="265"/>
      <c r="AJ66" s="264"/>
      <c r="AK66" s="264"/>
      <c r="AL66" s="266"/>
      <c r="AM66" s="267"/>
    </row>
    <row r="67" spans="21:39" ht="15">
      <c r="U67" s="256" t="s">
        <v>142</v>
      </c>
      <c r="V67" s="288">
        <v>11</v>
      </c>
      <c r="W67" s="275">
        <f>110+187+110+219+121+219+154+219+362+165+111</f>
        <v>1977</v>
      </c>
      <c r="X67" s="268">
        <f>8760*W67</f>
        <v>17318520</v>
      </c>
      <c r="Y67" s="269" t="s">
        <v>135</v>
      </c>
      <c r="Z67" s="270">
        <f>X15+X19+X21+X30+X36+X42+X45+X51+X59+X61+X63</f>
        <v>2170948</v>
      </c>
      <c r="AA67" s="291"/>
      <c r="AB67" s="291"/>
      <c r="AC67" s="291"/>
      <c r="AD67" s="292"/>
      <c r="AE67" s="119"/>
      <c r="AF67" s="119"/>
      <c r="AG67" s="119"/>
      <c r="AH67" s="119"/>
      <c r="AI67" s="119"/>
      <c r="AJ67" s="119"/>
      <c r="AK67" s="119"/>
      <c r="AL67" s="136"/>
      <c r="AM67" s="7"/>
    </row>
    <row r="68" spans="21:30" ht="15">
      <c r="U68" s="256" t="s">
        <v>37</v>
      </c>
      <c r="V68" s="288">
        <v>4</v>
      </c>
      <c r="W68" s="276"/>
      <c r="X68" s="257"/>
      <c r="Y68" s="269" t="s">
        <v>135</v>
      </c>
      <c r="Z68" s="270">
        <f>X9+X17+X26+X38</f>
        <v>441208</v>
      </c>
      <c r="AA68" s="291"/>
      <c r="AB68" s="291"/>
      <c r="AC68" s="291"/>
      <c r="AD68" s="292"/>
    </row>
    <row r="69" spans="21:30" ht="15">
      <c r="U69" s="256" t="s">
        <v>133</v>
      </c>
      <c r="V69" s="288">
        <v>3</v>
      </c>
      <c r="W69" s="276"/>
      <c r="X69" s="257"/>
      <c r="Y69" s="269" t="s">
        <v>135</v>
      </c>
      <c r="Z69" s="270">
        <f>X13+X34+X57</f>
        <v>69901.5</v>
      </c>
      <c r="AA69" s="291"/>
      <c r="AB69" s="291"/>
      <c r="AC69" s="291"/>
      <c r="AD69" s="292"/>
    </row>
    <row r="70" spans="21:30" ht="15">
      <c r="U70" s="256" t="s">
        <v>28</v>
      </c>
      <c r="V70" s="288">
        <v>5</v>
      </c>
      <c r="W70" s="276"/>
      <c r="X70" s="257"/>
      <c r="Y70" s="269" t="s">
        <v>135</v>
      </c>
      <c r="Z70" s="270">
        <f>X11+X32+X49+X53+X55</f>
        <v>223025</v>
      </c>
      <c r="AA70" s="291"/>
      <c r="AB70" s="291"/>
      <c r="AC70" s="291"/>
      <c r="AD70" s="292"/>
    </row>
    <row r="71" spans="21:30" ht="15">
      <c r="U71" s="256" t="s">
        <v>241</v>
      </c>
      <c r="V71" s="288">
        <v>1</v>
      </c>
      <c r="W71" s="276"/>
      <c r="X71" s="257"/>
      <c r="Y71" s="269" t="s">
        <v>135</v>
      </c>
      <c r="Z71" s="270">
        <f>X47</f>
        <v>564</v>
      </c>
      <c r="AA71" s="291"/>
      <c r="AB71" s="291"/>
      <c r="AC71" s="291"/>
      <c r="AD71" s="292"/>
    </row>
    <row r="72" spans="21:30" ht="15">
      <c r="U72" s="294" t="s">
        <v>237</v>
      </c>
      <c r="V72" s="295">
        <f>SUM(V67:V71)</f>
        <v>24</v>
      </c>
      <c r="W72" s="296">
        <f>SUM(W67:W70)</f>
        <v>1977</v>
      </c>
      <c r="X72" s="295">
        <f>SUM(X67:X70)</f>
        <v>17318520</v>
      </c>
      <c r="Y72" s="297"/>
      <c r="Z72" s="295">
        <f>SUM(Z67:Z71)</f>
        <v>2905646.5</v>
      </c>
      <c r="AA72" s="293"/>
      <c r="AB72" s="293"/>
      <c r="AC72" s="293"/>
      <c r="AD72" s="293"/>
    </row>
    <row r="73" spans="23:27" ht="15">
      <c r="W73" s="271"/>
      <c r="AA73" s="272"/>
    </row>
    <row r="74" spans="23:29" ht="15">
      <c r="W74" s="271"/>
      <c r="AC74" s="133"/>
    </row>
    <row r="75" ht="15">
      <c r="W75" s="271"/>
    </row>
  </sheetData>
  <sheetProtection selectLockedCells="1" selectUnlockedCells="1"/>
  <mergeCells count="101">
    <mergeCell ref="B22:B28"/>
    <mergeCell ref="B1:D1"/>
    <mergeCell ref="F1:H1"/>
    <mergeCell ref="B5:B6"/>
    <mergeCell ref="D5:D6"/>
    <mergeCell ref="E5:I5"/>
    <mergeCell ref="E16:E17"/>
    <mergeCell ref="F16:F17"/>
    <mergeCell ref="G16:G17"/>
    <mergeCell ref="H16:H17"/>
    <mergeCell ref="S5:X5"/>
    <mergeCell ref="U8:U9"/>
    <mergeCell ref="U10:U11"/>
    <mergeCell ref="U12:U13"/>
    <mergeCell ref="U14:U15"/>
    <mergeCell ref="K5:K6"/>
    <mergeCell ref="L5:L6"/>
    <mergeCell ref="M5:M6"/>
    <mergeCell ref="N5:N6"/>
    <mergeCell ref="O5:O6"/>
    <mergeCell ref="L16:L17"/>
    <mergeCell ref="M16:M17"/>
    <mergeCell ref="N16:N17"/>
    <mergeCell ref="O16:O17"/>
    <mergeCell ref="P16:P17"/>
    <mergeCell ref="Q5:R5"/>
    <mergeCell ref="P5:P6"/>
    <mergeCell ref="Q16:Q17"/>
    <mergeCell ref="R16:R17"/>
    <mergeCell ref="B18:B19"/>
    <mergeCell ref="C18:C19"/>
    <mergeCell ref="D18:D19"/>
    <mergeCell ref="E18:E19"/>
    <mergeCell ref="F18:F19"/>
    <mergeCell ref="I16:I17"/>
    <mergeCell ref="G18:G19"/>
    <mergeCell ref="H18:H19"/>
    <mergeCell ref="I18:I19"/>
    <mergeCell ref="S16:S17"/>
    <mergeCell ref="T16:T17"/>
    <mergeCell ref="U16:U17"/>
    <mergeCell ref="P18:P19"/>
    <mergeCell ref="Q18:Q19"/>
    <mergeCell ref="R18:R19"/>
    <mergeCell ref="S18:S19"/>
    <mergeCell ref="T18:T19"/>
    <mergeCell ref="N18:N19"/>
    <mergeCell ref="U18:U19"/>
    <mergeCell ref="U20:U21"/>
    <mergeCell ref="C22:C28"/>
    <mergeCell ref="D22:D28"/>
    <mergeCell ref="R22:R23"/>
    <mergeCell ref="U22:U23"/>
    <mergeCell ref="S25:S26"/>
    <mergeCell ref="T25:T26"/>
    <mergeCell ref="U25:U26"/>
    <mergeCell ref="O18:O19"/>
    <mergeCell ref="W22:W28"/>
    <mergeCell ref="L25:L26"/>
    <mergeCell ref="M25:M26"/>
    <mergeCell ref="N25:N26"/>
    <mergeCell ref="O25:O26"/>
    <mergeCell ref="L18:L19"/>
    <mergeCell ref="M18:M19"/>
    <mergeCell ref="AL26:AL28"/>
    <mergeCell ref="U29:U30"/>
    <mergeCell ref="U31:U32"/>
    <mergeCell ref="U33:U34"/>
    <mergeCell ref="U46:U47"/>
    <mergeCell ref="C35:C36"/>
    <mergeCell ref="U35:U36"/>
    <mergeCell ref="P25:P26"/>
    <mergeCell ref="Q25:Q26"/>
    <mergeCell ref="R25:R26"/>
    <mergeCell ref="B62:B63"/>
    <mergeCell ref="C62:C63"/>
    <mergeCell ref="D62:D63"/>
    <mergeCell ref="E62:E63"/>
    <mergeCell ref="F62:F63"/>
    <mergeCell ref="X26:X28"/>
    <mergeCell ref="U62:U63"/>
    <mergeCell ref="U48:U49"/>
    <mergeCell ref="U50:U51"/>
    <mergeCell ref="U52:U53"/>
    <mergeCell ref="N62:N63"/>
    <mergeCell ref="S37:S38"/>
    <mergeCell ref="U37:U38"/>
    <mergeCell ref="U39:U40"/>
    <mergeCell ref="U41:U42"/>
    <mergeCell ref="U44:U45"/>
    <mergeCell ref="Q37:Q38"/>
    <mergeCell ref="O62:O63"/>
    <mergeCell ref="G62:G63"/>
    <mergeCell ref="H62:H63"/>
    <mergeCell ref="I62:I63"/>
    <mergeCell ref="U54:U55"/>
    <mergeCell ref="U56:U57"/>
    <mergeCell ref="U58:U59"/>
    <mergeCell ref="U60:U61"/>
    <mergeCell ref="L62:L63"/>
    <mergeCell ref="M62:M63"/>
  </mergeCells>
  <printOptions horizontalCentered="1"/>
  <pageMargins left="0.25" right="0.25" top="0.75" bottom="0.75" header="0.3" footer="0.3"/>
  <pageSetup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Drużbańska</dc:creator>
  <cp:keywords/>
  <dc:description/>
  <cp:lastModifiedBy>Urząd Miejski Głuchołazy</cp:lastModifiedBy>
  <cp:lastPrinted>2024-06-17T07:43:07Z</cp:lastPrinted>
  <dcterms:created xsi:type="dcterms:W3CDTF">2018-05-30T09:01:40Z</dcterms:created>
  <dcterms:modified xsi:type="dcterms:W3CDTF">2024-06-19T05:39:41Z</dcterms:modified>
  <cp:category/>
  <cp:version/>
  <cp:contentType/>
  <cp:contentStatus/>
</cp:coreProperties>
</file>