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ucyna\dobudowy, remonty\PRZETARG_DOTACJA\ZADANIE NR 2 _ wodociag w ul. Maczka_Podhalańska\"/>
    </mc:Choice>
  </mc:AlternateContent>
  <xr:revisionPtr revIDLastSave="0" documentId="13_ncr:1_{2356AB01-BB47-49E3-AB9C-5270C7F29DAC}" xr6:coauthVersionLast="47" xr6:coauthVersionMax="47" xr10:uidLastSave="{00000000-0000-0000-0000-000000000000}"/>
  <bookViews>
    <workbookView xWindow="-120" yWindow="-120" windowWidth="29040" windowHeight="15990" autoFilterDateGrouping="0" xr2:uid="{B2188F64-1669-45A0-AEC4-2D0EF79DD399}"/>
  </bookViews>
  <sheets>
    <sheet name="Przedmiar W1-W6" sheetId="1" r:id="rId1"/>
  </sheets>
  <definedNames>
    <definedName name="_xlnm.Print_Area" localSheetId="0">'Przedmiar W1-W6'!$A$1:$I$142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I140" i="1"/>
  <c r="I135" i="1"/>
  <c r="I127" i="1"/>
  <c r="I136" i="1"/>
  <c r="I81" i="1"/>
  <c r="I139" i="1"/>
  <c r="I138" i="1"/>
  <c r="I137" i="1"/>
  <c r="I134" i="1"/>
  <c r="I133" i="1"/>
  <c r="I132" i="1"/>
  <c r="I131" i="1"/>
  <c r="I130" i="1"/>
  <c r="I129" i="1"/>
  <c r="I126" i="1"/>
  <c r="I125" i="1"/>
  <c r="I124" i="1"/>
  <c r="I123" i="1"/>
  <c r="I122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7" i="1"/>
  <c r="I106" i="1"/>
  <c r="I105" i="1"/>
  <c r="I104" i="1"/>
  <c r="I103" i="1"/>
  <c r="I102" i="1"/>
  <c r="I100" i="1"/>
  <c r="I99" i="1"/>
  <c r="I98" i="1"/>
  <c r="I97" i="1"/>
  <c r="I96" i="1"/>
  <c r="I95" i="1"/>
  <c r="I94" i="1"/>
  <c r="I93" i="1"/>
  <c r="I92" i="1"/>
  <c r="I91" i="1"/>
  <c r="I90" i="1"/>
  <c r="I88" i="1"/>
  <c r="I87" i="1"/>
  <c r="I86" i="1"/>
  <c r="I85" i="1"/>
  <c r="I84" i="1"/>
  <c r="I83" i="1"/>
  <c r="I80" i="1"/>
  <c r="I79" i="1"/>
  <c r="I78" i="1"/>
  <c r="I77" i="1"/>
  <c r="I76" i="1"/>
  <c r="I75" i="1"/>
  <c r="I74" i="1"/>
  <c r="I73" i="1"/>
  <c r="I72" i="1"/>
  <c r="I71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4" i="1"/>
  <c r="I33" i="1"/>
  <c r="I32" i="1"/>
  <c r="I31" i="1"/>
  <c r="I30" i="1"/>
  <c r="I29" i="1"/>
  <c r="I28" i="1"/>
  <c r="I27" i="1"/>
  <c r="I26" i="1"/>
  <c r="I25" i="1"/>
  <c r="I24" i="1"/>
  <c r="I22" i="1"/>
  <c r="I21" i="1"/>
  <c r="I20" i="1"/>
  <c r="I19" i="1"/>
  <c r="I18" i="1"/>
  <c r="I17" i="1"/>
  <c r="I16" i="1"/>
  <c r="I14" i="1"/>
  <c r="I13" i="1"/>
  <c r="I12" i="1"/>
  <c r="I11" i="1"/>
  <c r="I10" i="1"/>
  <c r="I9" i="1"/>
  <c r="I8" i="1"/>
  <c r="I7" i="1"/>
  <c r="F45" i="1" l="1"/>
  <c r="F9" i="1" l="1"/>
  <c r="F13" i="1" s="1"/>
  <c r="F8" i="1"/>
  <c r="F11" i="1"/>
  <c r="F77" i="1" s="1"/>
  <c r="F16" i="1"/>
  <c r="F106" i="1" l="1"/>
  <c r="F100" i="1"/>
  <c r="F99" i="1"/>
  <c r="F95" i="1"/>
  <c r="F102" i="1"/>
  <c r="F93" i="1" s="1"/>
  <c r="F109" i="1"/>
  <c r="F94" i="1" s="1"/>
  <c r="F58" i="1"/>
  <c r="F7" i="1"/>
  <c r="F80" i="1"/>
  <c r="F59" i="1"/>
  <c r="F28" i="1"/>
  <c r="F22" i="1"/>
  <c r="F104" i="1" l="1"/>
  <c r="F18" i="1"/>
  <c r="F91" i="1"/>
  <c r="F17" i="1"/>
  <c r="F24" i="1"/>
  <c r="F20" i="1"/>
  <c r="F21" i="1"/>
  <c r="F126" i="1"/>
  <c r="F125" i="1"/>
  <c r="F122" i="1"/>
  <c r="F124" i="1" s="1"/>
  <c r="F116" i="1"/>
  <c r="F110" i="1"/>
  <c r="F118" i="1"/>
  <c r="F107" i="1"/>
  <c r="F84" i="1"/>
  <c r="F78" i="1"/>
  <c r="F63" i="1"/>
  <c r="F62" i="1"/>
  <c r="F36" i="1"/>
  <c r="F34" i="1"/>
  <c r="F29" i="1"/>
  <c r="F10" i="1"/>
  <c r="F90" i="1" l="1"/>
  <c r="F103" i="1"/>
  <c r="F64" i="1"/>
  <c r="F67" i="1"/>
  <c r="F85" i="1"/>
  <c r="I128" i="1"/>
  <c r="F14" i="1"/>
  <c r="F123" i="1"/>
  <c r="F119" i="1"/>
  <c r="F71" i="1"/>
  <c r="F86" i="1"/>
  <c r="I121" i="1" l="1"/>
  <c r="F25" i="1"/>
  <c r="I6" i="1"/>
  <c r="F66" i="1"/>
  <c r="F69" i="1"/>
  <c r="F68" i="1"/>
  <c r="F120" i="1"/>
  <c r="F75" i="1"/>
  <c r="F74" i="1"/>
  <c r="F76" i="1"/>
  <c r="F72" i="1"/>
  <c r="F87" i="1"/>
  <c r="F92" i="1"/>
  <c r="F27" i="1" l="1"/>
  <c r="F26" i="1" s="1"/>
  <c r="I35" i="1"/>
  <c r="F19" i="1"/>
  <c r="I108" i="1"/>
  <c r="F73" i="1"/>
  <c r="I82" i="1"/>
  <c r="I89" i="1"/>
  <c r="F105" i="1"/>
  <c r="I23" i="1" l="1"/>
  <c r="I70" i="1"/>
  <c r="I15" i="1"/>
  <c r="I101" i="1"/>
  <c r="I141" i="1" l="1"/>
  <c r="I142" i="1" s="1"/>
</calcChain>
</file>

<file path=xl/sharedStrings.xml><?xml version="1.0" encoding="utf-8"?>
<sst xmlns="http://schemas.openxmlformats.org/spreadsheetml/2006/main" count="545" uniqueCount="357">
  <si>
    <t/>
  </si>
  <si>
    <t>Podstawa</t>
  </si>
  <si>
    <t>Opis</t>
  </si>
  <si>
    <t>Jedn.</t>
  </si>
  <si>
    <t>Ilość</t>
  </si>
  <si>
    <t>Krotn.</t>
  </si>
  <si>
    <t>1</t>
  </si>
  <si>
    <t>Grupa</t>
  </si>
  <si>
    <t>1.1</t>
  </si>
  <si>
    <t>Remont  sieci wodociagowej</t>
  </si>
  <si>
    <t>Element</t>
  </si>
  <si>
    <t>1.1.1</t>
  </si>
  <si>
    <t>KNKRB 6/806/2</t>
  </si>
  <si>
    <t>m</t>
  </si>
  <si>
    <t>Rozebranie krawężników betonowych podsypka cementowo - piask.+ obrzeża pod krawężniki</t>
  </si>
  <si>
    <t>m2</t>
  </si>
  <si>
    <t>KNR 231/803/4</t>
  </si>
  <si>
    <t>Rozebranie nawierzchni z mieszanek mineralno-bitumicznych, mechanicznie, dodatek za każdy dalszy 1 cm (5 cm)</t>
  </si>
  <si>
    <t>KNR 231/804/3</t>
  </si>
  <si>
    <t>Rozebranie nawierzchni, z tłucznia mechanicznie, grubość nawierzchni 15·cm</t>
  </si>
  <si>
    <t>KNR 231/805/1</t>
  </si>
  <si>
    <t>Rozebranie nawierzchni z kostki kamiennej nieregularnej, na podsypce piaskowej, ręcznie, wysokość kostki 8·cm</t>
  </si>
  <si>
    <t>KNR 231/801/3</t>
  </si>
  <si>
    <t>Rozebranie podbudowy, betonowej mechanicznie, grubość 12·cm</t>
  </si>
  <si>
    <t>KNR 404/1103/4</t>
  </si>
  <si>
    <t>m3</t>
  </si>
  <si>
    <t>Wywiezienie gruzu z terenu rozbiórki przy mechanicznym załadowaniu i wyładowaniu, transport samochodem samowyładowczym na odległość 1 km</t>
  </si>
  <si>
    <t>KNR 404/1103/5</t>
  </si>
  <si>
    <t>Wywiezienie gruzu z terenu rozbiórki przy mechanicznym załadowaniu i wyładowaniu, nakłądy uzupełniające na każdy dalszy rozpoczęty 1·km ponad 1·km transportu do 3-ch km</t>
  </si>
  <si>
    <t>1.1.2</t>
  </si>
  <si>
    <t>Wykopy SST.0.00, SST.2.00</t>
  </si>
  <si>
    <t>KNNR 1/111/2</t>
  </si>
  <si>
    <t>km</t>
  </si>
  <si>
    <t>Roboty pomiarowe przy liniowych robotach ziemnych, trasa dróg w terenie pagórkowatym lub górskim</t>
  </si>
  <si>
    <t>KNNR 1/210/3 (2)</t>
  </si>
  <si>
    <t>Wykopy oraz przekopy wykonywane na odkład koparkami podsiębiernymi, koparka 0,25-0,60, głębokość do 3·m, kategoria gruntu III-IV</t>
  </si>
  <si>
    <t>KNNR 1/202/6</t>
  </si>
  <si>
    <t>Roboty ziemne wykonywane koparkami podsiębiernymi, z transportem urobku samochodami samowyładowczymi na odległość do 1·km, koparka 0,40 m3, kategoria  gruntu III-IV</t>
  </si>
  <si>
    <t>KNNR 1/208/2 (1)</t>
  </si>
  <si>
    <t>Nakłady uzupełniające do tablic za każdy dalszy rozpoczęty 1 km odległości transportu ponad 1 km samochodami samowyładowczymi, drogi o nawierzchni utwardzonej, kategoria  gruntu I-IV, samochód do 5·t do 3-ch km</t>
  </si>
  <si>
    <t>KNNR 1/307/4</t>
  </si>
  <si>
    <t>Wykopy liniowe szerokości 0,8-2,5·m o ścianach pionowych z ręcznym wydobyciem urobku w gruntach suchych, głębokości do 3,0·m, kategoria gruntu III-IV 20%</t>
  </si>
  <si>
    <t>KNNR 1/313/1</t>
  </si>
  <si>
    <t>Umocnienie ścian wykopów wraz z rozbiórką palami szalunkowymi stalowymi (wypraskami) w gruntach suchych, szerokość do 1·m, umocnienie pełne w gruncie kategorii I-IV, głębokość do 3·m - szalunki stalowe</t>
  </si>
  <si>
    <t>KNNR 11/501/5 (1)</t>
  </si>
  <si>
    <t>Podłoża i obsypki z kruszyw naturalnych dowiezionych,pospóla wymiana gruntu</t>
  </si>
  <si>
    <t>1.1.3</t>
  </si>
  <si>
    <t>Zasypki, podsypki i obsypki SST 0.00 ,SST 2.00</t>
  </si>
  <si>
    <t>KNR 228/501/9 (1)</t>
  </si>
  <si>
    <t>Podsypka,obsypka rurociągu kruszywem dowiezionym, piasek</t>
  </si>
  <si>
    <t>KNR 201/320/5 (1)</t>
  </si>
  <si>
    <t>Ręczne zasypywanie wykopów liniowych o ścianach pionowych, głębokość do 3.0·m, kategoria gruntu III-IV, szerokość wykopu 0.8-1.5·m</t>
  </si>
  <si>
    <t>KNR 201/236/2</t>
  </si>
  <si>
    <t>Zagęszczanie nasypów, ubijakami mechanicznymi, grunt spoisty kategorii III-IV</t>
  </si>
  <si>
    <t>KNR 201/230/1 (1)</t>
  </si>
  <si>
    <t>Zasypywanie wykopów spycharkami, przemieszczanie na odległość do 10·m, grunt kategorii I-III, spycharka 55·kW (75·KM)</t>
  </si>
  <si>
    <t>KNR 201/505/1</t>
  </si>
  <si>
    <t>Plantowanie powierzchni gruntu rodzimego, ręczne, kategoria gruntu I-III</t>
  </si>
  <si>
    <t>KNR 221/404/1</t>
  </si>
  <si>
    <t>ha</t>
  </si>
  <si>
    <t>Wykonanie trawników parkowych siewem, bez nawożenia, kategoria gruntu I-II   (R=  0,955, M=  1,000, S=  1,000)</t>
  </si>
  <si>
    <t>KNRW 218/903/1</t>
  </si>
  <si>
    <t>kpl</t>
  </si>
  <si>
    <t>Montaż i demontaż konstrukcji podwieszeń rurociągów i kanałów, montaż: rozpiętość 4,0·m</t>
  </si>
  <si>
    <t>KNRW 218/903/6</t>
  </si>
  <si>
    <t>Montaż i demontaż konstrukcji podwieszeń rurociągów i kanałów, demontaż: rozpiętość 4,0·m</t>
  </si>
  <si>
    <t>KNRW 218/901/1</t>
  </si>
  <si>
    <t>Montaż i demontaż konstrukcji podwieszeń kabli energetycznych i telekomunikacyjnych, typ lekki, montaż: rozpiętość 4,0·m</t>
  </si>
  <si>
    <t>KNRW 218/901/6</t>
  </si>
  <si>
    <t>Montaż i demontaż konstrukcji podwieszeń kabli energetycznych i telekomunikacyjnych, typ lekki, demontaż: rozpiętość 4,0·m</t>
  </si>
  <si>
    <t>KNNR 5/113/1</t>
  </si>
  <si>
    <t>Rury ochronne, z PVC, do Fi 80·mm -zabzpieczenie kabli rurami Arota</t>
  </si>
  <si>
    <t>1.1.4</t>
  </si>
  <si>
    <t>KNNR 8/107/2</t>
  </si>
  <si>
    <t>Demontaż rurociągu żeliwnego ciśnieniowego kielichowego (uszczelnienie folią aluminiową), w wykopie, Fi·100·mm</t>
  </si>
  <si>
    <t>KNNR 8/120/2</t>
  </si>
  <si>
    <t>szt</t>
  </si>
  <si>
    <t>Demontaż zasuwy żeliwnej w wykopie, zasuwa kielichowa, Fi·100·,150 mm, hydrantu analogia</t>
  </si>
  <si>
    <t>Kalkulacja indywidualna</t>
  </si>
  <si>
    <t>KNNR 4/1112/3 (2)</t>
  </si>
  <si>
    <t>Zasuwa typu "E" kołnierzowa z obudową montowana na rurociągach PVC i PE, Fi·150·mm</t>
  </si>
  <si>
    <t>KNNR 4/1112/2 (2)</t>
  </si>
  <si>
    <t>Zasuwa typu "E" kołnierzowa z obudową montowana na rurociągach PVC i PE, Fi·100·mm</t>
  </si>
  <si>
    <t>KNNR 4/1112/2 (1)</t>
  </si>
  <si>
    <t>KNNR 4/1009/7 (1)</t>
  </si>
  <si>
    <t>Montaż rurociągów z rur polietylenowych (PE, PEHD), Fi·160·mm (wzmocnione RC,TS)</t>
  </si>
  <si>
    <t>KNNR 4/1009/4 (1)</t>
  </si>
  <si>
    <t>Montaż rurociągów z rur polietylenowych (PE, PEHD), Fi·110·mm PN 16 (wzmocnione RC,TS)</t>
  </si>
  <si>
    <t>KNNR 4/1014/4</t>
  </si>
  <si>
    <t>KNNR 4/1014/3</t>
  </si>
  <si>
    <t>KNR 228/305/4 (8)</t>
  </si>
  <si>
    <t>Kształtki PE na rurociągach PE, Fi·160·mm, trójniki 160/160/90</t>
  </si>
  <si>
    <t>KNR 228/305/3 (8)</t>
  </si>
  <si>
    <t>KNR 228/305/4 (3)</t>
  </si>
  <si>
    <t>KNR 228/305/4 (1)</t>
  </si>
  <si>
    <t>KNR 228/305/3 (1)</t>
  </si>
  <si>
    <t>KNR 228/305/2 (1)</t>
  </si>
  <si>
    <t>KNR 228/305/3 (4)</t>
  </si>
  <si>
    <t>Kształtki PE na rurociągach PE, Fi·110·mm, łuki 30°</t>
  </si>
  <si>
    <t>KNR 228/305/4 (2)</t>
  </si>
  <si>
    <t>KNNR 4/1010/7 (2)</t>
  </si>
  <si>
    <t>złącze</t>
  </si>
  <si>
    <t>Połączenie rur polietylenowych, ciśnieniowych PE, PEHD metodą zgrzewania czołowego, Fi 160·mm, z agregatem</t>
  </si>
  <si>
    <t>KNNR 4/1010/4 (2)</t>
  </si>
  <si>
    <t>Połączenie rur polietylenowych, ciśnieniowych PE, PEHD metodą zgrzewania czołowego, Fi 110·mm, z agregatem</t>
  </si>
  <si>
    <t>mb</t>
  </si>
  <si>
    <t>koszt przewiertu sterowanego dla rury DN 110  bez kosztu rury</t>
  </si>
  <si>
    <t>KNNR 4/1119/1</t>
  </si>
  <si>
    <t>Hydranty pożarowe i zdroje uliczne, podziemne Fi·80·mm</t>
  </si>
  <si>
    <t>KNNR 4/1119/3</t>
  </si>
  <si>
    <t>Hydranty pożarowe i zdroje uliczne, nadziemne Fi·80·mm</t>
  </si>
  <si>
    <t>KNNR 4/1407/1</t>
  </si>
  <si>
    <t>Deskowanie ław fundamentowych anlogia deskowanie bloków oprowych</t>
  </si>
  <si>
    <t>KNNR 4/1408/1</t>
  </si>
  <si>
    <t>Układanie mieszanki betonowej w konstrukcjach, ręcznie, transport japonkami: ławy, bloki oporowe</t>
  </si>
  <si>
    <t>KNR 219/219/1</t>
  </si>
  <si>
    <t>Oznakowanie trasy wodociagu  ułożonego w ziemi taśmą z tworzywa sztucznego z wkłądką metalową   (R=  0,955, M=  1,000, S=  1,000)</t>
  </si>
  <si>
    <t>KNR 228/315/2</t>
  </si>
  <si>
    <t>Oznakowanie trasy rurociągu tabliczkami, na słupku betonowym</t>
  </si>
  <si>
    <t>KNNR 4/1612/1</t>
  </si>
  <si>
    <t>odcinek</t>
  </si>
  <si>
    <t>Jednokrotne płukanie sieci wodociągowej, (rurociąg 200·m) Dn·do 150·mm</t>
  </si>
  <si>
    <t>KNNR 4/1611/1</t>
  </si>
  <si>
    <t>Dezynfekcja rurociągów sieci wodociągowej, (rurociąg 200·m) Dn·do 150·mm</t>
  </si>
  <si>
    <t>KNNR 4/1606/2</t>
  </si>
  <si>
    <t>próba</t>
  </si>
  <si>
    <t>Próba wodna szczelności sieci wodociągowych z rur typu HOBAS, PCW, PVC, PE, PEHD, (rurociąg 200·m) Dn·160·mm</t>
  </si>
  <si>
    <t>KNNR 4/1606/1</t>
  </si>
  <si>
    <t>Próba wodna szczelności sieci wodociągowych z rur typu HOBAS, PCW, PVC, PE, PEHD, (rurociąg 200·m) Dn·90-110·mm</t>
  </si>
  <si>
    <t>1.1.5</t>
  </si>
  <si>
    <t>Odtworzenie nawierzchni SST.0.00, SST4.00</t>
  </si>
  <si>
    <t>KNR 231/102/1</t>
  </si>
  <si>
    <t>Koryta wykonywane na poszerzeniach, na jezdniach, grunt kategorii II-IV, głębokość 10·cm</t>
  </si>
  <si>
    <t>KNR 231/114/1</t>
  </si>
  <si>
    <t>Podbudowy z kruszyw, pospółka, warstwa dolna, grubość warstwy po zagęszczeniu 20·cm</t>
  </si>
  <si>
    <t>KNR 231/114/2</t>
  </si>
  <si>
    <t>Podbudowy z kruszyw, pospółka, warstwa dolna, dodatek za każdy dalszy 1·cm grubości do 30cm</t>
  </si>
  <si>
    <t>KNR 231/312/2</t>
  </si>
  <si>
    <t>Nawierzchnie z mieszanek mineralno-bitumicznych żwirowo-piaskowych, warstwa asfaltowa wiążąca, dodatek za każdy dalszy 1·cm do 6-ciu cm</t>
  </si>
  <si>
    <t>KNR 231/312/5</t>
  </si>
  <si>
    <t>Nawierzchnie z mieszanek mineralno-bitumicznych żwirowo-piaskowych, warstwa asfaltowa ścieralna, grubości 3·cm</t>
  </si>
  <si>
    <t>KNR 231/312/6</t>
  </si>
  <si>
    <t>Nawierzchnie z mieszanek mineralno-bitumicznych żwirowo-piaskowych, warstwa asfaltowa ścieralna, dodatek za każdy dalszy 1·cm do 6-ciu cm</t>
  </si>
  <si>
    <t>KNR 231/301/1</t>
  </si>
  <si>
    <t>Nawierzchnie z kostki kamiennej na podsypce żwirowej, kostka rzędowa wysokości 8·cm, na podsypce istniejącej 80% z odzysku analogia</t>
  </si>
  <si>
    <t>KNR 231/308/1</t>
  </si>
  <si>
    <t>Nawierzchnie betonowe, warstwa dolna, grubości 12·cm do20 cm</t>
  </si>
  <si>
    <t>KNR 231/403/4</t>
  </si>
  <si>
    <t>Krawężniki betonowe, wystające 20x30·cm na podsypce cementowo-piaskowej</t>
  </si>
  <si>
    <t>KNR 231/407/1</t>
  </si>
  <si>
    <t>Obrzeża betonowe, 20x6·cm na podsypce piaskowej z wypełnieniem spoin zaprawą cementową</t>
  </si>
  <si>
    <t>2.1.1</t>
  </si>
  <si>
    <t>Rozebranie krawężników betonowych podsypka cementowo - piask.,obrzeża pod krawężniki</t>
  </si>
  <si>
    <t>KNNR 6/802/1</t>
  </si>
  <si>
    <t>Rozebranie nawierzchni, tłuczeń grubość 15·cm, ręcznie</t>
  </si>
  <si>
    <t>Przejscia pod zywopłotamii i przeszkodami - metodą podkopu</t>
  </si>
  <si>
    <t>2.1.2</t>
  </si>
  <si>
    <t>Nakłady uzupełniające do tablic za każdy dalszy rozpoczęty 1 km odległości transportu ponad 1 km samochodami samowyładowczymi, drogi o nawierzchni utwardzonej, kategoria  gruntu I-IV, samochód do 5·t do 2-ch km</t>
  </si>
  <si>
    <t>KNNR 1/210/3 (1)</t>
  </si>
  <si>
    <t>Wykopy oraz przekopy wykonywane na odkład koparkami podsiębiernymi, koparka 0,25-0,60, głębokość do 3·m, kategoria gruntu III-IV 80%</t>
  </si>
  <si>
    <t>Wykopy liniowe szerokości 0,8-2,5·m o ścianach pionowych z ręcznym wydobyciem urobku w gruntach suchych, głębokości do 3,0·m, kategoria gruntu III-IV -20%</t>
  </si>
  <si>
    <t>Rury ochronne, z PVC, do Fi 80·mm analogia zabezpieczenie kabli rurami arota</t>
  </si>
  <si>
    <t>2.1.3</t>
  </si>
  <si>
    <t>KNR 201/230/2 (2)</t>
  </si>
  <si>
    <t>Zasypywanie wykopów spycharkami, przemieszczanie na odległość do 10·m, grunt kategorii IV, spycharka 74·kW (100·KM)</t>
  </si>
  <si>
    <t>2.1.4</t>
  </si>
  <si>
    <t>KNR 218/907/2</t>
  </si>
  <si>
    <t>Przyłącze wodociągowe z rur ciśnieniowych PE łączonych metodą zgrzewania, Fi·90·mm - analogia DN 75</t>
  </si>
  <si>
    <t>KNNR 4/111/7 (2)</t>
  </si>
  <si>
    <t>Rurociągi z tworzyw sztucznych (PP, PE, PB) o połączeniach zgrzewanych na ścianach w budynkach mieszkalnych, Fi_zew. 75·mm</t>
  </si>
  <si>
    <t>KNNR 4/1011/2 (2)</t>
  </si>
  <si>
    <t>Połączenie rur polietylenowych, ciśnieniowych za pomocą kształtek elektrooporowych, kształtka PE-HD, 75·mm</t>
  </si>
  <si>
    <t>KNNR 4/1702/2 (1)</t>
  </si>
  <si>
    <t>Nasady rurowe (opaski) montowane na istniejących rurociągach, rurociągi Fi·100·mm,analogia DN 100,90mm</t>
  </si>
  <si>
    <t>Zasuwa typu "E" kołnierzowa z obudową montowana na rurociągach PVC i PE, Fi·80·mm analogia DN 75</t>
  </si>
  <si>
    <t>KNR 401/208/12</t>
  </si>
  <si>
    <t>Przebicie otworów w elementach z betonu o powierzchni do 0,05·m2, beton żużlowy, grubość do 40·cm</t>
  </si>
  <si>
    <t>KNR 401/206/2</t>
  </si>
  <si>
    <t>Zabetonowanie otworów w stropach i ścianach, otwory do 0,1·m2, głębokość ponad 10·cm</t>
  </si>
  <si>
    <t>KNR 218/802/1 (2)</t>
  </si>
  <si>
    <t>Próba szczelności sieci wodociągowych, rurociąg do Dn·100·mm, rury PVC (odcinek 200·m) DN 75</t>
  </si>
  <si>
    <t>2.1.5</t>
  </si>
  <si>
    <t>Koryta wykonywane na poszerzeniach, na jezdniach, grunt kategorii II-IV, głębokość 10·cm do 20cm</t>
  </si>
  <si>
    <t>3</t>
  </si>
  <si>
    <t>3.1</t>
  </si>
  <si>
    <t>Roboty budowlano - montażowe SST 0.00, SST 3.00</t>
  </si>
  <si>
    <t>3.1.1</t>
  </si>
  <si>
    <t>Kształtki PE na rurociągach PE, Fi·160·mm, kolana 90° PE SDR 11</t>
  </si>
  <si>
    <t>3.1.2</t>
  </si>
  <si>
    <t>Kształtki PE na rurociągach PE, Fi·160·mm, kolana 45° analogia redukcja DN 1160/110 PE SDR 11</t>
  </si>
  <si>
    <t>3.1.3</t>
  </si>
  <si>
    <t>Kształtki PE na rurociągach PE, Fi·110·mm,analogia tuleja kołnierzowa do rur PE DN 110 z kołnierzem stalowym</t>
  </si>
  <si>
    <t>3.1.4</t>
  </si>
  <si>
    <t>kpl.</t>
  </si>
  <si>
    <t>Koszt przesuniecia zestawu hydroforowego wraz z zasilaniem hydroforu</t>
  </si>
  <si>
    <t>3.1.5</t>
  </si>
  <si>
    <t>3.1.6</t>
  </si>
  <si>
    <t>4</t>
  </si>
  <si>
    <t>4.1</t>
  </si>
  <si>
    <t>4.1.1</t>
  </si>
  <si>
    <t>Koszt pomiarów geodezyjnych</t>
  </si>
  <si>
    <t>4.1.2</t>
  </si>
  <si>
    <t>koszt dostarczenia wody na czas prowadzenia robót , baypasy, powiadomienie mieszkanców</t>
  </si>
  <si>
    <t>4.1.3</t>
  </si>
  <si>
    <t>Organizacja ruchu i zajecie pasa drogowego</t>
  </si>
  <si>
    <t>xxx</t>
  </si>
  <si>
    <t>KNNR 5/721/1</t>
  </si>
  <si>
    <t>Cięcie nawierzchni mechanicznie, z mas mineralno-asfaltowych, głębokość 5·cm</t>
  </si>
  <si>
    <t>kalkulacja
indywidualna</t>
  </si>
  <si>
    <t>Spięcie nowego odcinka sieci zDN160  z istniejącą siecią w wężle W2</t>
  </si>
  <si>
    <t>Przepięcie istniejącego hydrantu na nowy odcinek sieci DN110</t>
  </si>
  <si>
    <t>Rozbiórka elementów dróg i ulic</t>
  </si>
  <si>
    <t>Wymiana przyłączy wodociągowych</t>
  </si>
  <si>
    <t>wartość
/zł/</t>
  </si>
  <si>
    <r>
      <t xml:space="preserve">Kształtki PE na rurociągach PE, Fi·160·mm, kolana 45° </t>
    </r>
    <r>
      <rPr>
        <b/>
        <sz val="11"/>
        <color rgb="FF000000"/>
        <rFont val="Calibri"/>
        <family val="2"/>
        <charset val="238"/>
      </rPr>
      <t xml:space="preserve">analogia </t>
    </r>
    <r>
      <rPr>
        <sz val="11"/>
        <color indexed="8"/>
        <rFont val="Calibri"/>
        <family val="2"/>
      </rPr>
      <t>tuleja kołnierzowa do rur PE DN 160 z kołnierzem stalowym</t>
    </r>
  </si>
  <si>
    <r>
      <t xml:space="preserve">Kształtki PE na rurociągach PE, Fi·110·mm, kolana 45° </t>
    </r>
    <r>
      <rPr>
        <b/>
        <sz val="11"/>
        <color rgb="FF000000"/>
        <rFont val="Calibri"/>
        <family val="2"/>
        <charset val="238"/>
      </rPr>
      <t>anlogia</t>
    </r>
    <r>
      <rPr>
        <sz val="11"/>
        <color indexed="8"/>
        <rFont val="Calibri"/>
        <family val="2"/>
      </rPr>
      <t xml:space="preserve"> tuleja kołnierzowa do rur PE DN 110 z kołnierzem stalowym</t>
    </r>
  </si>
  <si>
    <r>
      <t xml:space="preserve">Kształtki żeliwne ciśnieniowe kołnierzowe, Fi·150·mm- </t>
    </r>
    <r>
      <rPr>
        <b/>
        <sz val="11"/>
        <color rgb="FF000000"/>
        <rFont val="Calibri"/>
        <family val="2"/>
        <charset val="238"/>
      </rPr>
      <t>analogia</t>
    </r>
    <r>
      <rPr>
        <sz val="11"/>
        <color indexed="8"/>
        <rFont val="Calibri"/>
        <family val="2"/>
      </rPr>
      <t xml:space="preserve"> trójnik równo-przelotowy 150/150/150</t>
    </r>
  </si>
  <si>
    <t xml:space="preserve">Kształtki PE na rurociągach PE, Fi·160·mm, kolana 90° </t>
  </si>
  <si>
    <t xml:space="preserve">Przyłącza wodociagowe - roboty montażowe </t>
  </si>
  <si>
    <t xml:space="preserve">Zasypki, podsypki i obsypki </t>
  </si>
  <si>
    <t>1.1.6</t>
  </si>
  <si>
    <t>1.1.7</t>
  </si>
  <si>
    <t>1.2.1</t>
  </si>
  <si>
    <t>1.2</t>
  </si>
  <si>
    <t>1.2.2</t>
  </si>
  <si>
    <t>1.2.3</t>
  </si>
  <si>
    <t>1.2.4</t>
  </si>
  <si>
    <t>1.2.5</t>
  </si>
  <si>
    <t>1.2.6</t>
  </si>
  <si>
    <t>1.2.7</t>
  </si>
  <si>
    <t>1.3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</si>
  <si>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</si>
  <si>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</si>
  <si>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</si>
  <si>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</si>
  <si>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</si>
  <si>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</si>
  <si>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</si>
  <si>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</si>
  <si>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</si>
  <si>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</si>
  <si>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</si>
  <si>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</si>
  <si>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</si>
  <si>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</si>
  <si>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</si>
  <si>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</si>
  <si>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</si>
  <si>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</si>
  <si>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</si>
  <si>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</si>
  <si>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</si>
  <si>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</si>
  <si>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</si>
  <si>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</si>
  <si>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</si>
  <si>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</si>
  <si>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</si>
  <si>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</si>
  <si>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</si>
  <si>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</si>
  <si>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</si>
  <si>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</si>
  <si>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</si>
  <si>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</si>
  <si>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</si>
  <si>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</si>
  <si>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</si>
  <si>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</si>
  <si>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</si>
  <si>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</si>
  <si>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</si>
  <si>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</si>
  <si>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1.5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</si>
  <si>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</si>
  <si>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</si>
  <si>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</si>
  <si>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</si>
  <si>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</si>
  <si>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</si>
  <si>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</si>
  <si>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</si>
  <si>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2.</t>
  </si>
  <si>
    <t>2.1.</t>
  </si>
  <si>
    <t>2.2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</si>
  <si>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</si>
  <si>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</si>
  <si>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</si>
  <si>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</si>
  <si>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</si>
  <si>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</si>
  <si>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</si>
  <si>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</si>
  <si>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</si>
  <si>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</si>
  <si>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</si>
  <si>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2.3</t>
  </si>
  <si>
    <t>2.3.1</t>
  </si>
  <si>
    <t>2.3.2</t>
  </si>
  <si>
    <t>2.3.3</t>
  </si>
  <si>
    <t>2.3.4</t>
  </si>
  <si>
    <t>2.3.5</t>
  </si>
  <si>
    <t>2.3.6</t>
  </si>
  <si>
    <t>2.4</t>
  </si>
  <si>
    <t>2.4.1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</si>
  <si>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</si>
  <si>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</si>
  <si>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</si>
  <si>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</si>
  <si>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</si>
  <si>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</si>
  <si>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</si>
  <si>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</si>
  <si>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2.4.11</t>
  </si>
  <si>
    <t>2.4.12</t>
  </si>
  <si>
    <t>2.4.13</t>
  </si>
  <si>
    <t>2.5</t>
  </si>
  <si>
    <t>2.5.1</t>
  </si>
  <si>
    <t>2.5.2</t>
  </si>
  <si>
    <t>2.5.3</t>
  </si>
  <si>
    <t>2.5.4</t>
  </si>
  <si>
    <t>2.5.5</t>
  </si>
  <si>
    <t xml:space="preserve">GRUPA </t>
  </si>
  <si>
    <t>Hydrofornia</t>
  </si>
  <si>
    <t>Geodezja + koszt zabezpieczenia wod na czas robót</t>
  </si>
  <si>
    <t xml:space="preserve">Odtworzenie nawierzchni </t>
  </si>
  <si>
    <t>Roboty towarzyszące</t>
  </si>
  <si>
    <t xml:space="preserve">Rozbiórka elementów dróg i ulic </t>
  </si>
  <si>
    <t xml:space="preserve">Sieci wodociągowe </t>
  </si>
  <si>
    <t>WARTOŚĆ KOSZTORYSU NETTO</t>
  </si>
  <si>
    <t>PODATEK VAT 23%</t>
  </si>
  <si>
    <t>WARTOŚĆ KOSZTORYSU BRUTTO</t>
  </si>
  <si>
    <t>Kształtki PE na rurociągach PE, Fi·110·mm, trójniki 110/110/90 (110)</t>
  </si>
  <si>
    <t>KNNR 4/1112/1 (1)</t>
  </si>
  <si>
    <t>1.4.31</t>
  </si>
  <si>
    <t>1.1.8</t>
  </si>
  <si>
    <t>Wywiezienie gruzu z terenu rozbiórki przy mechanicznym załadowaniu i wyładowaniu, nakłądy uzupełniające na każdy dalszy rozpoczęty 1·km ponad 1·km transportu krotność 4</t>
  </si>
  <si>
    <t>2.1.6</t>
  </si>
  <si>
    <t>lp</t>
  </si>
  <si>
    <t>Kształtki żeliwne ciśnieniowe kołnierzowe, Fi·100·mm - analogia trójnik równo przelotowy 110/110/110</t>
  </si>
  <si>
    <t>1.4.32</t>
  </si>
  <si>
    <t>1.5.9</t>
  </si>
  <si>
    <t>1.5.10</t>
  </si>
  <si>
    <t>PRZEDMIAR ROBÓT</t>
  </si>
  <si>
    <t>Spięcie nowego odcinka sieci zDN110  z istniejącą siecią w wężle  W6</t>
  </si>
  <si>
    <t>Zasuwa typu "E" kołnierzowa z obudową montowana na rurociągach PVC i PE, Fi·80·mm</t>
  </si>
  <si>
    <t xml:space="preserve">KNR 228/305/4 (8) </t>
  </si>
  <si>
    <t xml:space="preserve"> Kształtki PE na rurociągach PE, Fi·160·mm, trójniki 160/160/90(110)</t>
  </si>
  <si>
    <t>1.4.33</t>
  </si>
  <si>
    <r>
      <t xml:space="preserve">Kształtki PE na rurociągach PE, Fi·160·mm, łuki 15° - </t>
    </r>
    <r>
      <rPr>
        <b/>
        <sz val="11"/>
        <color rgb="FF000000"/>
        <rFont val="Calibri"/>
        <family val="2"/>
        <charset val="238"/>
      </rPr>
      <t xml:space="preserve">analogia </t>
    </r>
    <r>
      <rPr>
        <sz val="11"/>
        <color indexed="8"/>
        <rFont val="Calibri"/>
        <family val="2"/>
      </rPr>
      <t>redukcja 150/100</t>
    </r>
  </si>
  <si>
    <t>KNR 228/305/2 (1)</t>
  </si>
  <si>
    <t>Kształtki PE na rurociągach PE, Fi·90·mm, kolana 45° - analogia tuleja kołnierzowa do rurPE Dn 90 z kołnierzem stalowym</t>
  </si>
  <si>
    <t>1.4.34</t>
  </si>
  <si>
    <t>Podsypka+obsypka  rurociągu kruszywem dowiezionym, piasek</t>
  </si>
  <si>
    <t>Kształtki PE na rurociągach PE, Fi·90·mm, kolana 45° - analogia redukcja 90/75</t>
  </si>
  <si>
    <t xml:space="preserve">Wymiana sieci wodociągowej na os.gen. Maczka  oraz  ul.Podhalańskiej
pomiędzy węzłami W1-W6 </t>
  </si>
  <si>
    <t>Cena jedn. z krotnością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</si>
</sst>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0"/>
      <name val="Arial"/>
    </font>
    <font>
      <sz val="11"/>
      <color indexed="8"/>
      <name val="Calibri"/>
      <family val="2"/>
    </font>
    <font>
      <b/>
      <sz val="10"/>
      <name val="Calibri"/>
      <family val="2"/>
      <charset val="238"/>
    </font>
    <font>
      <b/>
      <sz val="16"/>
      <name val="Calibri"/>
      <family val="2"/>
    </font>
    <font>
      <sz val="16"/>
      <name val="Calibri"/>
      <family val="2"/>
    </font>
    <font>
      <b/>
      <sz val="9"/>
      <name val="Calibri"/>
      <family val="2"/>
    </font>
    <font>
      <sz val="10"/>
      <name val="Calibri"/>
      <family val="2"/>
    </font>
    <font>
      <b/>
      <sz val="8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  <charset val="238"/>
    </font>
    <font>
      <sz val="8"/>
      <name val="Arial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9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Alignment="0"/>
    <xf numFmtId="0" fontId="15" fillId="0" borderId="0" applyAlignment="0"/>
  </cellStyleXfs>
  <cellXfs count="44">
    <xf numFmtId="0" fontId="0" fillId="0" borderId="0" xfId="0" applyAlignment="1"/>
    <xf numFmtId="0" fontId="4" fillId="0" borderId="0" xfId="0" applyFont="1" applyAlignment="1">
      <alignment vertical="center"/>
    </xf>
    <xf numFmtId="0" fontId="6" fillId="0" borderId="0" xfId="0" applyFont="1" applyAlignment="1"/>
    <xf numFmtId="2" fontId="6" fillId="0" borderId="0" xfId="0" applyNumberFormat="1" applyFont="1" applyAlignment="1"/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/>
    <xf numFmtId="4" fontId="6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/>
    <xf numFmtId="2" fontId="1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/>
    <xf numFmtId="2" fontId="14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/>
    <xf numFmtId="2" fontId="9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 applyProtection="1">
      <alignment vertical="center"/>
      <protection locked="0"/>
    </xf>
    <xf numFmtId="4" fontId="13" fillId="0" borderId="1" xfId="0" applyNumberFormat="1" applyFont="1" applyBorder="1" applyAlignment="1" applyProtection="1">
      <alignment vertical="center"/>
      <protection locked="0"/>
    </xf>
    <xf numFmtId="4" fontId="8" fillId="0" borderId="1" xfId="0" applyNumberFormat="1" applyFont="1" applyBorder="1" applyAlignment="1" applyProtection="1">
      <alignment vertical="center"/>
      <protection locked="0"/>
    </xf>
    <xf numFmtId="4" fontId="2" fillId="0" borderId="1" xfId="0" applyNumberFormat="1" applyFont="1" applyBorder="1" applyAlignment="1" applyProtection="1">
      <alignment vertical="center"/>
      <protection locked="0"/>
    </xf>
    <xf numFmtId="4" fontId="17" fillId="0" borderId="1" xfId="0" applyNumberFormat="1" applyFont="1" applyBorder="1" applyAlignment="1" applyProtection="1">
      <alignment horizontal="center" vertical="center" wrapText="1"/>
      <protection locked="0"/>
    </xf>
    <xf numFmtId="4" fontId="16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2">
    <cellStyle name="Normalny" xfId="0" builtinId="0"/>
    <cellStyle name="Normalny 2" xfId="1" xr:uid="{9FF40C38-FEFE-4D9C-A3BA-42E6856978C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0370A-086A-4E78-8BB0-32817B8FA85A}">
  <sheetPr>
    <pageSetUpPr fitToPage="1"/>
  </sheetPr>
  <dimension ref="A1:O142"/>
  <sheetViews>
    <sheetView tabSelected="1" topLeftCell="C6" zoomScaleNormal="100" workbookViewId="0">
      <selection activeCell="I6" sqref="I6"/>
    </sheetView>
  </sheetViews>
  <sheetFormatPr defaultRowHeight="12.75" customHeight="1" x14ac:dyDescent="0.2"/>
  <cols>
    <col min="1" max="1" width="6.140625" style="2" bestFit="1" customWidth="1"/>
    <col min="2" max="2" width="14.85546875" style="2" customWidth="1"/>
    <col min="3" max="3" width="56" style="2" customWidth="1"/>
    <col min="4" max="4" width="8" style="33" customWidth="1"/>
    <col min="5" max="5" width="10.85546875" style="2" hidden="1" customWidth="1"/>
    <col min="6" max="6" width="10.85546875" style="34" customWidth="1"/>
    <col min="7" max="7" width="6.28515625" style="33" customWidth="1"/>
    <col min="8" max="8" width="9.140625" style="7"/>
    <col min="9" max="9" width="11.28515625" style="7" bestFit="1" customWidth="1"/>
    <col min="10" max="10" width="0.140625" style="2" hidden="1" customWidth="1"/>
    <col min="11" max="14" width="9.140625" style="2" hidden="1" customWidth="1"/>
    <col min="15" max="16384" width="9.140625" style="2"/>
  </cols>
  <sheetData>
    <row r="1" spans="1:9" s="1" customFormat="1" ht="24.75" customHeight="1" x14ac:dyDescent="0.2">
      <c r="A1" s="43" t="s">
        <v>343</v>
      </c>
      <c r="B1" s="43"/>
      <c r="C1" s="43"/>
      <c r="D1" s="43"/>
      <c r="E1" s="43"/>
      <c r="F1" s="43"/>
      <c r="G1" s="43"/>
      <c r="H1" s="43"/>
      <c r="I1" s="43"/>
    </row>
    <row r="2" spans="1:9" s="1" customFormat="1" ht="12.75" customHeight="1" x14ac:dyDescent="0.2">
      <c r="A2" s="42" t="s">
        <v>355</v>
      </c>
      <c r="B2" s="42"/>
      <c r="C2" s="42"/>
      <c r="D2" s="42"/>
      <c r="E2" s="42"/>
      <c r="F2" s="42"/>
      <c r="G2" s="42"/>
      <c r="H2" s="42"/>
      <c r="I2" s="42"/>
    </row>
    <row r="3" spans="1:9" s="1" customFormat="1" ht="37.5" customHeight="1" x14ac:dyDescent="0.2">
      <c r="A3" s="42"/>
      <c r="B3" s="42"/>
      <c r="C3" s="42"/>
      <c r="D3" s="42"/>
      <c r="E3" s="42"/>
      <c r="F3" s="42"/>
      <c r="G3" s="42"/>
      <c r="H3" s="42"/>
      <c r="I3" s="42"/>
    </row>
    <row r="4" spans="1:9" s="5" customFormat="1" ht="36" x14ac:dyDescent="0.2">
      <c r="A4" s="8" t="s">
        <v>338</v>
      </c>
      <c r="B4" s="4" t="s">
        <v>1</v>
      </c>
      <c r="C4" s="4" t="s">
        <v>2</v>
      </c>
      <c r="D4" s="4" t="s">
        <v>3</v>
      </c>
      <c r="E4" s="4" t="s">
        <v>4</v>
      </c>
      <c r="F4" s="9" t="s">
        <v>4</v>
      </c>
      <c r="G4" s="4" t="s">
        <v>5</v>
      </c>
      <c r="H4" s="39" t="s">
        <v>356</v>
      </c>
      <c r="I4" s="4" t="s">
        <v>213</v>
      </c>
    </row>
    <row r="5" spans="1:9" ht="15" x14ac:dyDescent="0.25">
      <c r="A5" s="10" t="s">
        <v>6</v>
      </c>
      <c r="B5" s="11" t="s">
        <v>7</v>
      </c>
      <c r="C5" s="11" t="s">
        <v>9</v>
      </c>
      <c r="D5" s="12"/>
      <c r="E5" s="13"/>
      <c r="F5" s="14"/>
      <c r="G5" s="12"/>
      <c r="H5" s="35"/>
      <c r="I5" s="36">
        <f>I6+I15+I23+I35+I70</f>
        <v>0</v>
      </c>
    </row>
    <row r="6" spans="1:9" s="6" customFormat="1" ht="15" x14ac:dyDescent="0.25">
      <c r="A6" s="15" t="s">
        <v>8</v>
      </c>
      <c r="B6" s="16" t="s">
        <v>10</v>
      </c>
      <c r="C6" s="16" t="s">
        <v>211</v>
      </c>
      <c r="D6" s="17"/>
      <c r="E6" s="18"/>
      <c r="F6" s="19"/>
      <c r="G6" s="17"/>
      <c r="H6" s="36"/>
      <c r="I6" s="36">
        <f>SUM(I7:I14)</f>
        <v>0</v>
      </c>
    </row>
    <row r="7" spans="1:9" ht="30" x14ac:dyDescent="0.2">
      <c r="A7" s="20" t="s">
        <v>11</v>
      </c>
      <c r="B7" s="21" t="s">
        <v>12</v>
      </c>
      <c r="C7" s="21" t="s">
        <v>14</v>
      </c>
      <c r="D7" s="22" t="s">
        <v>13</v>
      </c>
      <c r="E7" s="23">
        <v>196</v>
      </c>
      <c r="F7" s="14">
        <f>16</f>
        <v>16</v>
      </c>
      <c r="G7" s="12">
        <v>1</v>
      </c>
      <c r="H7" s="35"/>
      <c r="I7" s="35">
        <f>ROUND(F7*H7,2)</f>
        <v>0</v>
      </c>
    </row>
    <row r="8" spans="1:9" ht="30" x14ac:dyDescent="0.2">
      <c r="A8" s="20" t="s">
        <v>29</v>
      </c>
      <c r="B8" s="24" t="s">
        <v>206</v>
      </c>
      <c r="C8" s="24" t="s">
        <v>207</v>
      </c>
      <c r="D8" s="22" t="s">
        <v>13</v>
      </c>
      <c r="E8" s="23"/>
      <c r="F8" s="14">
        <f>(32.5)*2</f>
        <v>65</v>
      </c>
      <c r="G8" s="12">
        <v>1</v>
      </c>
      <c r="H8" s="35"/>
      <c r="I8" s="35">
        <f t="shared" ref="I8:I14" si="0">ROUND(F8*H8,2)</f>
        <v>0</v>
      </c>
    </row>
    <row r="9" spans="1:9" ht="30.75" customHeight="1" x14ac:dyDescent="0.2">
      <c r="A9" s="20" t="s">
        <v>46</v>
      </c>
      <c r="B9" s="21" t="s">
        <v>16</v>
      </c>
      <c r="C9" s="21" t="s">
        <v>17</v>
      </c>
      <c r="D9" s="22" t="s">
        <v>15</v>
      </c>
      <c r="E9" s="23">
        <v>124.5</v>
      </c>
      <c r="F9" s="14">
        <f>(32.5)*2</f>
        <v>65</v>
      </c>
      <c r="G9" s="12">
        <v>5</v>
      </c>
      <c r="H9" s="35"/>
      <c r="I9" s="35">
        <f t="shared" si="0"/>
        <v>0</v>
      </c>
    </row>
    <row r="10" spans="1:9" ht="30" x14ac:dyDescent="0.2">
      <c r="A10" s="20" t="s">
        <v>72</v>
      </c>
      <c r="B10" s="21" t="s">
        <v>18</v>
      </c>
      <c r="C10" s="21" t="s">
        <v>19</v>
      </c>
      <c r="D10" s="22" t="s">
        <v>15</v>
      </c>
      <c r="E10" s="23">
        <v>124.5</v>
      </c>
      <c r="F10" s="14">
        <f>F9</f>
        <v>65</v>
      </c>
      <c r="G10" s="12">
        <v>1</v>
      </c>
      <c r="H10" s="35"/>
      <c r="I10" s="35">
        <f t="shared" si="0"/>
        <v>0</v>
      </c>
    </row>
    <row r="11" spans="1:9" ht="30" x14ac:dyDescent="0.2">
      <c r="A11" s="20" t="s">
        <v>129</v>
      </c>
      <c r="B11" s="21" t="s">
        <v>20</v>
      </c>
      <c r="C11" s="21" t="s">
        <v>21</v>
      </c>
      <c r="D11" s="22" t="s">
        <v>15</v>
      </c>
      <c r="E11" s="23">
        <v>630.5</v>
      </c>
      <c r="F11" s="14">
        <f>2.5*2.5</f>
        <v>6.25</v>
      </c>
      <c r="G11" s="12">
        <v>1</v>
      </c>
      <c r="H11" s="35"/>
      <c r="I11" s="35">
        <f t="shared" si="0"/>
        <v>0</v>
      </c>
    </row>
    <row r="12" spans="1:9" ht="30" x14ac:dyDescent="0.2">
      <c r="A12" s="20" t="s">
        <v>220</v>
      </c>
      <c r="B12" s="21" t="s">
        <v>22</v>
      </c>
      <c r="C12" s="21" t="s">
        <v>23</v>
      </c>
      <c r="D12" s="22" t="s">
        <v>15</v>
      </c>
      <c r="E12" s="23">
        <v>37.5</v>
      </c>
      <c r="F12" s="14">
        <v>37.5</v>
      </c>
      <c r="G12" s="12">
        <v>1</v>
      </c>
      <c r="H12" s="35"/>
      <c r="I12" s="35">
        <f t="shared" si="0"/>
        <v>0</v>
      </c>
    </row>
    <row r="13" spans="1:9" ht="47.25" customHeight="1" x14ac:dyDescent="0.2">
      <c r="A13" s="20" t="s">
        <v>221</v>
      </c>
      <c r="B13" s="21" t="s">
        <v>24</v>
      </c>
      <c r="C13" s="21" t="s">
        <v>26</v>
      </c>
      <c r="D13" s="22" t="s">
        <v>25</v>
      </c>
      <c r="E13" s="23">
        <v>33.1</v>
      </c>
      <c r="F13" s="14">
        <f>F9*0.23+F12*0.2</f>
        <v>22.450000000000003</v>
      </c>
      <c r="G13" s="12">
        <v>1</v>
      </c>
      <c r="H13" s="35"/>
      <c r="I13" s="35">
        <f t="shared" si="0"/>
        <v>0</v>
      </c>
    </row>
    <row r="14" spans="1:9" ht="48" customHeight="1" x14ac:dyDescent="0.2">
      <c r="A14" s="20" t="s">
        <v>335</v>
      </c>
      <c r="B14" s="21" t="s">
        <v>27</v>
      </c>
      <c r="C14" s="21" t="s">
        <v>28</v>
      </c>
      <c r="D14" s="22" t="s">
        <v>25</v>
      </c>
      <c r="E14" s="23">
        <v>33.1</v>
      </c>
      <c r="F14" s="14">
        <f>F13</f>
        <v>22.450000000000003</v>
      </c>
      <c r="G14" s="12">
        <v>2</v>
      </c>
      <c r="H14" s="35"/>
      <c r="I14" s="35">
        <f t="shared" si="0"/>
        <v>0</v>
      </c>
    </row>
    <row r="15" spans="1:9" ht="15" x14ac:dyDescent="0.25">
      <c r="A15" s="10" t="s">
        <v>223</v>
      </c>
      <c r="B15" s="11" t="s">
        <v>10</v>
      </c>
      <c r="C15" s="11" t="s">
        <v>30</v>
      </c>
      <c r="D15" s="12"/>
      <c r="E15" s="13"/>
      <c r="F15" s="14"/>
      <c r="G15" s="12"/>
      <c r="H15" s="35"/>
      <c r="I15" s="36">
        <f>SUM(I16:I22)</f>
        <v>0</v>
      </c>
    </row>
    <row r="16" spans="1:9" ht="30" x14ac:dyDescent="0.2">
      <c r="A16" s="20" t="s">
        <v>222</v>
      </c>
      <c r="B16" s="21" t="s">
        <v>31</v>
      </c>
      <c r="C16" s="21" t="s">
        <v>33</v>
      </c>
      <c r="D16" s="22" t="s">
        <v>32</v>
      </c>
      <c r="E16" s="23">
        <v>0.78500000000000003</v>
      </c>
      <c r="F16" s="25">
        <f>(F44+F45)/1000</f>
        <v>0.25010000000000004</v>
      </c>
      <c r="G16" s="12">
        <v>1</v>
      </c>
      <c r="H16" s="35"/>
      <c r="I16" s="35">
        <f t="shared" ref="I16:I22" si="1">ROUND(F16*H16,2)</f>
        <v>0</v>
      </c>
    </row>
    <row r="17" spans="1:15" ht="45" x14ac:dyDescent="0.2">
      <c r="A17" s="20" t="s">
        <v>224</v>
      </c>
      <c r="B17" s="21" t="s">
        <v>34</v>
      </c>
      <c r="C17" s="21" t="s">
        <v>35</v>
      </c>
      <c r="D17" s="22" t="s">
        <v>25</v>
      </c>
      <c r="E17" s="23">
        <v>205</v>
      </c>
      <c r="F17" s="14">
        <f>((F45+F44-F59)*0.9*(1.7-0.6)+2.5*2.5*1.7*4+1.5*2*1.7-F22)*80%</f>
        <v>58.355200000000039</v>
      </c>
      <c r="G17" s="12">
        <v>1</v>
      </c>
      <c r="H17" s="35"/>
      <c r="I17" s="35">
        <f t="shared" si="1"/>
        <v>0</v>
      </c>
      <c r="O17" s="3"/>
    </row>
    <row r="18" spans="1:15" ht="46.5" customHeight="1" x14ac:dyDescent="0.2">
      <c r="A18" s="20" t="s">
        <v>225</v>
      </c>
      <c r="B18" s="21" t="s">
        <v>36</v>
      </c>
      <c r="C18" s="21" t="s">
        <v>37</v>
      </c>
      <c r="D18" s="22" t="s">
        <v>25</v>
      </c>
      <c r="E18" s="23"/>
      <c r="F18" s="14">
        <f>F22+F24+3.14*(0.08^2*F44+0.055^2*(F45-F59))</f>
        <v>100.26900000000002</v>
      </c>
      <c r="G18" s="12">
        <v>1</v>
      </c>
      <c r="H18" s="35"/>
      <c r="I18" s="35">
        <f t="shared" si="1"/>
        <v>0</v>
      </c>
    </row>
    <row r="19" spans="1:15" ht="61.5" customHeight="1" x14ac:dyDescent="0.2">
      <c r="A19" s="20" t="s">
        <v>226</v>
      </c>
      <c r="B19" s="21" t="s">
        <v>38</v>
      </c>
      <c r="C19" s="21" t="s">
        <v>39</v>
      </c>
      <c r="D19" s="22" t="s">
        <v>25</v>
      </c>
      <c r="E19" s="23">
        <v>780.3</v>
      </c>
      <c r="F19" s="14">
        <f>F18</f>
        <v>100.26900000000002</v>
      </c>
      <c r="G19" s="12">
        <v>2</v>
      </c>
      <c r="H19" s="35"/>
      <c r="I19" s="35">
        <f t="shared" si="1"/>
        <v>0</v>
      </c>
    </row>
    <row r="20" spans="1:15" ht="50.25" customHeight="1" x14ac:dyDescent="0.2">
      <c r="A20" s="20" t="s">
        <v>227</v>
      </c>
      <c r="B20" s="21" t="s">
        <v>40</v>
      </c>
      <c r="C20" s="21" t="s">
        <v>41</v>
      </c>
      <c r="D20" s="22" t="s">
        <v>25</v>
      </c>
      <c r="E20" s="23">
        <v>51.3</v>
      </c>
      <c r="F20" s="14">
        <f>((F44+F45-F59)*0.9*(1.7-0.6)+2.5*2.5*1.7*4+1.5*2*1.7-F22)*20%</f>
        <v>14.58880000000001</v>
      </c>
      <c r="G20" s="12">
        <v>1</v>
      </c>
      <c r="H20" s="35"/>
      <c r="I20" s="35">
        <f t="shared" si="1"/>
        <v>0</v>
      </c>
    </row>
    <row r="21" spans="1:15" ht="65.25" customHeight="1" x14ac:dyDescent="0.2">
      <c r="A21" s="20" t="s">
        <v>228</v>
      </c>
      <c r="B21" s="21" t="s">
        <v>42</v>
      </c>
      <c r="C21" s="21" t="s">
        <v>43</v>
      </c>
      <c r="D21" s="22" t="s">
        <v>15</v>
      </c>
      <c r="E21" s="23">
        <v>2176</v>
      </c>
      <c r="F21" s="14">
        <f>(F45+F44-F59)*1.7*2</f>
        <v>279.14000000000004</v>
      </c>
      <c r="G21" s="12">
        <v>1</v>
      </c>
      <c r="H21" s="35"/>
      <c r="I21" s="35">
        <f t="shared" si="1"/>
        <v>0</v>
      </c>
    </row>
    <row r="22" spans="1:15" ht="33.75" customHeight="1" x14ac:dyDescent="0.2">
      <c r="A22" s="20" t="s">
        <v>229</v>
      </c>
      <c r="B22" s="21" t="s">
        <v>44</v>
      </c>
      <c r="C22" s="21" t="s">
        <v>45</v>
      </c>
      <c r="D22" s="22" t="s">
        <v>25</v>
      </c>
      <c r="E22" s="23">
        <v>434.7</v>
      </c>
      <c r="F22" s="14">
        <f>(28+8.5+20)*0.9*(1.7-0.6)</f>
        <v>55.935000000000009</v>
      </c>
      <c r="G22" s="12">
        <v>1</v>
      </c>
      <c r="H22" s="35"/>
      <c r="I22" s="35">
        <f t="shared" si="1"/>
        <v>0</v>
      </c>
    </row>
    <row r="23" spans="1:15" s="6" customFormat="1" ht="15" x14ac:dyDescent="0.25">
      <c r="A23" s="15" t="s">
        <v>230</v>
      </c>
      <c r="B23" s="16" t="s">
        <v>10</v>
      </c>
      <c r="C23" s="16" t="s">
        <v>219</v>
      </c>
      <c r="D23" s="17"/>
      <c r="E23" s="18"/>
      <c r="F23" s="19"/>
      <c r="G23" s="17"/>
      <c r="H23" s="36"/>
      <c r="I23" s="36">
        <f>SUM(I24:I34)</f>
        <v>0</v>
      </c>
    </row>
    <row r="24" spans="1:15" ht="35.25" customHeight="1" x14ac:dyDescent="0.2">
      <c r="A24" s="20" t="s">
        <v>231</v>
      </c>
      <c r="B24" s="21" t="s">
        <v>48</v>
      </c>
      <c r="C24" s="21" t="s">
        <v>49</v>
      </c>
      <c r="D24" s="22" t="s">
        <v>25</v>
      </c>
      <c r="E24" s="23">
        <v>345.6</v>
      </c>
      <c r="F24" s="14">
        <f>(F45+F44-F59)*0.9*0.6-3.14*(0.08^2*F44+0.055^2*(F45-F59))</f>
        <v>43.209754400000016</v>
      </c>
      <c r="G24" s="12">
        <v>1</v>
      </c>
      <c r="H24" s="35"/>
      <c r="I24" s="35">
        <f t="shared" ref="I24:I34" si="2">ROUND(F24*H24,2)</f>
        <v>0</v>
      </c>
    </row>
    <row r="25" spans="1:15" ht="45" x14ac:dyDescent="0.2">
      <c r="A25" s="20" t="s">
        <v>232</v>
      </c>
      <c r="B25" s="21" t="s">
        <v>50</v>
      </c>
      <c r="C25" s="21" t="s">
        <v>51</v>
      </c>
      <c r="D25" s="22" t="s">
        <v>25</v>
      </c>
      <c r="E25" s="23">
        <v>345.6</v>
      </c>
      <c r="F25" s="14">
        <f>F24</f>
        <v>43.209754400000016</v>
      </c>
      <c r="G25" s="12">
        <v>1</v>
      </c>
      <c r="H25" s="35"/>
      <c r="I25" s="35">
        <f t="shared" si="2"/>
        <v>0</v>
      </c>
    </row>
    <row r="26" spans="1:15" ht="30" x14ac:dyDescent="0.2">
      <c r="A26" s="20" t="s">
        <v>233</v>
      </c>
      <c r="B26" s="21" t="s">
        <v>52</v>
      </c>
      <c r="C26" s="21" t="s">
        <v>53</v>
      </c>
      <c r="D26" s="22" t="s">
        <v>25</v>
      </c>
      <c r="E26" s="23">
        <v>1041.0999999999999</v>
      </c>
      <c r="F26" s="14">
        <f>F25+F27</f>
        <v>173.21300000000008</v>
      </c>
      <c r="G26" s="12">
        <v>1</v>
      </c>
      <c r="H26" s="35"/>
      <c r="I26" s="35">
        <f t="shared" si="2"/>
        <v>0</v>
      </c>
    </row>
    <row r="27" spans="1:15" ht="45" x14ac:dyDescent="0.2">
      <c r="A27" s="20" t="s">
        <v>234</v>
      </c>
      <c r="B27" s="21" t="s">
        <v>54</v>
      </c>
      <c r="C27" s="21" t="s">
        <v>55</v>
      </c>
      <c r="D27" s="22" t="s">
        <v>25</v>
      </c>
      <c r="E27" s="23">
        <v>695.5</v>
      </c>
      <c r="F27" s="14">
        <f>F17+F18+F20-F24</f>
        <v>130.00324560000007</v>
      </c>
      <c r="G27" s="12">
        <v>1</v>
      </c>
      <c r="H27" s="35"/>
      <c r="I27" s="35">
        <f t="shared" si="2"/>
        <v>0</v>
      </c>
    </row>
    <row r="28" spans="1:15" ht="30" x14ac:dyDescent="0.2">
      <c r="A28" s="20" t="s">
        <v>235</v>
      </c>
      <c r="B28" s="21" t="s">
        <v>56</v>
      </c>
      <c r="C28" s="21" t="s">
        <v>57</v>
      </c>
      <c r="D28" s="22" t="s">
        <v>15</v>
      </c>
      <c r="E28" s="23">
        <v>335</v>
      </c>
      <c r="F28" s="14">
        <f>(26+6+2)*2</f>
        <v>68</v>
      </c>
      <c r="G28" s="12">
        <v>1</v>
      </c>
      <c r="H28" s="35"/>
      <c r="I28" s="35">
        <f t="shared" si="2"/>
        <v>0</v>
      </c>
    </row>
    <row r="29" spans="1:15" ht="31.5" customHeight="1" x14ac:dyDescent="0.2">
      <c r="A29" s="20" t="s">
        <v>236</v>
      </c>
      <c r="B29" s="21" t="s">
        <v>58</v>
      </c>
      <c r="C29" s="21" t="s">
        <v>60</v>
      </c>
      <c r="D29" s="22" t="s">
        <v>59</v>
      </c>
      <c r="E29" s="23">
        <v>3.4000000000000002E-2</v>
      </c>
      <c r="F29" s="14">
        <f>F28/1000</f>
        <v>6.8000000000000005E-2</v>
      </c>
      <c r="G29" s="12">
        <v>1</v>
      </c>
      <c r="H29" s="35"/>
      <c r="I29" s="35">
        <f t="shared" si="2"/>
        <v>0</v>
      </c>
    </row>
    <row r="30" spans="1:15" ht="30" x14ac:dyDescent="0.2">
      <c r="A30" s="20" t="s">
        <v>237</v>
      </c>
      <c r="B30" s="21" t="s">
        <v>61</v>
      </c>
      <c r="C30" s="21" t="s">
        <v>63</v>
      </c>
      <c r="D30" s="22" t="s">
        <v>62</v>
      </c>
      <c r="E30" s="23">
        <v>20</v>
      </c>
      <c r="F30" s="26">
        <v>4</v>
      </c>
      <c r="G30" s="12">
        <v>1</v>
      </c>
      <c r="H30" s="35"/>
      <c r="I30" s="35">
        <f t="shared" si="2"/>
        <v>0</v>
      </c>
    </row>
    <row r="31" spans="1:15" ht="30" x14ac:dyDescent="0.2">
      <c r="A31" s="20" t="s">
        <v>238</v>
      </c>
      <c r="B31" s="21" t="s">
        <v>64</v>
      </c>
      <c r="C31" s="21" t="s">
        <v>65</v>
      </c>
      <c r="D31" s="22" t="s">
        <v>62</v>
      </c>
      <c r="E31" s="23">
        <v>20</v>
      </c>
      <c r="F31" s="26">
        <v>4</v>
      </c>
      <c r="G31" s="12">
        <v>1</v>
      </c>
      <c r="H31" s="35"/>
      <c r="I31" s="35">
        <f t="shared" si="2"/>
        <v>0</v>
      </c>
    </row>
    <row r="32" spans="1:15" ht="45" x14ac:dyDescent="0.2">
      <c r="A32" s="20" t="s">
        <v>239</v>
      </c>
      <c r="B32" s="21" t="s">
        <v>66</v>
      </c>
      <c r="C32" s="21" t="s">
        <v>67</v>
      </c>
      <c r="D32" s="22" t="s">
        <v>62</v>
      </c>
      <c r="E32" s="23">
        <v>38</v>
      </c>
      <c r="F32" s="26">
        <v>11</v>
      </c>
      <c r="G32" s="12">
        <v>1</v>
      </c>
      <c r="H32" s="35"/>
      <c r="I32" s="35">
        <f t="shared" si="2"/>
        <v>0</v>
      </c>
    </row>
    <row r="33" spans="1:9" ht="45" x14ac:dyDescent="0.2">
      <c r="A33" s="20" t="s">
        <v>240</v>
      </c>
      <c r="B33" s="21" t="s">
        <v>68</v>
      </c>
      <c r="C33" s="21" t="s">
        <v>69</v>
      </c>
      <c r="D33" s="22" t="s">
        <v>62</v>
      </c>
      <c r="E33" s="23">
        <v>38</v>
      </c>
      <c r="F33" s="26">
        <v>11</v>
      </c>
      <c r="G33" s="12">
        <v>1</v>
      </c>
      <c r="H33" s="35"/>
      <c r="I33" s="35">
        <f t="shared" si="2"/>
        <v>0</v>
      </c>
    </row>
    <row r="34" spans="1:9" ht="30" x14ac:dyDescent="0.2">
      <c r="A34" s="20" t="s">
        <v>241</v>
      </c>
      <c r="B34" s="21" t="s">
        <v>70</v>
      </c>
      <c r="C34" s="21" t="s">
        <v>71</v>
      </c>
      <c r="D34" s="22" t="s">
        <v>13</v>
      </c>
      <c r="E34" s="23">
        <v>76</v>
      </c>
      <c r="F34" s="14">
        <f>11*2</f>
        <v>22</v>
      </c>
      <c r="G34" s="12">
        <v>1</v>
      </c>
      <c r="H34" s="35"/>
      <c r="I34" s="35">
        <f t="shared" si="2"/>
        <v>0</v>
      </c>
    </row>
    <row r="35" spans="1:9" ht="15" x14ac:dyDescent="0.25">
      <c r="A35" s="15" t="s">
        <v>242</v>
      </c>
      <c r="B35" s="16" t="s">
        <v>10</v>
      </c>
      <c r="C35" s="16" t="s">
        <v>328</v>
      </c>
      <c r="D35" s="17"/>
      <c r="E35" s="18"/>
      <c r="F35" s="19"/>
      <c r="G35" s="17"/>
      <c r="H35" s="36"/>
      <c r="I35" s="36">
        <f>SUM(I36:I69)</f>
        <v>0</v>
      </c>
    </row>
    <row r="36" spans="1:9" ht="32.25" customHeight="1" x14ac:dyDescent="0.2">
      <c r="A36" s="20" t="s">
        <v>243</v>
      </c>
      <c r="B36" s="21" t="s">
        <v>73</v>
      </c>
      <c r="C36" s="21" t="s">
        <v>74</v>
      </c>
      <c r="D36" s="22" t="s">
        <v>13</v>
      </c>
      <c r="E36" s="23">
        <v>640</v>
      </c>
      <c r="F36" s="14">
        <f>F44+F45-F59</f>
        <v>82.100000000000023</v>
      </c>
      <c r="G36" s="12">
        <v>1</v>
      </c>
      <c r="H36" s="35"/>
      <c r="I36" s="35">
        <f t="shared" ref="I36:I69" si="3">ROUND(F36*H36,2)</f>
        <v>0</v>
      </c>
    </row>
    <row r="37" spans="1:9" ht="30" customHeight="1" x14ac:dyDescent="0.2">
      <c r="A37" s="20" t="s">
        <v>244</v>
      </c>
      <c r="B37" s="21" t="s">
        <v>75</v>
      </c>
      <c r="C37" s="21" t="s">
        <v>77</v>
      </c>
      <c r="D37" s="22" t="s">
        <v>76</v>
      </c>
      <c r="E37" s="23">
        <v>20</v>
      </c>
      <c r="F37" s="26">
        <v>7</v>
      </c>
      <c r="G37" s="12">
        <v>1</v>
      </c>
      <c r="H37" s="35"/>
      <c r="I37" s="35">
        <f t="shared" si="3"/>
        <v>0</v>
      </c>
    </row>
    <row r="38" spans="1:9" ht="30" x14ac:dyDescent="0.2">
      <c r="A38" s="20" t="s">
        <v>245</v>
      </c>
      <c r="B38" s="21" t="s">
        <v>208</v>
      </c>
      <c r="C38" s="21" t="s">
        <v>209</v>
      </c>
      <c r="D38" s="22" t="s">
        <v>62</v>
      </c>
      <c r="E38" s="23"/>
      <c r="F38" s="26">
        <v>1</v>
      </c>
      <c r="G38" s="12">
        <v>1</v>
      </c>
      <c r="H38" s="35"/>
      <c r="I38" s="35">
        <f t="shared" si="3"/>
        <v>0</v>
      </c>
    </row>
    <row r="39" spans="1:9" ht="30" x14ac:dyDescent="0.2">
      <c r="A39" s="20" t="s">
        <v>246</v>
      </c>
      <c r="B39" s="21" t="s">
        <v>208</v>
      </c>
      <c r="C39" s="21" t="s">
        <v>344</v>
      </c>
      <c r="D39" s="22" t="s">
        <v>62</v>
      </c>
      <c r="E39" s="23"/>
      <c r="F39" s="26">
        <v>2</v>
      </c>
      <c r="G39" s="12">
        <v>1</v>
      </c>
      <c r="H39" s="35"/>
      <c r="I39" s="35">
        <f t="shared" si="3"/>
        <v>0</v>
      </c>
    </row>
    <row r="40" spans="1:9" ht="30" x14ac:dyDescent="0.2">
      <c r="A40" s="20" t="s">
        <v>247</v>
      </c>
      <c r="B40" s="21" t="s">
        <v>78</v>
      </c>
      <c r="C40" s="21" t="s">
        <v>210</v>
      </c>
      <c r="D40" s="22" t="s">
        <v>62</v>
      </c>
      <c r="E40" s="23"/>
      <c r="F40" s="26">
        <v>1</v>
      </c>
      <c r="G40" s="12">
        <v>1</v>
      </c>
      <c r="H40" s="35"/>
      <c r="I40" s="35">
        <f t="shared" si="3"/>
        <v>0</v>
      </c>
    </row>
    <row r="41" spans="1:9" ht="30" x14ac:dyDescent="0.2">
      <c r="A41" s="20" t="s">
        <v>248</v>
      </c>
      <c r="B41" s="21" t="s">
        <v>79</v>
      </c>
      <c r="C41" s="21" t="s">
        <v>80</v>
      </c>
      <c r="D41" s="22" t="s">
        <v>62</v>
      </c>
      <c r="E41" s="23">
        <v>10</v>
      </c>
      <c r="F41" s="26">
        <v>3</v>
      </c>
      <c r="G41" s="12">
        <v>1</v>
      </c>
      <c r="H41" s="35"/>
      <c r="I41" s="35">
        <f t="shared" si="3"/>
        <v>0</v>
      </c>
    </row>
    <row r="42" spans="1:9" ht="30" x14ac:dyDescent="0.2">
      <c r="A42" s="20" t="s">
        <v>249</v>
      </c>
      <c r="B42" s="21" t="s">
        <v>81</v>
      </c>
      <c r="C42" s="21" t="s">
        <v>82</v>
      </c>
      <c r="D42" s="22" t="s">
        <v>62</v>
      </c>
      <c r="E42" s="23">
        <v>5</v>
      </c>
      <c r="F42" s="26">
        <v>4</v>
      </c>
      <c r="G42" s="12">
        <v>1</v>
      </c>
      <c r="H42" s="35"/>
      <c r="I42" s="35">
        <f t="shared" si="3"/>
        <v>0</v>
      </c>
    </row>
    <row r="43" spans="1:9" ht="30" x14ac:dyDescent="0.2">
      <c r="A43" s="20" t="s">
        <v>250</v>
      </c>
      <c r="B43" s="21" t="s">
        <v>333</v>
      </c>
      <c r="C43" s="21" t="s">
        <v>345</v>
      </c>
      <c r="D43" s="22" t="s">
        <v>62</v>
      </c>
      <c r="E43" s="23"/>
      <c r="F43" s="27">
        <v>2</v>
      </c>
      <c r="G43" s="12">
        <v>1</v>
      </c>
      <c r="H43" s="35"/>
      <c r="I43" s="35">
        <f t="shared" si="3"/>
        <v>0</v>
      </c>
    </row>
    <row r="44" spans="1:9" ht="30" x14ac:dyDescent="0.2">
      <c r="A44" s="20" t="s">
        <v>251</v>
      </c>
      <c r="B44" s="21" t="s">
        <v>84</v>
      </c>
      <c r="C44" s="21" t="s">
        <v>85</v>
      </c>
      <c r="D44" s="22" t="s">
        <v>13</v>
      </c>
      <c r="E44" s="23">
        <v>322</v>
      </c>
      <c r="F44" s="14">
        <v>32.5</v>
      </c>
      <c r="G44" s="12">
        <v>1</v>
      </c>
      <c r="H44" s="35"/>
      <c r="I44" s="35">
        <f t="shared" si="3"/>
        <v>0</v>
      </c>
    </row>
    <row r="45" spans="1:9" ht="30" x14ac:dyDescent="0.2">
      <c r="A45" s="20" t="s">
        <v>252</v>
      </c>
      <c r="B45" s="21" t="s">
        <v>86</v>
      </c>
      <c r="C45" s="21" t="s">
        <v>87</v>
      </c>
      <c r="D45" s="22" t="s">
        <v>13</v>
      </c>
      <c r="E45" s="23">
        <v>388</v>
      </c>
      <c r="F45" s="14">
        <f>27.8+189.8</f>
        <v>217.60000000000002</v>
      </c>
      <c r="G45" s="12">
        <v>1</v>
      </c>
      <c r="H45" s="35"/>
      <c r="I45" s="35">
        <f t="shared" si="3"/>
        <v>0</v>
      </c>
    </row>
    <row r="46" spans="1:9" ht="30" x14ac:dyDescent="0.2">
      <c r="A46" s="20" t="s">
        <v>253</v>
      </c>
      <c r="B46" s="21" t="s">
        <v>88</v>
      </c>
      <c r="C46" s="21" t="s">
        <v>216</v>
      </c>
      <c r="D46" s="22" t="s">
        <v>76</v>
      </c>
      <c r="E46" s="23">
        <v>3</v>
      </c>
      <c r="F46" s="26">
        <v>1</v>
      </c>
      <c r="G46" s="12">
        <v>1</v>
      </c>
      <c r="H46" s="35"/>
      <c r="I46" s="35">
        <f t="shared" si="3"/>
        <v>0</v>
      </c>
    </row>
    <row r="47" spans="1:9" ht="30" x14ac:dyDescent="0.2">
      <c r="A47" s="20" t="s">
        <v>254</v>
      </c>
      <c r="B47" s="21" t="s">
        <v>90</v>
      </c>
      <c r="C47" s="21" t="s">
        <v>91</v>
      </c>
      <c r="D47" s="22" t="s">
        <v>76</v>
      </c>
      <c r="E47" s="23"/>
      <c r="F47" s="26">
        <v>1</v>
      </c>
      <c r="G47" s="12">
        <v>1</v>
      </c>
      <c r="H47" s="35"/>
      <c r="I47" s="35">
        <f t="shared" si="3"/>
        <v>0</v>
      </c>
    </row>
    <row r="48" spans="1:9" ht="30" x14ac:dyDescent="0.2">
      <c r="A48" s="20" t="s">
        <v>255</v>
      </c>
      <c r="B48" s="21" t="s">
        <v>89</v>
      </c>
      <c r="C48" s="21" t="s">
        <v>339</v>
      </c>
      <c r="D48" s="22" t="s">
        <v>76</v>
      </c>
      <c r="E48" s="23">
        <v>2</v>
      </c>
      <c r="F48" s="26">
        <v>2</v>
      </c>
      <c r="G48" s="12">
        <v>1</v>
      </c>
      <c r="H48" s="35"/>
      <c r="I48" s="35">
        <f t="shared" si="3"/>
        <v>0</v>
      </c>
    </row>
    <row r="49" spans="1:9" ht="30" x14ac:dyDescent="0.2">
      <c r="A49" s="20" t="s">
        <v>256</v>
      </c>
      <c r="B49" s="21" t="s">
        <v>346</v>
      </c>
      <c r="C49" s="21" t="s">
        <v>347</v>
      </c>
      <c r="D49" s="22" t="s">
        <v>76</v>
      </c>
      <c r="E49" s="23"/>
      <c r="F49" s="26">
        <v>1</v>
      </c>
      <c r="G49" s="12">
        <v>1</v>
      </c>
      <c r="H49" s="35"/>
      <c r="I49" s="35">
        <f t="shared" si="3"/>
        <v>0</v>
      </c>
    </row>
    <row r="50" spans="1:9" ht="30" x14ac:dyDescent="0.2">
      <c r="A50" s="20" t="s">
        <v>257</v>
      </c>
      <c r="B50" s="21" t="s">
        <v>92</v>
      </c>
      <c r="C50" s="21" t="s">
        <v>332</v>
      </c>
      <c r="D50" s="22" t="s">
        <v>76</v>
      </c>
      <c r="E50" s="23">
        <v>8</v>
      </c>
      <c r="F50" s="26">
        <v>6</v>
      </c>
      <c r="G50" s="12">
        <v>1</v>
      </c>
      <c r="H50" s="35"/>
      <c r="I50" s="35">
        <f t="shared" si="3"/>
        <v>0</v>
      </c>
    </row>
    <row r="51" spans="1:9" ht="30" x14ac:dyDescent="0.2">
      <c r="A51" s="20" t="s">
        <v>258</v>
      </c>
      <c r="B51" s="21" t="s">
        <v>93</v>
      </c>
      <c r="C51" s="21" t="s">
        <v>349</v>
      </c>
      <c r="D51" s="22" t="s">
        <v>76</v>
      </c>
      <c r="E51" s="23">
        <v>4</v>
      </c>
      <c r="F51" s="26">
        <v>2</v>
      </c>
      <c r="G51" s="12">
        <v>1</v>
      </c>
      <c r="H51" s="35"/>
      <c r="I51" s="35">
        <f t="shared" si="3"/>
        <v>0</v>
      </c>
    </row>
    <row r="52" spans="1:9" ht="33.75" customHeight="1" x14ac:dyDescent="0.2">
      <c r="A52" s="20" t="s">
        <v>259</v>
      </c>
      <c r="B52" s="21" t="s">
        <v>94</v>
      </c>
      <c r="C52" s="21" t="s">
        <v>214</v>
      </c>
      <c r="D52" s="22" t="s">
        <v>76</v>
      </c>
      <c r="E52" s="23">
        <v>7</v>
      </c>
      <c r="F52" s="26">
        <v>2</v>
      </c>
      <c r="G52" s="12">
        <v>1</v>
      </c>
      <c r="H52" s="35"/>
      <c r="I52" s="35">
        <f t="shared" si="3"/>
        <v>0</v>
      </c>
    </row>
    <row r="53" spans="1:9" ht="29.25" customHeight="1" x14ac:dyDescent="0.2">
      <c r="A53" s="20" t="s">
        <v>260</v>
      </c>
      <c r="B53" s="21" t="s">
        <v>95</v>
      </c>
      <c r="C53" s="21" t="s">
        <v>215</v>
      </c>
      <c r="D53" s="22" t="s">
        <v>76</v>
      </c>
      <c r="E53" s="23">
        <v>10</v>
      </c>
      <c r="F53" s="26">
        <v>7</v>
      </c>
      <c r="G53" s="12">
        <v>1</v>
      </c>
      <c r="H53" s="35"/>
      <c r="I53" s="35">
        <f t="shared" si="3"/>
        <v>0</v>
      </c>
    </row>
    <row r="54" spans="1:9" ht="45" x14ac:dyDescent="0.2">
      <c r="A54" s="20" t="s">
        <v>261</v>
      </c>
      <c r="B54" s="21" t="s">
        <v>350</v>
      </c>
      <c r="C54" s="21" t="s">
        <v>351</v>
      </c>
      <c r="D54" s="22" t="s">
        <v>76</v>
      </c>
      <c r="E54" s="23"/>
      <c r="F54" s="26">
        <v>2</v>
      </c>
      <c r="G54" s="12">
        <v>1</v>
      </c>
      <c r="H54" s="35"/>
      <c r="I54" s="35">
        <f t="shared" si="3"/>
        <v>0</v>
      </c>
    </row>
    <row r="55" spans="1:9" ht="30" x14ac:dyDescent="0.2">
      <c r="A55" s="20" t="s">
        <v>262</v>
      </c>
      <c r="B55" s="21" t="s">
        <v>94</v>
      </c>
      <c r="C55" s="21" t="s">
        <v>217</v>
      </c>
      <c r="D55" s="22" t="s">
        <v>76</v>
      </c>
      <c r="E55" s="23">
        <v>7</v>
      </c>
      <c r="F55" s="26">
        <v>1</v>
      </c>
      <c r="G55" s="12">
        <v>1</v>
      </c>
      <c r="H55" s="35"/>
      <c r="I55" s="35">
        <f t="shared" si="3"/>
        <v>0</v>
      </c>
    </row>
    <row r="56" spans="1:9" ht="30" x14ac:dyDescent="0.2">
      <c r="A56" s="20" t="s">
        <v>263</v>
      </c>
      <c r="B56" s="21" t="s">
        <v>97</v>
      </c>
      <c r="C56" s="21" t="s">
        <v>98</v>
      </c>
      <c r="D56" s="22" t="s">
        <v>76</v>
      </c>
      <c r="E56" s="23">
        <v>1</v>
      </c>
      <c r="F56" s="26">
        <v>1</v>
      </c>
      <c r="G56" s="12">
        <v>1</v>
      </c>
      <c r="H56" s="35"/>
      <c r="I56" s="35">
        <f t="shared" si="3"/>
        <v>0</v>
      </c>
    </row>
    <row r="57" spans="1:9" ht="30" x14ac:dyDescent="0.2">
      <c r="A57" s="20" t="s">
        <v>264</v>
      </c>
      <c r="B57" s="21" t="s">
        <v>100</v>
      </c>
      <c r="C57" s="21" t="s">
        <v>102</v>
      </c>
      <c r="D57" s="22" t="s">
        <v>101</v>
      </c>
      <c r="E57" s="23">
        <v>75</v>
      </c>
      <c r="F57" s="26">
        <v>3</v>
      </c>
      <c r="G57" s="12">
        <v>1</v>
      </c>
      <c r="H57" s="35"/>
      <c r="I57" s="35">
        <f t="shared" si="3"/>
        <v>0</v>
      </c>
    </row>
    <row r="58" spans="1:9" ht="33.75" customHeight="1" x14ac:dyDescent="0.2">
      <c r="A58" s="20" t="s">
        <v>265</v>
      </c>
      <c r="B58" s="21" t="s">
        <v>103</v>
      </c>
      <c r="C58" s="21" t="s">
        <v>104</v>
      </c>
      <c r="D58" s="22" t="s">
        <v>101</v>
      </c>
      <c r="E58" s="23">
        <v>77</v>
      </c>
      <c r="F58" s="26">
        <f>(F44+F45)/12</f>
        <v>20.841666666666669</v>
      </c>
      <c r="G58" s="12">
        <v>1</v>
      </c>
      <c r="H58" s="35"/>
      <c r="I58" s="35">
        <f t="shared" si="3"/>
        <v>0</v>
      </c>
    </row>
    <row r="59" spans="1:9" ht="30" x14ac:dyDescent="0.2">
      <c r="A59" s="20" t="s">
        <v>266</v>
      </c>
      <c r="B59" s="21" t="s">
        <v>78</v>
      </c>
      <c r="C59" s="21" t="s">
        <v>106</v>
      </c>
      <c r="D59" s="22" t="s">
        <v>105</v>
      </c>
      <c r="E59" s="23">
        <v>68</v>
      </c>
      <c r="F59" s="14">
        <f>168</f>
        <v>168</v>
      </c>
      <c r="G59" s="12">
        <v>1</v>
      </c>
      <c r="H59" s="35"/>
      <c r="I59" s="35">
        <f t="shared" si="3"/>
        <v>0</v>
      </c>
    </row>
    <row r="60" spans="1:9" ht="15" x14ac:dyDescent="0.2">
      <c r="A60" s="20" t="s">
        <v>267</v>
      </c>
      <c r="B60" s="21" t="s">
        <v>107</v>
      </c>
      <c r="C60" s="21" t="s">
        <v>108</v>
      </c>
      <c r="D60" s="22" t="s">
        <v>62</v>
      </c>
      <c r="E60" s="23">
        <v>2</v>
      </c>
      <c r="F60" s="14">
        <v>1</v>
      </c>
      <c r="G60" s="12">
        <v>1</v>
      </c>
      <c r="H60" s="35"/>
      <c r="I60" s="35">
        <f t="shared" si="3"/>
        <v>0</v>
      </c>
    </row>
    <row r="61" spans="1:9" ht="15" x14ac:dyDescent="0.2">
      <c r="A61" s="20" t="s">
        <v>268</v>
      </c>
      <c r="B61" s="21" t="s">
        <v>109</v>
      </c>
      <c r="C61" s="21" t="s">
        <v>110</v>
      </c>
      <c r="D61" s="22" t="s">
        <v>62</v>
      </c>
      <c r="E61" s="23">
        <v>3</v>
      </c>
      <c r="F61" s="14">
        <v>1</v>
      </c>
      <c r="G61" s="12">
        <v>1</v>
      </c>
      <c r="H61" s="35"/>
      <c r="I61" s="35">
        <f t="shared" si="3"/>
        <v>0</v>
      </c>
    </row>
    <row r="62" spans="1:9" ht="30" x14ac:dyDescent="0.2">
      <c r="A62" s="20" t="s">
        <v>269</v>
      </c>
      <c r="B62" s="21" t="s">
        <v>111</v>
      </c>
      <c r="C62" s="21" t="s">
        <v>112</v>
      </c>
      <c r="D62" s="22" t="s">
        <v>15</v>
      </c>
      <c r="E62" s="23">
        <v>12</v>
      </c>
      <c r="F62" s="14">
        <f>12*0.3</f>
        <v>3.5999999999999996</v>
      </c>
      <c r="G62" s="12">
        <v>1</v>
      </c>
      <c r="H62" s="35"/>
      <c r="I62" s="35">
        <f t="shared" si="3"/>
        <v>0</v>
      </c>
    </row>
    <row r="63" spans="1:9" ht="30" x14ac:dyDescent="0.2">
      <c r="A63" s="20" t="s">
        <v>270</v>
      </c>
      <c r="B63" s="21" t="s">
        <v>113</v>
      </c>
      <c r="C63" s="21" t="s">
        <v>114</v>
      </c>
      <c r="D63" s="22" t="s">
        <v>25</v>
      </c>
      <c r="E63" s="23">
        <v>6</v>
      </c>
      <c r="F63" s="14">
        <f>6*0.3</f>
        <v>1.7999999999999998</v>
      </c>
      <c r="G63" s="12">
        <v>1</v>
      </c>
      <c r="H63" s="35"/>
      <c r="I63" s="35">
        <f t="shared" si="3"/>
        <v>0</v>
      </c>
    </row>
    <row r="64" spans="1:9" ht="45" x14ac:dyDescent="0.2">
      <c r="A64" s="20" t="s">
        <v>271</v>
      </c>
      <c r="B64" s="21" t="s">
        <v>115</v>
      </c>
      <c r="C64" s="21" t="s">
        <v>116</v>
      </c>
      <c r="D64" s="22" t="s">
        <v>13</v>
      </c>
      <c r="E64" s="23">
        <v>640</v>
      </c>
      <c r="F64" s="14">
        <f>F44+F45-F59</f>
        <v>82.100000000000023</v>
      </c>
      <c r="G64" s="12">
        <v>1</v>
      </c>
      <c r="H64" s="35"/>
      <c r="I64" s="35">
        <f t="shared" si="3"/>
        <v>0</v>
      </c>
    </row>
    <row r="65" spans="1:9" ht="30" x14ac:dyDescent="0.2">
      <c r="A65" s="20" t="s">
        <v>272</v>
      </c>
      <c r="B65" s="21" t="s">
        <v>117</v>
      </c>
      <c r="C65" s="21" t="s">
        <v>118</v>
      </c>
      <c r="D65" s="22" t="s">
        <v>62</v>
      </c>
      <c r="E65" s="23">
        <v>23</v>
      </c>
      <c r="F65" s="14">
        <v>3</v>
      </c>
      <c r="G65" s="12">
        <v>1</v>
      </c>
      <c r="H65" s="35"/>
      <c r="I65" s="35">
        <f t="shared" si="3"/>
        <v>0</v>
      </c>
    </row>
    <row r="66" spans="1:9" ht="30" x14ac:dyDescent="0.2">
      <c r="A66" s="20" t="s">
        <v>334</v>
      </c>
      <c r="B66" s="21" t="s">
        <v>119</v>
      </c>
      <c r="C66" s="21" t="s">
        <v>121</v>
      </c>
      <c r="D66" s="22" t="s">
        <v>120</v>
      </c>
      <c r="E66" s="23">
        <v>4</v>
      </c>
      <c r="F66" s="14">
        <f>F67</f>
        <v>1.2505000000000002</v>
      </c>
      <c r="G66" s="12">
        <v>1</v>
      </c>
      <c r="H66" s="35"/>
      <c r="I66" s="35">
        <f t="shared" si="3"/>
        <v>0</v>
      </c>
    </row>
    <row r="67" spans="1:9" ht="30" x14ac:dyDescent="0.2">
      <c r="A67" s="20" t="s">
        <v>340</v>
      </c>
      <c r="B67" s="21" t="s">
        <v>122</v>
      </c>
      <c r="C67" s="21" t="s">
        <v>123</v>
      </c>
      <c r="D67" s="22" t="s">
        <v>120</v>
      </c>
      <c r="E67" s="23">
        <v>4</v>
      </c>
      <c r="F67" s="14">
        <f>(F44+F45)/200</f>
        <v>1.2505000000000002</v>
      </c>
      <c r="G67" s="12">
        <v>1</v>
      </c>
      <c r="H67" s="35"/>
      <c r="I67" s="35">
        <f t="shared" si="3"/>
        <v>0</v>
      </c>
    </row>
    <row r="68" spans="1:9" ht="30" x14ac:dyDescent="0.2">
      <c r="A68" s="20" t="s">
        <v>348</v>
      </c>
      <c r="B68" s="21" t="s">
        <v>124</v>
      </c>
      <c r="C68" s="21" t="s">
        <v>126</v>
      </c>
      <c r="D68" s="22" t="s">
        <v>125</v>
      </c>
      <c r="E68" s="23">
        <v>2</v>
      </c>
      <c r="F68" s="14">
        <f>F67</f>
        <v>1.2505000000000002</v>
      </c>
      <c r="G68" s="12">
        <v>1</v>
      </c>
      <c r="H68" s="35"/>
      <c r="I68" s="35">
        <f t="shared" si="3"/>
        <v>0</v>
      </c>
    </row>
    <row r="69" spans="1:9" ht="30" x14ac:dyDescent="0.2">
      <c r="A69" s="20" t="s">
        <v>352</v>
      </c>
      <c r="B69" s="21" t="s">
        <v>127</v>
      </c>
      <c r="C69" s="21" t="s">
        <v>128</v>
      </c>
      <c r="D69" s="22" t="s">
        <v>125</v>
      </c>
      <c r="E69" s="23">
        <v>2</v>
      </c>
      <c r="F69" s="14">
        <f>F67</f>
        <v>1.2505000000000002</v>
      </c>
      <c r="G69" s="12">
        <v>1</v>
      </c>
      <c r="H69" s="35"/>
      <c r="I69" s="35">
        <f t="shared" si="3"/>
        <v>0</v>
      </c>
    </row>
    <row r="70" spans="1:9" s="6" customFormat="1" ht="15" x14ac:dyDescent="0.25">
      <c r="A70" s="15" t="s">
        <v>273</v>
      </c>
      <c r="B70" s="16" t="s">
        <v>10</v>
      </c>
      <c r="C70" s="16" t="s">
        <v>130</v>
      </c>
      <c r="D70" s="17" t="s">
        <v>205</v>
      </c>
      <c r="E70" s="18" t="s">
        <v>205</v>
      </c>
      <c r="F70" s="19"/>
      <c r="G70" s="17" t="s">
        <v>205</v>
      </c>
      <c r="H70" s="36"/>
      <c r="I70" s="36">
        <f>SUM(I71:I80)</f>
        <v>0</v>
      </c>
    </row>
    <row r="71" spans="1:9" ht="30" x14ac:dyDescent="0.2">
      <c r="A71" s="20" t="s">
        <v>274</v>
      </c>
      <c r="B71" s="21" t="s">
        <v>131</v>
      </c>
      <c r="C71" s="21" t="s">
        <v>132</v>
      </c>
      <c r="D71" s="22" t="s">
        <v>15</v>
      </c>
      <c r="E71" s="23">
        <v>792.5</v>
      </c>
      <c r="F71" s="14">
        <f>F9</f>
        <v>65</v>
      </c>
      <c r="G71" s="12">
        <v>1</v>
      </c>
      <c r="H71" s="35"/>
      <c r="I71" s="35">
        <f t="shared" ref="I71:I79" si="4">ROUND(F71*H71,2)</f>
        <v>0</v>
      </c>
    </row>
    <row r="72" spans="1:9" ht="30" x14ac:dyDescent="0.2">
      <c r="A72" s="20" t="s">
        <v>275</v>
      </c>
      <c r="B72" s="21" t="s">
        <v>133</v>
      </c>
      <c r="C72" s="21" t="s">
        <v>134</v>
      </c>
      <c r="D72" s="22" t="s">
        <v>15</v>
      </c>
      <c r="E72" s="23">
        <v>792.5</v>
      </c>
      <c r="F72" s="14">
        <f>F71</f>
        <v>65</v>
      </c>
      <c r="G72" s="12">
        <v>1</v>
      </c>
      <c r="H72" s="35"/>
      <c r="I72" s="35">
        <f t="shared" si="4"/>
        <v>0</v>
      </c>
    </row>
    <row r="73" spans="1:9" ht="30" x14ac:dyDescent="0.2">
      <c r="A73" s="20" t="s">
        <v>276</v>
      </c>
      <c r="B73" s="21" t="s">
        <v>135</v>
      </c>
      <c r="C73" s="21" t="s">
        <v>136</v>
      </c>
      <c r="D73" s="22" t="s">
        <v>15</v>
      </c>
      <c r="E73" s="23">
        <v>792.5</v>
      </c>
      <c r="F73" s="14">
        <f>F72</f>
        <v>65</v>
      </c>
      <c r="G73" s="12">
        <v>10</v>
      </c>
      <c r="H73" s="35"/>
      <c r="I73" s="35">
        <f t="shared" si="4"/>
        <v>0</v>
      </c>
    </row>
    <row r="74" spans="1:9" ht="45" x14ac:dyDescent="0.2">
      <c r="A74" s="20" t="s">
        <v>277</v>
      </c>
      <c r="B74" s="21" t="s">
        <v>137</v>
      </c>
      <c r="C74" s="21" t="s">
        <v>138</v>
      </c>
      <c r="D74" s="22" t="s">
        <v>15</v>
      </c>
      <c r="E74" s="23">
        <v>124.5</v>
      </c>
      <c r="F74" s="14">
        <f>F71</f>
        <v>65</v>
      </c>
      <c r="G74" s="12">
        <v>2</v>
      </c>
      <c r="H74" s="35"/>
      <c r="I74" s="35">
        <f t="shared" si="4"/>
        <v>0</v>
      </c>
    </row>
    <row r="75" spans="1:9" ht="30" x14ac:dyDescent="0.2">
      <c r="A75" s="20" t="s">
        <v>278</v>
      </c>
      <c r="B75" s="21" t="s">
        <v>139</v>
      </c>
      <c r="C75" s="21" t="s">
        <v>140</v>
      </c>
      <c r="D75" s="22" t="s">
        <v>15</v>
      </c>
      <c r="E75" s="23">
        <v>124.5</v>
      </c>
      <c r="F75" s="14">
        <f>F71</f>
        <v>65</v>
      </c>
      <c r="G75" s="12">
        <v>1</v>
      </c>
      <c r="H75" s="35"/>
      <c r="I75" s="35">
        <f t="shared" si="4"/>
        <v>0</v>
      </c>
    </row>
    <row r="76" spans="1:9" ht="45" x14ac:dyDescent="0.2">
      <c r="A76" s="20" t="s">
        <v>279</v>
      </c>
      <c r="B76" s="21" t="s">
        <v>141</v>
      </c>
      <c r="C76" s="21" t="s">
        <v>142</v>
      </c>
      <c r="D76" s="22" t="s">
        <v>15</v>
      </c>
      <c r="E76" s="23">
        <v>124.5</v>
      </c>
      <c r="F76" s="14">
        <f>F71</f>
        <v>65</v>
      </c>
      <c r="G76" s="12">
        <v>3</v>
      </c>
      <c r="H76" s="35"/>
      <c r="I76" s="35">
        <f t="shared" si="4"/>
        <v>0</v>
      </c>
    </row>
    <row r="77" spans="1:9" ht="45" x14ac:dyDescent="0.2">
      <c r="A77" s="20" t="s">
        <v>280</v>
      </c>
      <c r="B77" s="21" t="s">
        <v>143</v>
      </c>
      <c r="C77" s="21" t="s">
        <v>144</v>
      </c>
      <c r="D77" s="22" t="s">
        <v>15</v>
      </c>
      <c r="E77" s="23">
        <v>630.5</v>
      </c>
      <c r="F77" s="14">
        <f>F11</f>
        <v>6.25</v>
      </c>
      <c r="G77" s="12">
        <v>1</v>
      </c>
      <c r="H77" s="35"/>
      <c r="I77" s="35">
        <f t="shared" si="4"/>
        <v>0</v>
      </c>
    </row>
    <row r="78" spans="1:9" ht="30" x14ac:dyDescent="0.2">
      <c r="A78" s="20" t="s">
        <v>281</v>
      </c>
      <c r="B78" s="21" t="s">
        <v>145</v>
      </c>
      <c r="C78" s="21" t="s">
        <v>146</v>
      </c>
      <c r="D78" s="21" t="s">
        <v>15</v>
      </c>
      <c r="E78" s="23"/>
      <c r="F78" s="14">
        <f>F12</f>
        <v>37.5</v>
      </c>
      <c r="G78" s="12">
        <v>1</v>
      </c>
      <c r="H78" s="35"/>
      <c r="I78" s="35">
        <f t="shared" si="4"/>
        <v>0</v>
      </c>
    </row>
    <row r="79" spans="1:9" ht="30" x14ac:dyDescent="0.2">
      <c r="A79" s="20" t="s">
        <v>341</v>
      </c>
      <c r="B79" s="21" t="s">
        <v>147</v>
      </c>
      <c r="C79" s="21" t="s">
        <v>148</v>
      </c>
      <c r="D79" s="21" t="s">
        <v>13</v>
      </c>
      <c r="E79" s="23"/>
      <c r="F79" s="14">
        <v>10</v>
      </c>
      <c r="G79" s="12">
        <v>1</v>
      </c>
      <c r="H79" s="35"/>
      <c r="I79" s="35">
        <f t="shared" si="4"/>
        <v>0</v>
      </c>
    </row>
    <row r="80" spans="1:9" ht="33.75" customHeight="1" x14ac:dyDescent="0.2">
      <c r="A80" s="20" t="s">
        <v>342</v>
      </c>
      <c r="B80" s="21" t="s">
        <v>149</v>
      </c>
      <c r="C80" s="21" t="s">
        <v>150</v>
      </c>
      <c r="D80" s="22" t="s">
        <v>13</v>
      </c>
      <c r="E80" s="23">
        <v>128</v>
      </c>
      <c r="F80" s="14">
        <f>6</f>
        <v>6</v>
      </c>
      <c r="G80" s="12">
        <v>1</v>
      </c>
      <c r="H80" s="35"/>
      <c r="I80" s="35">
        <f>ROUND(F80*H80,2)</f>
        <v>0</v>
      </c>
    </row>
    <row r="81" spans="1:9" ht="15" x14ac:dyDescent="0.25">
      <c r="A81" s="10" t="s">
        <v>282</v>
      </c>
      <c r="B81" s="11" t="s">
        <v>7</v>
      </c>
      <c r="C81" s="11" t="s">
        <v>212</v>
      </c>
      <c r="D81" s="12"/>
      <c r="E81" s="13"/>
      <c r="F81" s="14"/>
      <c r="G81" s="12"/>
      <c r="H81" s="35"/>
      <c r="I81" s="36">
        <f>I82+I89+I101+I108+I121</f>
        <v>0</v>
      </c>
    </row>
    <row r="82" spans="1:9" ht="15" x14ac:dyDescent="0.25">
      <c r="A82" s="10" t="s">
        <v>283</v>
      </c>
      <c r="B82" s="11" t="s">
        <v>10</v>
      </c>
      <c r="C82" s="11" t="s">
        <v>327</v>
      </c>
      <c r="D82" s="12"/>
      <c r="E82" s="13"/>
      <c r="F82" s="14"/>
      <c r="G82" s="12"/>
      <c r="H82" s="35"/>
      <c r="I82" s="36">
        <f>SUM(I83:I88)</f>
        <v>0</v>
      </c>
    </row>
    <row r="83" spans="1:9" ht="30" x14ac:dyDescent="0.25">
      <c r="A83" s="20" t="s">
        <v>151</v>
      </c>
      <c r="B83" s="21" t="s">
        <v>12</v>
      </c>
      <c r="C83" s="21" t="s">
        <v>152</v>
      </c>
      <c r="D83" s="22" t="s">
        <v>13</v>
      </c>
      <c r="E83" s="13"/>
      <c r="F83" s="14">
        <v>17</v>
      </c>
      <c r="G83" s="12">
        <v>1</v>
      </c>
      <c r="H83" s="35"/>
      <c r="I83" s="35">
        <f t="shared" ref="I83:I88" si="5">ROUND(F83*H83,2)</f>
        <v>0</v>
      </c>
    </row>
    <row r="84" spans="1:9" ht="30" x14ac:dyDescent="0.25">
      <c r="A84" s="28" t="s">
        <v>156</v>
      </c>
      <c r="B84" s="21" t="s">
        <v>20</v>
      </c>
      <c r="C84" s="21" t="s">
        <v>21</v>
      </c>
      <c r="D84" s="22" t="s">
        <v>15</v>
      </c>
      <c r="E84" s="13"/>
      <c r="F84" s="14">
        <f>(7.5+6.5)*1.5</f>
        <v>21</v>
      </c>
      <c r="G84" s="12">
        <v>1</v>
      </c>
      <c r="H84" s="35"/>
      <c r="I84" s="35">
        <f t="shared" si="5"/>
        <v>0</v>
      </c>
    </row>
    <row r="85" spans="1:9" ht="15" x14ac:dyDescent="0.25">
      <c r="A85" s="20" t="s">
        <v>162</v>
      </c>
      <c r="B85" s="21" t="s">
        <v>153</v>
      </c>
      <c r="C85" s="21" t="s">
        <v>154</v>
      </c>
      <c r="D85" s="22" t="s">
        <v>15</v>
      </c>
      <c r="E85" s="13"/>
      <c r="F85" s="14">
        <f>F84</f>
        <v>21</v>
      </c>
      <c r="G85" s="12">
        <v>1</v>
      </c>
      <c r="H85" s="35"/>
      <c r="I85" s="35">
        <f t="shared" si="5"/>
        <v>0</v>
      </c>
    </row>
    <row r="86" spans="1:9" ht="45" x14ac:dyDescent="0.25">
      <c r="A86" s="28" t="s">
        <v>165</v>
      </c>
      <c r="B86" s="21" t="s">
        <v>24</v>
      </c>
      <c r="C86" s="21" t="s">
        <v>26</v>
      </c>
      <c r="D86" s="22" t="s">
        <v>25</v>
      </c>
      <c r="E86" s="13"/>
      <c r="F86" s="14">
        <f>F84*0.15</f>
        <v>3.15</v>
      </c>
      <c r="G86" s="12">
        <v>1</v>
      </c>
      <c r="H86" s="35"/>
      <c r="I86" s="35">
        <f t="shared" si="5"/>
        <v>0</v>
      </c>
    </row>
    <row r="87" spans="1:9" ht="49.5" customHeight="1" x14ac:dyDescent="0.25">
      <c r="A87" s="20" t="s">
        <v>181</v>
      </c>
      <c r="B87" s="21" t="s">
        <v>27</v>
      </c>
      <c r="C87" s="21" t="s">
        <v>336</v>
      </c>
      <c r="D87" s="22" t="s">
        <v>25</v>
      </c>
      <c r="E87" s="13"/>
      <c r="F87" s="14">
        <f>F86</f>
        <v>3.15</v>
      </c>
      <c r="G87" s="12">
        <v>4</v>
      </c>
      <c r="H87" s="35"/>
      <c r="I87" s="35">
        <f t="shared" si="5"/>
        <v>0</v>
      </c>
    </row>
    <row r="88" spans="1:9" ht="30" x14ac:dyDescent="0.2">
      <c r="A88" s="28" t="s">
        <v>337</v>
      </c>
      <c r="B88" s="21" t="s">
        <v>78</v>
      </c>
      <c r="C88" s="21" t="s">
        <v>155</v>
      </c>
      <c r="D88" s="22" t="s">
        <v>62</v>
      </c>
      <c r="E88" s="23">
        <v>10</v>
      </c>
      <c r="F88" s="26">
        <v>3</v>
      </c>
      <c r="G88" s="12">
        <v>1</v>
      </c>
      <c r="H88" s="35"/>
      <c r="I88" s="35">
        <f t="shared" si="5"/>
        <v>0</v>
      </c>
    </row>
    <row r="89" spans="1:9" ht="15" x14ac:dyDescent="0.25">
      <c r="A89" s="10" t="s">
        <v>284</v>
      </c>
      <c r="B89" s="11" t="s">
        <v>10</v>
      </c>
      <c r="C89" s="11" t="s">
        <v>30</v>
      </c>
      <c r="D89" s="12"/>
      <c r="E89" s="13"/>
      <c r="F89" s="14"/>
      <c r="G89" s="12"/>
      <c r="H89" s="35"/>
      <c r="I89" s="36">
        <f>SUM(I90:I100)</f>
        <v>0</v>
      </c>
    </row>
    <row r="90" spans="1:9" ht="30" x14ac:dyDescent="0.2">
      <c r="A90" s="20" t="s">
        <v>285</v>
      </c>
      <c r="B90" s="21" t="s">
        <v>31</v>
      </c>
      <c r="C90" s="21" t="s">
        <v>33</v>
      </c>
      <c r="D90" s="22" t="s">
        <v>32</v>
      </c>
      <c r="E90" s="23">
        <v>0.29499999999999998</v>
      </c>
      <c r="F90" s="25">
        <f>(F109)/1000</f>
        <v>6.9400000000000003E-2</v>
      </c>
      <c r="G90" s="12">
        <v>1</v>
      </c>
      <c r="H90" s="35"/>
      <c r="I90" s="35">
        <f t="shared" ref="I90:I100" si="6">ROUND(F90*H90,2)</f>
        <v>0</v>
      </c>
    </row>
    <row r="91" spans="1:9" ht="47.25" customHeight="1" x14ac:dyDescent="0.2">
      <c r="A91" s="20" t="s">
        <v>286</v>
      </c>
      <c r="B91" s="21" t="s">
        <v>36</v>
      </c>
      <c r="C91" s="21" t="s">
        <v>37</v>
      </c>
      <c r="D91" s="22" t="s">
        <v>25</v>
      </c>
      <c r="E91" s="23">
        <v>159.30000000000001</v>
      </c>
      <c r="F91" s="14">
        <f>F102+3.14*0.0375^2*F109</f>
        <v>37.476000000000006</v>
      </c>
      <c r="G91" s="12">
        <v>1</v>
      </c>
      <c r="H91" s="35"/>
      <c r="I91" s="35">
        <f t="shared" si="6"/>
        <v>0</v>
      </c>
    </row>
    <row r="92" spans="1:9" ht="58.5" customHeight="1" x14ac:dyDescent="0.2">
      <c r="A92" s="20" t="s">
        <v>287</v>
      </c>
      <c r="B92" s="21" t="s">
        <v>38</v>
      </c>
      <c r="C92" s="21" t="s">
        <v>157</v>
      </c>
      <c r="D92" s="22" t="s">
        <v>25</v>
      </c>
      <c r="E92" s="23">
        <v>159.30000000000001</v>
      </c>
      <c r="F92" s="14">
        <f>F91</f>
        <v>37.476000000000006</v>
      </c>
      <c r="G92" s="12">
        <v>1</v>
      </c>
      <c r="H92" s="35"/>
      <c r="I92" s="35">
        <f t="shared" si="6"/>
        <v>0</v>
      </c>
    </row>
    <row r="93" spans="1:9" ht="45" customHeight="1" x14ac:dyDescent="0.2">
      <c r="A93" s="20" t="s">
        <v>288</v>
      </c>
      <c r="B93" s="21" t="s">
        <v>158</v>
      </c>
      <c r="C93" s="21" t="s">
        <v>159</v>
      </c>
      <c r="D93" s="22" t="s">
        <v>25</v>
      </c>
      <c r="E93" s="23">
        <v>203</v>
      </c>
      <c r="F93" s="14">
        <f>((F109)*0.9*1.6-F102+2*1.5*1.6*2)*80%</f>
        <v>57.893155500000013</v>
      </c>
      <c r="G93" s="12">
        <v>1</v>
      </c>
      <c r="H93" s="35"/>
      <c r="I93" s="35">
        <f t="shared" si="6"/>
        <v>0</v>
      </c>
    </row>
    <row r="94" spans="1:9" ht="45" x14ac:dyDescent="0.2">
      <c r="A94" s="20" t="s">
        <v>289</v>
      </c>
      <c r="B94" s="21" t="s">
        <v>40</v>
      </c>
      <c r="C94" s="21" t="s">
        <v>160</v>
      </c>
      <c r="D94" s="22" t="s">
        <v>25</v>
      </c>
      <c r="E94" s="23">
        <v>50.76</v>
      </c>
      <c r="F94" s="14">
        <f>((F109)*0.9*1.6-F102+2*1.5*1.6*2)*20%</f>
        <v>14.473288875000003</v>
      </c>
      <c r="G94" s="12">
        <v>1</v>
      </c>
      <c r="H94" s="35"/>
      <c r="I94" s="35">
        <f t="shared" si="6"/>
        <v>0</v>
      </c>
    </row>
    <row r="95" spans="1:9" ht="60.75" customHeight="1" x14ac:dyDescent="0.2">
      <c r="A95" s="20" t="s">
        <v>290</v>
      </c>
      <c r="B95" s="21" t="s">
        <v>42</v>
      </c>
      <c r="C95" s="21" t="s">
        <v>43</v>
      </c>
      <c r="D95" s="22" t="s">
        <v>15</v>
      </c>
      <c r="E95" s="23">
        <v>944</v>
      </c>
      <c r="F95" s="14">
        <f>(F109)*1.6*2</f>
        <v>222.08000000000004</v>
      </c>
      <c r="G95" s="12">
        <v>1</v>
      </c>
      <c r="H95" s="35"/>
      <c r="I95" s="35">
        <f t="shared" si="6"/>
        <v>0</v>
      </c>
    </row>
    <row r="96" spans="1:9" ht="30" x14ac:dyDescent="0.2">
      <c r="A96" s="20" t="s">
        <v>291</v>
      </c>
      <c r="B96" s="21" t="s">
        <v>61</v>
      </c>
      <c r="C96" s="21" t="s">
        <v>63</v>
      </c>
      <c r="D96" s="22" t="s">
        <v>62</v>
      </c>
      <c r="E96" s="23">
        <v>10</v>
      </c>
      <c r="F96" s="26">
        <v>6</v>
      </c>
      <c r="G96" s="12">
        <v>1</v>
      </c>
      <c r="H96" s="35"/>
      <c r="I96" s="35">
        <f t="shared" si="6"/>
        <v>0</v>
      </c>
    </row>
    <row r="97" spans="1:9" ht="30" x14ac:dyDescent="0.2">
      <c r="A97" s="20" t="s">
        <v>292</v>
      </c>
      <c r="B97" s="21" t="s">
        <v>64</v>
      </c>
      <c r="C97" s="21" t="s">
        <v>65</v>
      </c>
      <c r="D97" s="22" t="s">
        <v>62</v>
      </c>
      <c r="E97" s="23">
        <v>10</v>
      </c>
      <c r="F97" s="26">
        <v>6</v>
      </c>
      <c r="G97" s="12">
        <v>1</v>
      </c>
      <c r="H97" s="35"/>
      <c r="I97" s="35">
        <f t="shared" si="6"/>
        <v>0</v>
      </c>
    </row>
    <row r="98" spans="1:9" ht="45" x14ac:dyDescent="0.2">
      <c r="A98" s="20" t="s">
        <v>293</v>
      </c>
      <c r="B98" s="21" t="s">
        <v>66</v>
      </c>
      <c r="C98" s="21" t="s">
        <v>67</v>
      </c>
      <c r="D98" s="22" t="s">
        <v>62</v>
      </c>
      <c r="E98" s="23">
        <v>35</v>
      </c>
      <c r="F98" s="26">
        <v>5</v>
      </c>
      <c r="G98" s="12">
        <v>1</v>
      </c>
      <c r="H98" s="35"/>
      <c r="I98" s="35">
        <f t="shared" si="6"/>
        <v>0</v>
      </c>
    </row>
    <row r="99" spans="1:9" ht="45" x14ac:dyDescent="0.2">
      <c r="A99" s="20" t="s">
        <v>294</v>
      </c>
      <c r="B99" s="21" t="s">
        <v>68</v>
      </c>
      <c r="C99" s="21" t="s">
        <v>69</v>
      </c>
      <c r="D99" s="22" t="s">
        <v>62</v>
      </c>
      <c r="E99" s="23">
        <v>35</v>
      </c>
      <c r="F99" s="26">
        <f>F98</f>
        <v>5</v>
      </c>
      <c r="G99" s="12">
        <v>1</v>
      </c>
      <c r="H99" s="35"/>
      <c r="I99" s="35">
        <f t="shared" si="6"/>
        <v>0</v>
      </c>
    </row>
    <row r="100" spans="1:9" ht="30" x14ac:dyDescent="0.2">
      <c r="A100" s="20" t="s">
        <v>295</v>
      </c>
      <c r="B100" s="21" t="s">
        <v>70</v>
      </c>
      <c r="C100" s="21" t="s">
        <v>161</v>
      </c>
      <c r="D100" s="22" t="s">
        <v>13</v>
      </c>
      <c r="E100" s="23">
        <v>70</v>
      </c>
      <c r="F100" s="14">
        <f>6*2</f>
        <v>12</v>
      </c>
      <c r="G100" s="12">
        <v>1</v>
      </c>
      <c r="H100" s="35"/>
      <c r="I100" s="35">
        <f t="shared" si="6"/>
        <v>0</v>
      </c>
    </row>
    <row r="101" spans="1:9" ht="15" x14ac:dyDescent="0.25">
      <c r="A101" s="10" t="s">
        <v>296</v>
      </c>
      <c r="B101" s="11" t="s">
        <v>10</v>
      </c>
      <c r="C101" s="11" t="s">
        <v>47</v>
      </c>
      <c r="D101" s="12"/>
      <c r="E101" s="13"/>
      <c r="F101" s="14"/>
      <c r="G101" s="12"/>
      <c r="H101" s="35"/>
      <c r="I101" s="36">
        <f>SUM(I102:I107)</f>
        <v>0</v>
      </c>
    </row>
    <row r="102" spans="1:9" ht="30" x14ac:dyDescent="0.2">
      <c r="A102" s="20" t="s">
        <v>297</v>
      </c>
      <c r="B102" s="21" t="s">
        <v>48</v>
      </c>
      <c r="C102" s="21" t="s">
        <v>353</v>
      </c>
      <c r="D102" s="22" t="s">
        <v>25</v>
      </c>
      <c r="E102" s="23">
        <v>159.30000000000001</v>
      </c>
      <c r="F102" s="14">
        <f>(F109)*0.9*0.6-3.14*0.0375^2*F109</f>
        <v>37.169555625000008</v>
      </c>
      <c r="G102" s="12">
        <v>1</v>
      </c>
      <c r="H102" s="35"/>
      <c r="I102" s="35">
        <f t="shared" ref="I102:I107" si="7">ROUND(F102*H102,2)</f>
        <v>0</v>
      </c>
    </row>
    <row r="103" spans="1:9" ht="45" x14ac:dyDescent="0.2">
      <c r="A103" s="20" t="s">
        <v>298</v>
      </c>
      <c r="B103" s="21" t="s">
        <v>50</v>
      </c>
      <c r="C103" s="21" t="s">
        <v>51</v>
      </c>
      <c r="D103" s="22" t="s">
        <v>25</v>
      </c>
      <c r="E103" s="23">
        <v>159.30000000000001</v>
      </c>
      <c r="F103" s="14">
        <f>F102</f>
        <v>37.169555625000008</v>
      </c>
      <c r="G103" s="12">
        <v>1</v>
      </c>
      <c r="H103" s="35"/>
      <c r="I103" s="35">
        <f t="shared" si="7"/>
        <v>0</v>
      </c>
    </row>
    <row r="104" spans="1:9" ht="45" x14ac:dyDescent="0.2">
      <c r="A104" s="20" t="s">
        <v>299</v>
      </c>
      <c r="B104" s="21" t="s">
        <v>163</v>
      </c>
      <c r="C104" s="21" t="s">
        <v>164</v>
      </c>
      <c r="D104" s="22" t="s">
        <v>25</v>
      </c>
      <c r="E104" s="23">
        <v>253.8</v>
      </c>
      <c r="F104" s="14">
        <f>F93+F94</f>
        <v>72.366444375000015</v>
      </c>
      <c r="G104" s="12">
        <v>1</v>
      </c>
      <c r="H104" s="35"/>
      <c r="I104" s="35">
        <f t="shared" si="7"/>
        <v>0</v>
      </c>
    </row>
    <row r="105" spans="1:9" ht="30" x14ac:dyDescent="0.2">
      <c r="A105" s="20" t="s">
        <v>300</v>
      </c>
      <c r="B105" s="21" t="s">
        <v>52</v>
      </c>
      <c r="C105" s="21" t="s">
        <v>53</v>
      </c>
      <c r="D105" s="22" t="s">
        <v>25</v>
      </c>
      <c r="E105" s="23">
        <v>413.1</v>
      </c>
      <c r="F105" s="14">
        <f>F103+F104</f>
        <v>109.53600000000003</v>
      </c>
      <c r="G105" s="12">
        <v>1</v>
      </c>
      <c r="H105" s="35"/>
      <c r="I105" s="35">
        <f t="shared" si="7"/>
        <v>0</v>
      </c>
    </row>
    <row r="106" spans="1:9" ht="30" x14ac:dyDescent="0.2">
      <c r="A106" s="20" t="s">
        <v>301</v>
      </c>
      <c r="B106" s="21" t="s">
        <v>56</v>
      </c>
      <c r="C106" s="21" t="s">
        <v>57</v>
      </c>
      <c r="D106" s="22" t="s">
        <v>15</v>
      </c>
      <c r="E106" s="23">
        <v>484.8</v>
      </c>
      <c r="F106" s="14">
        <f>(26.1+0.5*77.2)*2</f>
        <v>129.4</v>
      </c>
      <c r="G106" s="12">
        <v>1</v>
      </c>
      <c r="H106" s="35"/>
      <c r="I106" s="35">
        <f t="shared" si="7"/>
        <v>0</v>
      </c>
    </row>
    <row r="107" spans="1:9" ht="35.25" customHeight="1" x14ac:dyDescent="0.2">
      <c r="A107" s="20" t="s">
        <v>302</v>
      </c>
      <c r="B107" s="21" t="s">
        <v>58</v>
      </c>
      <c r="C107" s="21" t="s">
        <v>60</v>
      </c>
      <c r="D107" s="22" t="s">
        <v>59</v>
      </c>
      <c r="E107" s="23">
        <v>4.8000000000000001E-2</v>
      </c>
      <c r="F107" s="14">
        <f>F106/1000</f>
        <v>0.12940000000000002</v>
      </c>
      <c r="G107" s="12">
        <v>1</v>
      </c>
      <c r="H107" s="35"/>
      <c r="I107" s="35">
        <f t="shared" si="7"/>
        <v>0</v>
      </c>
    </row>
    <row r="108" spans="1:9" ht="15" x14ac:dyDescent="0.25">
      <c r="A108" s="10" t="s">
        <v>303</v>
      </c>
      <c r="B108" s="11" t="s">
        <v>10</v>
      </c>
      <c r="C108" s="11" t="s">
        <v>218</v>
      </c>
      <c r="D108" s="12"/>
      <c r="E108" s="13"/>
      <c r="F108" s="14"/>
      <c r="G108" s="12"/>
      <c r="H108" s="35"/>
      <c r="I108" s="36">
        <f>SUM(I109:I120)</f>
        <v>0</v>
      </c>
    </row>
    <row r="109" spans="1:9" ht="30" x14ac:dyDescent="0.2">
      <c r="A109" s="20" t="s">
        <v>304</v>
      </c>
      <c r="B109" s="21" t="s">
        <v>166</v>
      </c>
      <c r="C109" s="21" t="s">
        <v>167</v>
      </c>
      <c r="D109" s="22" t="s">
        <v>13</v>
      </c>
      <c r="E109" s="23">
        <v>295</v>
      </c>
      <c r="F109" s="14">
        <f>33.6+35.8</f>
        <v>69.400000000000006</v>
      </c>
      <c r="G109" s="12">
        <v>1</v>
      </c>
      <c r="H109" s="35"/>
      <c r="I109" s="35">
        <f t="shared" ref="I109:I120" si="8">ROUND(F109*H109,2)</f>
        <v>0</v>
      </c>
    </row>
    <row r="110" spans="1:9" ht="45" x14ac:dyDescent="0.2">
      <c r="A110" s="20" t="s">
        <v>305</v>
      </c>
      <c r="B110" s="21" t="s">
        <v>168</v>
      </c>
      <c r="C110" s="21" t="s">
        <v>169</v>
      </c>
      <c r="D110" s="22" t="s">
        <v>13</v>
      </c>
      <c r="E110" s="23">
        <v>90</v>
      </c>
      <c r="F110" s="14">
        <f>4*5</f>
        <v>20</v>
      </c>
      <c r="G110" s="12">
        <v>1</v>
      </c>
      <c r="H110" s="35"/>
      <c r="I110" s="35">
        <f t="shared" si="8"/>
        <v>0</v>
      </c>
    </row>
    <row r="111" spans="1:9" ht="30" x14ac:dyDescent="0.2">
      <c r="A111" s="20" t="s">
        <v>306</v>
      </c>
      <c r="B111" s="21" t="s">
        <v>96</v>
      </c>
      <c r="C111" s="21" t="s">
        <v>354</v>
      </c>
      <c r="D111" s="22" t="s">
        <v>76</v>
      </c>
      <c r="E111" s="23">
        <v>12</v>
      </c>
      <c r="F111" s="14">
        <v>4</v>
      </c>
      <c r="G111" s="12">
        <v>1</v>
      </c>
      <c r="H111" s="35"/>
      <c r="I111" s="35">
        <f t="shared" si="8"/>
        <v>0</v>
      </c>
    </row>
    <row r="112" spans="1:9" ht="30" x14ac:dyDescent="0.2">
      <c r="A112" s="20" t="s">
        <v>307</v>
      </c>
      <c r="B112" s="21" t="s">
        <v>170</v>
      </c>
      <c r="C112" s="21" t="s">
        <v>171</v>
      </c>
      <c r="D112" s="22" t="s">
        <v>101</v>
      </c>
      <c r="E112" s="23">
        <v>89</v>
      </c>
      <c r="F112" s="26">
        <v>18</v>
      </c>
      <c r="G112" s="12">
        <v>1</v>
      </c>
      <c r="H112" s="35"/>
      <c r="I112" s="35">
        <f t="shared" si="8"/>
        <v>0</v>
      </c>
    </row>
    <row r="113" spans="1:9" ht="30" x14ac:dyDescent="0.2">
      <c r="A113" s="20" t="s">
        <v>308</v>
      </c>
      <c r="B113" s="21" t="s">
        <v>172</v>
      </c>
      <c r="C113" s="21" t="s">
        <v>173</v>
      </c>
      <c r="D113" s="22" t="s">
        <v>76</v>
      </c>
      <c r="E113" s="23">
        <v>16</v>
      </c>
      <c r="F113" s="26">
        <v>4</v>
      </c>
      <c r="G113" s="12">
        <v>1</v>
      </c>
      <c r="H113" s="35"/>
      <c r="I113" s="35">
        <f t="shared" si="8"/>
        <v>0</v>
      </c>
    </row>
    <row r="114" spans="1:9" ht="30" x14ac:dyDescent="0.2">
      <c r="A114" s="20" t="s">
        <v>309</v>
      </c>
      <c r="B114" s="21" t="s">
        <v>83</v>
      </c>
      <c r="C114" s="21" t="s">
        <v>174</v>
      </c>
      <c r="D114" s="22" t="s">
        <v>62</v>
      </c>
      <c r="E114" s="23">
        <v>16</v>
      </c>
      <c r="F114" s="26">
        <v>4</v>
      </c>
      <c r="G114" s="12">
        <v>1</v>
      </c>
      <c r="H114" s="35"/>
      <c r="I114" s="35">
        <f t="shared" si="8"/>
        <v>0</v>
      </c>
    </row>
    <row r="115" spans="1:9" ht="30" x14ac:dyDescent="0.2">
      <c r="A115" s="20" t="s">
        <v>310</v>
      </c>
      <c r="B115" s="21" t="s">
        <v>175</v>
      </c>
      <c r="C115" s="21" t="s">
        <v>176</v>
      </c>
      <c r="D115" s="22" t="s">
        <v>76</v>
      </c>
      <c r="E115" s="23">
        <v>16</v>
      </c>
      <c r="F115" s="26">
        <v>4</v>
      </c>
      <c r="G115" s="12">
        <v>1</v>
      </c>
      <c r="H115" s="35"/>
      <c r="I115" s="35">
        <f t="shared" si="8"/>
        <v>0</v>
      </c>
    </row>
    <row r="116" spans="1:9" ht="30" x14ac:dyDescent="0.2">
      <c r="A116" s="20" t="s">
        <v>311</v>
      </c>
      <c r="B116" s="21" t="s">
        <v>177</v>
      </c>
      <c r="C116" s="21" t="s">
        <v>178</v>
      </c>
      <c r="D116" s="22" t="s">
        <v>76</v>
      </c>
      <c r="E116" s="23">
        <v>16</v>
      </c>
      <c r="F116" s="26">
        <f>16*0.3</f>
        <v>4.8</v>
      </c>
      <c r="G116" s="12">
        <v>1</v>
      </c>
      <c r="H116" s="35"/>
      <c r="I116" s="35">
        <f t="shared" si="8"/>
        <v>0</v>
      </c>
    </row>
    <row r="117" spans="1:9" ht="30" x14ac:dyDescent="0.2">
      <c r="A117" s="20" t="s">
        <v>312</v>
      </c>
      <c r="B117" s="21" t="s">
        <v>117</v>
      </c>
      <c r="C117" s="21" t="s">
        <v>118</v>
      </c>
      <c r="D117" s="22" t="s">
        <v>62</v>
      </c>
      <c r="E117" s="23">
        <v>16</v>
      </c>
      <c r="F117" s="26">
        <v>5</v>
      </c>
      <c r="G117" s="12">
        <v>1</v>
      </c>
      <c r="H117" s="35"/>
      <c r="I117" s="35">
        <f t="shared" si="8"/>
        <v>0</v>
      </c>
    </row>
    <row r="118" spans="1:9" ht="30" x14ac:dyDescent="0.2">
      <c r="A118" s="20" t="s">
        <v>313</v>
      </c>
      <c r="B118" s="21" t="s">
        <v>119</v>
      </c>
      <c r="C118" s="21" t="s">
        <v>121</v>
      </c>
      <c r="D118" s="22" t="s">
        <v>120</v>
      </c>
      <c r="E118" s="23">
        <v>2</v>
      </c>
      <c r="F118" s="14">
        <f>(F109)/200</f>
        <v>0.34700000000000003</v>
      </c>
      <c r="G118" s="12">
        <v>1</v>
      </c>
      <c r="H118" s="35"/>
      <c r="I118" s="35">
        <f t="shared" si="8"/>
        <v>0</v>
      </c>
    </row>
    <row r="119" spans="1:9" ht="30" x14ac:dyDescent="0.2">
      <c r="A119" s="20" t="s">
        <v>314</v>
      </c>
      <c r="B119" s="21" t="s">
        <v>122</v>
      </c>
      <c r="C119" s="21" t="s">
        <v>123</v>
      </c>
      <c r="D119" s="22" t="s">
        <v>120</v>
      </c>
      <c r="E119" s="23">
        <v>2</v>
      </c>
      <c r="F119" s="14">
        <f>F118</f>
        <v>0.34700000000000003</v>
      </c>
      <c r="G119" s="12">
        <v>1</v>
      </c>
      <c r="H119" s="35"/>
      <c r="I119" s="35">
        <f t="shared" si="8"/>
        <v>0</v>
      </c>
    </row>
    <row r="120" spans="1:9" ht="30" x14ac:dyDescent="0.2">
      <c r="A120" s="20" t="s">
        <v>315</v>
      </c>
      <c r="B120" s="21" t="s">
        <v>179</v>
      </c>
      <c r="C120" s="21" t="s">
        <v>180</v>
      </c>
      <c r="D120" s="22" t="s">
        <v>125</v>
      </c>
      <c r="E120" s="23">
        <v>1.5</v>
      </c>
      <c r="F120" s="14">
        <f>F119</f>
        <v>0.34700000000000003</v>
      </c>
      <c r="G120" s="12">
        <v>1</v>
      </c>
      <c r="H120" s="35"/>
      <c r="I120" s="35">
        <f t="shared" si="8"/>
        <v>0</v>
      </c>
    </row>
    <row r="121" spans="1:9" ht="15" x14ac:dyDescent="0.25">
      <c r="A121" s="10" t="s">
        <v>316</v>
      </c>
      <c r="B121" s="11" t="s">
        <v>10</v>
      </c>
      <c r="C121" s="11" t="s">
        <v>325</v>
      </c>
      <c r="D121" s="12"/>
      <c r="E121" s="13"/>
      <c r="F121" s="14"/>
      <c r="G121" s="12"/>
      <c r="H121" s="35"/>
      <c r="I121" s="36">
        <f>SUM(I122:I126)</f>
        <v>0</v>
      </c>
    </row>
    <row r="122" spans="1:9" ht="30" x14ac:dyDescent="0.2">
      <c r="A122" s="20" t="s">
        <v>317</v>
      </c>
      <c r="B122" s="21" t="s">
        <v>131</v>
      </c>
      <c r="C122" s="21" t="s">
        <v>182</v>
      </c>
      <c r="D122" s="22" t="s">
        <v>15</v>
      </c>
      <c r="E122" s="23">
        <v>78.3</v>
      </c>
      <c r="F122" s="14">
        <f>2*2.5*4</f>
        <v>20</v>
      </c>
      <c r="G122" s="12">
        <v>2</v>
      </c>
      <c r="H122" s="35"/>
      <c r="I122" s="35">
        <f t="shared" ref="I122:I126" si="9">ROUND(F122*H122,2)</f>
        <v>0</v>
      </c>
    </row>
    <row r="123" spans="1:9" ht="30" x14ac:dyDescent="0.2">
      <c r="A123" s="20" t="s">
        <v>318</v>
      </c>
      <c r="B123" s="21" t="s">
        <v>133</v>
      </c>
      <c r="C123" s="21" t="s">
        <v>134</v>
      </c>
      <c r="D123" s="22" t="s">
        <v>15</v>
      </c>
      <c r="E123" s="23">
        <v>78.3</v>
      </c>
      <c r="F123" s="14">
        <f>F122</f>
        <v>20</v>
      </c>
      <c r="G123" s="12">
        <v>1</v>
      </c>
      <c r="H123" s="35"/>
      <c r="I123" s="35">
        <f t="shared" si="9"/>
        <v>0</v>
      </c>
    </row>
    <row r="124" spans="1:9" ht="45" x14ac:dyDescent="0.2">
      <c r="A124" s="20" t="s">
        <v>319</v>
      </c>
      <c r="B124" s="21" t="s">
        <v>143</v>
      </c>
      <c r="C124" s="21" t="s">
        <v>144</v>
      </c>
      <c r="D124" s="22" t="s">
        <v>15</v>
      </c>
      <c r="E124" s="23">
        <v>78.3</v>
      </c>
      <c r="F124" s="14">
        <f>F122</f>
        <v>20</v>
      </c>
      <c r="G124" s="12">
        <v>1</v>
      </c>
      <c r="H124" s="35"/>
      <c r="I124" s="35">
        <f t="shared" si="9"/>
        <v>0</v>
      </c>
    </row>
    <row r="125" spans="1:9" ht="30" x14ac:dyDescent="0.2">
      <c r="A125" s="20" t="s">
        <v>320</v>
      </c>
      <c r="B125" s="21" t="s">
        <v>147</v>
      </c>
      <c r="C125" s="21" t="s">
        <v>148</v>
      </c>
      <c r="D125" s="22" t="s">
        <v>13</v>
      </c>
      <c r="E125" s="23">
        <v>15</v>
      </c>
      <c r="F125" s="14">
        <f>2</f>
        <v>2</v>
      </c>
      <c r="G125" s="12">
        <v>1</v>
      </c>
      <c r="H125" s="35"/>
      <c r="I125" s="35">
        <f t="shared" si="9"/>
        <v>0</v>
      </c>
    </row>
    <row r="126" spans="1:9" ht="30" x14ac:dyDescent="0.2">
      <c r="A126" s="20" t="s">
        <v>321</v>
      </c>
      <c r="B126" s="21" t="s">
        <v>149</v>
      </c>
      <c r="C126" s="21" t="s">
        <v>150</v>
      </c>
      <c r="D126" s="22" t="s">
        <v>13</v>
      </c>
      <c r="E126" s="23">
        <v>85</v>
      </c>
      <c r="F126" s="14">
        <f>2*4</f>
        <v>8</v>
      </c>
      <c r="G126" s="12">
        <v>1</v>
      </c>
      <c r="H126" s="35"/>
      <c r="I126" s="35">
        <f t="shared" si="9"/>
        <v>0</v>
      </c>
    </row>
    <row r="127" spans="1:9" ht="15" x14ac:dyDescent="0.25">
      <c r="A127" s="15" t="s">
        <v>183</v>
      </c>
      <c r="B127" s="11" t="s">
        <v>322</v>
      </c>
      <c r="C127" s="11" t="s">
        <v>323</v>
      </c>
      <c r="D127" s="29" t="s">
        <v>0</v>
      </c>
      <c r="E127" s="30" t="s">
        <v>0</v>
      </c>
      <c r="F127" s="31"/>
      <c r="G127" s="29" t="s">
        <v>0</v>
      </c>
      <c r="H127" s="37"/>
      <c r="I127" s="37">
        <f>I128</f>
        <v>0</v>
      </c>
    </row>
    <row r="128" spans="1:9" ht="15" x14ac:dyDescent="0.25">
      <c r="A128" s="10" t="s">
        <v>184</v>
      </c>
      <c r="B128" s="11" t="s">
        <v>10</v>
      </c>
      <c r="C128" s="11" t="s">
        <v>185</v>
      </c>
      <c r="D128" s="12"/>
      <c r="E128" s="13"/>
      <c r="F128" s="14"/>
      <c r="G128" s="12"/>
      <c r="H128" s="35"/>
      <c r="I128" s="35">
        <f>SUM(I129:I134)</f>
        <v>0</v>
      </c>
    </row>
    <row r="129" spans="1:9" ht="30" x14ac:dyDescent="0.2">
      <c r="A129" s="20" t="s">
        <v>186</v>
      </c>
      <c r="B129" s="21" t="s">
        <v>99</v>
      </c>
      <c r="C129" s="21" t="s">
        <v>187</v>
      </c>
      <c r="D129" s="22" t="s">
        <v>76</v>
      </c>
      <c r="E129" s="23">
        <v>2</v>
      </c>
      <c r="F129" s="26">
        <v>2</v>
      </c>
      <c r="G129" s="12">
        <v>1</v>
      </c>
      <c r="H129" s="35"/>
      <c r="I129" s="35">
        <f t="shared" ref="I129:I134" si="10">ROUND(F129*H129,2)</f>
        <v>0</v>
      </c>
    </row>
    <row r="130" spans="1:9" ht="30" x14ac:dyDescent="0.2">
      <c r="A130" s="20" t="s">
        <v>188</v>
      </c>
      <c r="B130" s="21" t="s">
        <v>94</v>
      </c>
      <c r="C130" s="21" t="s">
        <v>189</v>
      </c>
      <c r="D130" s="22" t="s">
        <v>76</v>
      </c>
      <c r="E130" s="23">
        <v>1</v>
      </c>
      <c r="F130" s="26">
        <v>1</v>
      </c>
      <c r="G130" s="12">
        <v>1</v>
      </c>
      <c r="H130" s="35"/>
      <c r="I130" s="35">
        <f t="shared" si="10"/>
        <v>0</v>
      </c>
    </row>
    <row r="131" spans="1:9" ht="30" x14ac:dyDescent="0.2">
      <c r="A131" s="20" t="s">
        <v>190</v>
      </c>
      <c r="B131" s="21" t="s">
        <v>95</v>
      </c>
      <c r="C131" s="21" t="s">
        <v>191</v>
      </c>
      <c r="D131" s="22" t="s">
        <v>76</v>
      </c>
      <c r="E131" s="23">
        <v>1</v>
      </c>
      <c r="F131" s="26">
        <v>1</v>
      </c>
      <c r="G131" s="12">
        <v>1</v>
      </c>
      <c r="H131" s="35"/>
      <c r="I131" s="35">
        <f t="shared" si="10"/>
        <v>0</v>
      </c>
    </row>
    <row r="132" spans="1:9" ht="30" x14ac:dyDescent="0.2">
      <c r="A132" s="20" t="s">
        <v>192</v>
      </c>
      <c r="B132" s="21" t="s">
        <v>78</v>
      </c>
      <c r="C132" s="21" t="s">
        <v>194</v>
      </c>
      <c r="D132" s="22" t="s">
        <v>193</v>
      </c>
      <c r="E132" s="23">
        <v>1</v>
      </c>
      <c r="F132" s="26">
        <v>1</v>
      </c>
      <c r="G132" s="12">
        <v>1</v>
      </c>
      <c r="H132" s="35"/>
      <c r="I132" s="35">
        <f t="shared" si="10"/>
        <v>0</v>
      </c>
    </row>
    <row r="133" spans="1:9" ht="30" x14ac:dyDescent="0.2">
      <c r="A133" s="20" t="s">
        <v>195</v>
      </c>
      <c r="B133" s="21" t="s">
        <v>175</v>
      </c>
      <c r="C133" s="21" t="s">
        <v>176</v>
      </c>
      <c r="D133" s="22" t="s">
        <v>76</v>
      </c>
      <c r="E133" s="23">
        <v>2</v>
      </c>
      <c r="F133" s="26">
        <v>2</v>
      </c>
      <c r="G133" s="12">
        <v>1</v>
      </c>
      <c r="H133" s="35"/>
      <c r="I133" s="35">
        <f t="shared" si="10"/>
        <v>0</v>
      </c>
    </row>
    <row r="134" spans="1:9" ht="30" x14ac:dyDescent="0.2">
      <c r="A134" s="20" t="s">
        <v>196</v>
      </c>
      <c r="B134" s="21" t="s">
        <v>177</v>
      </c>
      <c r="C134" s="21" t="s">
        <v>178</v>
      </c>
      <c r="D134" s="22" t="s">
        <v>76</v>
      </c>
      <c r="E134" s="23">
        <v>2</v>
      </c>
      <c r="F134" s="26">
        <v>2</v>
      </c>
      <c r="G134" s="12">
        <v>1</v>
      </c>
      <c r="H134" s="35"/>
      <c r="I134" s="35">
        <f t="shared" si="10"/>
        <v>0</v>
      </c>
    </row>
    <row r="135" spans="1:9" ht="15" x14ac:dyDescent="0.25">
      <c r="A135" s="15" t="s">
        <v>197</v>
      </c>
      <c r="B135" s="16" t="s">
        <v>7</v>
      </c>
      <c r="C135" s="16" t="s">
        <v>326</v>
      </c>
      <c r="D135" s="17"/>
      <c r="E135" s="18"/>
      <c r="F135" s="19"/>
      <c r="G135" s="17"/>
      <c r="H135" s="36"/>
      <c r="I135" s="36">
        <f>I136</f>
        <v>0</v>
      </c>
    </row>
    <row r="136" spans="1:9" s="6" customFormat="1" ht="15" x14ac:dyDescent="0.25">
      <c r="A136" s="15" t="s">
        <v>198</v>
      </c>
      <c r="B136" s="16" t="s">
        <v>10</v>
      </c>
      <c r="C136" s="16" t="s">
        <v>324</v>
      </c>
      <c r="D136" s="17" t="s">
        <v>0</v>
      </c>
      <c r="E136" s="18">
        <v>1</v>
      </c>
      <c r="F136" s="32"/>
      <c r="G136" s="17"/>
      <c r="H136" s="36"/>
      <c r="I136" s="40">
        <f>SUM(I137:I139)</f>
        <v>0</v>
      </c>
    </row>
    <row r="137" spans="1:9" ht="30" x14ac:dyDescent="0.2">
      <c r="A137" s="20" t="s">
        <v>199</v>
      </c>
      <c r="B137" s="21" t="s">
        <v>78</v>
      </c>
      <c r="C137" s="21" t="s">
        <v>200</v>
      </c>
      <c r="D137" s="22" t="s">
        <v>193</v>
      </c>
      <c r="E137" s="23">
        <v>1</v>
      </c>
      <c r="F137" s="26">
        <v>1</v>
      </c>
      <c r="G137" s="12">
        <v>1</v>
      </c>
      <c r="H137" s="35"/>
      <c r="I137" s="35">
        <f t="shared" ref="I137:I139" si="11">ROUND(F137*H137,2)</f>
        <v>0</v>
      </c>
    </row>
    <row r="138" spans="1:9" ht="30" x14ac:dyDescent="0.2">
      <c r="A138" s="20" t="s">
        <v>201</v>
      </c>
      <c r="B138" s="21" t="s">
        <v>78</v>
      </c>
      <c r="C138" s="21" t="s">
        <v>202</v>
      </c>
      <c r="D138" s="22" t="s">
        <v>193</v>
      </c>
      <c r="E138" s="23">
        <v>1</v>
      </c>
      <c r="F138" s="26">
        <v>1</v>
      </c>
      <c r="G138" s="12">
        <v>1</v>
      </c>
      <c r="H138" s="35"/>
      <c r="I138" s="35">
        <f t="shared" si="11"/>
        <v>0</v>
      </c>
    </row>
    <row r="139" spans="1:9" ht="30" x14ac:dyDescent="0.2">
      <c r="A139" s="20" t="s">
        <v>203</v>
      </c>
      <c r="B139" s="21" t="s">
        <v>78</v>
      </c>
      <c r="C139" s="21" t="s">
        <v>204</v>
      </c>
      <c r="D139" s="22" t="s">
        <v>193</v>
      </c>
      <c r="E139" s="23">
        <v>1</v>
      </c>
      <c r="F139" s="26">
        <v>1</v>
      </c>
      <c r="G139" s="12">
        <v>1</v>
      </c>
      <c r="H139" s="35"/>
      <c r="I139" s="35">
        <f t="shared" si="11"/>
        <v>0</v>
      </c>
    </row>
    <row r="140" spans="1:9" ht="15" customHeight="1" x14ac:dyDescent="0.2">
      <c r="A140" s="41" t="s">
        <v>329</v>
      </c>
      <c r="B140" s="41"/>
      <c r="C140" s="41"/>
      <c r="D140" s="41"/>
      <c r="E140" s="41"/>
      <c r="F140" s="41"/>
      <c r="G140" s="41"/>
      <c r="H140" s="41"/>
      <c r="I140" s="38">
        <f>I135+I127+I81+I5</f>
        <v>0</v>
      </c>
    </row>
    <row r="141" spans="1:9" ht="12.75" customHeight="1" x14ac:dyDescent="0.2">
      <c r="A141" s="41" t="s">
        <v>330</v>
      </c>
      <c r="B141" s="41"/>
      <c r="C141" s="41"/>
      <c r="D141" s="41"/>
      <c r="E141" s="41"/>
      <c r="F141" s="41"/>
      <c r="G141" s="41"/>
      <c r="H141" s="41"/>
      <c r="I141" s="38">
        <f>ROUND(I140*23%,2)</f>
        <v>0</v>
      </c>
    </row>
    <row r="142" spans="1:9" ht="12.75" customHeight="1" x14ac:dyDescent="0.2">
      <c r="A142" s="41" t="s">
        <v>331</v>
      </c>
      <c r="B142" s="41"/>
      <c r="C142" s="41"/>
      <c r="D142" s="41"/>
      <c r="E142" s="41"/>
      <c r="F142" s="41"/>
      <c r="G142" s="41"/>
      <c r="H142" s="41"/>
      <c r="I142" s="38">
        <f>I140+I141</f>
        <v>0</v>
      </c>
    </row>
  </sheetData>
  <sheetProtection algorithmName="SHA-512" hashValue="mEa2b6cAS1JHN0EpTpVEWvkp0Dcih6Pp/WdwiXeZrSbw48n5ani4uomB89vikb57mUBCV4PXXDg3CCyDGwveWA==" saltValue="06nFwuwY8pXHH8/EmuN05Q==" spinCount="100000" sheet="1" objects="1" scenarios="1"/>
  <mergeCells count="5">
    <mergeCell ref="A140:H140"/>
    <mergeCell ref="A141:H141"/>
    <mergeCell ref="A142:H142"/>
    <mergeCell ref="A2:I3"/>
    <mergeCell ref="A1:I1"/>
  </mergeCells>
  <phoneticPr fontId="12" type="noConversion"/>
  <pageMargins left="0.7" right="0.7" top="0.75" bottom="0.75" header="0.5" footer="0.5"/>
  <pageSetup paperSize="9" scale="7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 W1-W6</vt:lpstr>
      <vt:lpstr>'Przedmiar W1-W6'!Obszar_wydruku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Lucyna Chorągwicka-Batkiewicz</dc:creator>
  <cp:lastModifiedBy>Lucyna Chorągwicka-Batkiewicz</cp:lastModifiedBy>
  <cp:lastPrinted>2024-06-25T08:01:24Z</cp:lastPrinted>
  <dcterms:created xsi:type="dcterms:W3CDTF">2013-03-19T16:38:19Z</dcterms:created>
  <dcterms:modified xsi:type="dcterms:W3CDTF">2024-07-03T10:38:37Z</dcterms:modified>
</cp:coreProperties>
</file>