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prokopiuk\Desktop\Prąd\wysłane zapytanie\"/>
    </mc:Choice>
  </mc:AlternateContent>
  <xr:revisionPtr revIDLastSave="0" documentId="8_{A6BC55A7-1832-4F21-8D90-87CF4EC012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HH" sheetId="1" r:id="rId1"/>
    <sheet name="PHH HOTELE" sheetId="4" r:id="rId2"/>
    <sheet name="WPUT +GAT" sheetId="6" r:id="rId3"/>
    <sheet name="Elbest" sheetId="2" r:id="rId4"/>
  </sheets>
  <externalReferences>
    <externalReference r:id="rId5"/>
  </externalReferences>
  <definedNames>
    <definedName name="osd">[1]OSD!$A$2:$A$132</definedName>
    <definedName name="taryfy">[1]GrupyTaryfowe!$A$2:$A$62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O7" i="6" l="1"/>
  <c r="O6" i="6"/>
  <c r="O5" i="6"/>
  <c r="O11" i="6" s="1"/>
  <c r="J19" i="4"/>
  <c r="J18" i="4"/>
  <c r="J17" i="4"/>
  <c r="J16" i="4"/>
  <c r="J15" i="4"/>
  <c r="J14" i="4"/>
  <c r="J13" i="4"/>
  <c r="M156" i="1"/>
  <c r="L156" i="1"/>
  <c r="K156" i="1"/>
  <c r="M155" i="1"/>
  <c r="L155" i="1"/>
  <c r="K155" i="1"/>
  <c r="L154" i="1"/>
  <c r="K154" i="1"/>
  <c r="L153" i="1"/>
  <c r="K153" i="1"/>
  <c r="N152" i="1"/>
  <c r="M151" i="1"/>
  <c r="L151" i="1"/>
  <c r="K151" i="1"/>
  <c r="M150" i="1"/>
  <c r="L150" i="1"/>
  <c r="K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L93" i="1"/>
  <c r="N93" i="1" s="1"/>
  <c r="K93" i="1"/>
  <c r="L92" i="1"/>
  <c r="K92" i="1"/>
  <c r="L91" i="1"/>
  <c r="K91" i="1"/>
  <c r="L90" i="1"/>
  <c r="K90" i="1"/>
  <c r="L89" i="1"/>
  <c r="N89" i="1" s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N83" i="1" s="1"/>
  <c r="L82" i="1"/>
  <c r="K82" i="1"/>
  <c r="L81" i="1"/>
  <c r="K81" i="1"/>
  <c r="L80" i="1"/>
  <c r="K80" i="1"/>
  <c r="L79" i="1"/>
  <c r="K79" i="1"/>
  <c r="M78" i="1"/>
  <c r="L78" i="1"/>
  <c r="K78" i="1"/>
  <c r="L77" i="1"/>
  <c r="K77" i="1"/>
  <c r="M76" i="1"/>
  <c r="L76" i="1"/>
  <c r="K76" i="1"/>
  <c r="M75" i="1"/>
  <c r="L75" i="1"/>
  <c r="K75" i="1"/>
  <c r="M74" i="1"/>
  <c r="L74" i="1"/>
  <c r="K74" i="1"/>
  <c r="N73" i="1"/>
  <c r="N72" i="1"/>
  <c r="M71" i="1"/>
  <c r="L71" i="1"/>
  <c r="K71" i="1"/>
  <c r="N70" i="1"/>
  <c r="N69" i="1"/>
  <c r="M68" i="1"/>
  <c r="L68" i="1"/>
  <c r="K68" i="1"/>
  <c r="M67" i="1"/>
  <c r="L67" i="1"/>
  <c r="K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L10" i="1"/>
  <c r="K10" i="1"/>
  <c r="L9" i="1"/>
  <c r="K9" i="1"/>
  <c r="N9" i="1" s="1"/>
  <c r="N8" i="1"/>
  <c r="L7" i="1"/>
  <c r="K7" i="1"/>
  <c r="N6" i="1"/>
  <c r="N5" i="1"/>
  <c r="J25" i="4" l="1"/>
  <c r="N154" i="1"/>
  <c r="N7" i="1"/>
  <c r="N82" i="1"/>
  <c r="N90" i="1"/>
  <c r="N77" i="1"/>
  <c r="N84" i="1"/>
  <c r="N78" i="1"/>
  <c r="N156" i="1"/>
  <c r="N86" i="1"/>
  <c r="N71" i="1"/>
  <c r="N88" i="1"/>
  <c r="N92" i="1"/>
  <c r="N155" i="1"/>
  <c r="N68" i="1"/>
  <c r="N76" i="1"/>
  <c r="N67" i="1"/>
  <c r="N81" i="1"/>
  <c r="N85" i="1"/>
  <c r="N151" i="1"/>
  <c r="N75" i="1"/>
  <c r="N79" i="1"/>
  <c r="N153" i="1"/>
  <c r="N10" i="1"/>
  <c r="N74" i="1"/>
  <c r="N80" i="1"/>
  <c r="N87" i="1"/>
  <c r="N150" i="1"/>
  <c r="N91" i="1"/>
  <c r="N157" i="1" l="1"/>
</calcChain>
</file>

<file path=xl/sharedStrings.xml><?xml version="1.0" encoding="utf-8"?>
<sst xmlns="http://schemas.openxmlformats.org/spreadsheetml/2006/main" count="2027" uniqueCount="762">
  <si>
    <t>Nazwa Jednostki</t>
  </si>
  <si>
    <t>Adres jednostki/adres korespondencyjny</t>
  </si>
  <si>
    <t>Numer PPE</t>
  </si>
  <si>
    <t>Taryfa dystrybucyjna</t>
  </si>
  <si>
    <t>Profil - planowane zużycie roczne</t>
  </si>
  <si>
    <t xml:space="preserve">Nazwa OSD
</t>
  </si>
  <si>
    <t>Lp</t>
  </si>
  <si>
    <t>Miejscowość</t>
  </si>
  <si>
    <t>Kod pocztowy
[XX-XXX]</t>
  </si>
  <si>
    <t>Ulica</t>
  </si>
  <si>
    <t>Nr domu</t>
  </si>
  <si>
    <t>Nr lokalu</t>
  </si>
  <si>
    <t>Numer licznika</t>
  </si>
  <si>
    <t>I strefa</t>
  </si>
  <si>
    <t>II strefa</t>
  </si>
  <si>
    <t>III strefa</t>
  </si>
  <si>
    <t>Suma MWh/rok</t>
  </si>
  <si>
    <t>1.</t>
  </si>
  <si>
    <t>Hotel Moxy Poznań</t>
  </si>
  <si>
    <t>Poznań</t>
  </si>
  <si>
    <t>60-189</t>
  </si>
  <si>
    <t>Bukowska</t>
  </si>
  <si>
    <t>303</t>
  </si>
  <si>
    <t>42202964</t>
  </si>
  <si>
    <t>590310600029120224</t>
  </si>
  <si>
    <t>B21</t>
  </si>
  <si>
    <t xml:space="preserve">Enea Operator Sp. z o.o. </t>
  </si>
  <si>
    <t>2.</t>
  </si>
  <si>
    <t>42204009</t>
  </si>
  <si>
    <t>590310600029120286</t>
  </si>
  <si>
    <t>3.</t>
  </si>
  <si>
    <t>Golden Tulip Międzyzdroje</t>
  </si>
  <si>
    <t>Międzyzdroje</t>
  </si>
  <si>
    <t>72-500</t>
  </si>
  <si>
    <t>Gryfa Pomorskiego</t>
  </si>
  <si>
    <t>79C</t>
  </si>
  <si>
    <t>U3</t>
  </si>
  <si>
    <t>82660114</t>
  </si>
  <si>
    <t>590310600002265591</t>
  </si>
  <si>
    <t>C12a</t>
  </si>
  <si>
    <t>4.</t>
  </si>
  <si>
    <t>U4</t>
  </si>
  <si>
    <t>82655052</t>
  </si>
  <si>
    <t>590310600002265607</t>
  </si>
  <si>
    <t>C11</t>
  </si>
  <si>
    <t>5.</t>
  </si>
  <si>
    <t>79B</t>
  </si>
  <si>
    <t>U1</t>
  </si>
  <si>
    <t>82657163</t>
  </si>
  <si>
    <t>590310600002265614</t>
  </si>
  <si>
    <t>6.</t>
  </si>
  <si>
    <t>79A</t>
  </si>
  <si>
    <t>82660131</t>
  </si>
  <si>
    <t>590310600002265621</t>
  </si>
  <si>
    <t>7.</t>
  </si>
  <si>
    <t>11</t>
  </si>
  <si>
    <t>12071838</t>
  </si>
  <si>
    <t>590310600002162432</t>
  </si>
  <si>
    <t>8.</t>
  </si>
  <si>
    <t>79E</t>
  </si>
  <si>
    <t>22</t>
  </si>
  <si>
    <t>7476555</t>
  </si>
  <si>
    <t>590310600002275118</t>
  </si>
  <si>
    <t>9.</t>
  </si>
  <si>
    <t>43</t>
  </si>
  <si>
    <t>8516191</t>
  </si>
  <si>
    <t>590310600002246743</t>
  </si>
  <si>
    <t>10.</t>
  </si>
  <si>
    <t>25</t>
  </si>
  <si>
    <t>11071699</t>
  </si>
  <si>
    <t>590310600002315456</t>
  </si>
  <si>
    <t>11.</t>
  </si>
  <si>
    <t>96751546</t>
  </si>
  <si>
    <t>590310600002265560</t>
  </si>
  <si>
    <t>C21</t>
  </si>
  <si>
    <t>12.</t>
  </si>
  <si>
    <t>96777772</t>
  </si>
  <si>
    <t>590310600002265577</t>
  </si>
  <si>
    <t>13.</t>
  </si>
  <si>
    <t>U2</t>
  </si>
  <si>
    <t>51165532</t>
  </si>
  <si>
    <t>590310600002265584</t>
  </si>
  <si>
    <t>14.</t>
  </si>
  <si>
    <t>12</t>
  </si>
  <si>
    <t>9833668</t>
  </si>
  <si>
    <t>590310600002162449</t>
  </si>
  <si>
    <t>15.</t>
  </si>
  <si>
    <t>34</t>
  </si>
  <si>
    <t>71992888</t>
  </si>
  <si>
    <t>590310600002218955</t>
  </si>
  <si>
    <t>16.</t>
  </si>
  <si>
    <t>14</t>
  </si>
  <si>
    <t>12152337</t>
  </si>
  <si>
    <t>590310600007568482</t>
  </si>
  <si>
    <t>17.</t>
  </si>
  <si>
    <t>41</t>
  </si>
  <si>
    <t>7771512</t>
  </si>
  <si>
    <t>590310600002218962</t>
  </si>
  <si>
    <t>18.</t>
  </si>
  <si>
    <t>15</t>
  </si>
  <si>
    <t>6949675</t>
  </si>
  <si>
    <t>590310600002162456</t>
  </si>
  <si>
    <t>19.</t>
  </si>
  <si>
    <t>42</t>
  </si>
  <si>
    <t>11375165</t>
  </si>
  <si>
    <t>590310600002218979</t>
  </si>
  <si>
    <t>20.</t>
  </si>
  <si>
    <t>21</t>
  </si>
  <si>
    <t>10706637</t>
  </si>
  <si>
    <t>590310600002162463</t>
  </si>
  <si>
    <t>21.</t>
  </si>
  <si>
    <t>7781647</t>
  </si>
  <si>
    <t>590310600002162470</t>
  </si>
  <si>
    <t>22.</t>
  </si>
  <si>
    <t>44</t>
  </si>
  <si>
    <t>9872249</t>
  </si>
  <si>
    <t>590310600002218993</t>
  </si>
  <si>
    <t>23.</t>
  </si>
  <si>
    <t>23</t>
  </si>
  <si>
    <t>9460753</t>
  </si>
  <si>
    <t>590310600002162487</t>
  </si>
  <si>
    <t>24.</t>
  </si>
  <si>
    <t>24</t>
  </si>
  <si>
    <t>7442576</t>
  </si>
  <si>
    <t>590310600002219013</t>
  </si>
  <si>
    <t>25.</t>
  </si>
  <si>
    <t>31</t>
  </si>
  <si>
    <t>71989874</t>
  </si>
  <si>
    <t>590310600002219037</t>
  </si>
  <si>
    <t>26.</t>
  </si>
  <si>
    <t>32</t>
  </si>
  <si>
    <t>71994430</t>
  </si>
  <si>
    <t>590310600002219051</t>
  </si>
  <si>
    <t>27.</t>
  </si>
  <si>
    <t>1</t>
  </si>
  <si>
    <t>43646532</t>
  </si>
  <si>
    <t>590310600002219068</t>
  </si>
  <si>
    <t>28.</t>
  </si>
  <si>
    <t>33</t>
  </si>
  <si>
    <t>71529078</t>
  </si>
  <si>
    <t>590310600002219075</t>
  </si>
  <si>
    <t>29.</t>
  </si>
  <si>
    <t>10690819</t>
  </si>
  <si>
    <t>590310600002219082</t>
  </si>
  <si>
    <t>30.</t>
  </si>
  <si>
    <t>10954277</t>
  </si>
  <si>
    <t>590310600002219099</t>
  </si>
  <si>
    <t>31.</t>
  </si>
  <si>
    <t>10692386</t>
  </si>
  <si>
    <t>590310600002217323</t>
  </si>
  <si>
    <t>32.</t>
  </si>
  <si>
    <t>10869544</t>
  </si>
  <si>
    <t>590310600002217330</t>
  </si>
  <si>
    <t>33.</t>
  </si>
  <si>
    <t>10907519</t>
  </si>
  <si>
    <t>590310600002217347</t>
  </si>
  <si>
    <t>34.</t>
  </si>
  <si>
    <t>79D</t>
  </si>
  <si>
    <t>16</t>
  </si>
  <si>
    <t>6646686</t>
  </si>
  <si>
    <t>590310600002315340</t>
  </si>
  <si>
    <t>35.</t>
  </si>
  <si>
    <t>10711805</t>
  </si>
  <si>
    <t>590310600002289498</t>
  </si>
  <si>
    <t>36.</t>
  </si>
  <si>
    <t>17</t>
  </si>
  <si>
    <t>7564087</t>
  </si>
  <si>
    <t>590310600002315357</t>
  </si>
  <si>
    <t>37.</t>
  </si>
  <si>
    <t>5846693</t>
  </si>
  <si>
    <t>590310600002289504</t>
  </si>
  <si>
    <t>38.</t>
  </si>
  <si>
    <t>26</t>
  </si>
  <si>
    <t>7442249</t>
  </si>
  <si>
    <t>590310600002315364</t>
  </si>
  <si>
    <t>39.</t>
  </si>
  <si>
    <t>11375469</t>
  </si>
  <si>
    <t>590310600002289511</t>
  </si>
  <si>
    <t>40.</t>
  </si>
  <si>
    <t>8444586</t>
  </si>
  <si>
    <t>590310600002315371</t>
  </si>
  <si>
    <t>41.</t>
  </si>
  <si>
    <t>7884369</t>
  </si>
  <si>
    <t>590310600002315388</t>
  </si>
  <si>
    <t>42.</t>
  </si>
  <si>
    <t>7941415</t>
  </si>
  <si>
    <t>590310600002315395</t>
  </si>
  <si>
    <t>43.</t>
  </si>
  <si>
    <t>7816982</t>
  </si>
  <si>
    <t>590310600002317078</t>
  </si>
  <si>
    <t>44.</t>
  </si>
  <si>
    <t>7713077</t>
  </si>
  <si>
    <t>590310600002315401</t>
  </si>
  <si>
    <t>45.</t>
  </si>
  <si>
    <t>35</t>
  </si>
  <si>
    <t>7785879</t>
  </si>
  <si>
    <t>590310600002317085</t>
  </si>
  <si>
    <t>46.</t>
  </si>
  <si>
    <t>6772819</t>
  </si>
  <si>
    <t>590310600002315418</t>
  </si>
  <si>
    <t>47.</t>
  </si>
  <si>
    <t>36</t>
  </si>
  <si>
    <t>7747434</t>
  </si>
  <si>
    <t>590310600002317092</t>
  </si>
  <si>
    <t>48.</t>
  </si>
  <si>
    <t>10205205</t>
  </si>
  <si>
    <t>590310600002315425</t>
  </si>
  <si>
    <t>49.</t>
  </si>
  <si>
    <t>11659848</t>
  </si>
  <si>
    <t>590310600002317108</t>
  </si>
  <si>
    <t>50.</t>
  </si>
  <si>
    <t>10046370</t>
  </si>
  <si>
    <t>590310600002317115</t>
  </si>
  <si>
    <t>51.</t>
  </si>
  <si>
    <t>7570001</t>
  </si>
  <si>
    <t>590310600002317122</t>
  </si>
  <si>
    <t>52.</t>
  </si>
  <si>
    <t>11623446</t>
  </si>
  <si>
    <t>590310600002317139</t>
  </si>
  <si>
    <t>53.</t>
  </si>
  <si>
    <t>45</t>
  </si>
  <si>
    <t>11528227</t>
  </si>
  <si>
    <t>590310600002317146</t>
  </si>
  <si>
    <t>54.</t>
  </si>
  <si>
    <t>46</t>
  </si>
  <si>
    <t>12041560</t>
  </si>
  <si>
    <t>590310600002317153</t>
  </si>
  <si>
    <t>55.</t>
  </si>
  <si>
    <t>7695242</t>
  </si>
  <si>
    <t>590310600002315432</t>
  </si>
  <si>
    <t>56.</t>
  </si>
  <si>
    <t>45813396</t>
  </si>
  <si>
    <t>590310600002317177</t>
  </si>
  <si>
    <t>57.</t>
  </si>
  <si>
    <t>8144861</t>
  </si>
  <si>
    <t>590310600002315449</t>
  </si>
  <si>
    <t>58.</t>
  </si>
  <si>
    <t>8536740</t>
  </si>
  <si>
    <t>590310600002246736</t>
  </si>
  <si>
    <t>59.</t>
  </si>
  <si>
    <t>7768711</t>
  </si>
  <si>
    <t>590310600002315463</t>
  </si>
  <si>
    <t>60.</t>
  </si>
  <si>
    <t>7647709</t>
  </si>
  <si>
    <t>590310600002315470</t>
  </si>
  <si>
    <t>61.</t>
  </si>
  <si>
    <t>7691503</t>
  </si>
  <si>
    <t>590310600002246750</t>
  </si>
  <si>
    <t>62.</t>
  </si>
  <si>
    <t>7568675</t>
  </si>
  <si>
    <t>590310600002315487</t>
  </si>
  <si>
    <t>63.</t>
  </si>
  <si>
    <t>Hotel Best Western Jurata</t>
  </si>
  <si>
    <t>Jurata</t>
  </si>
  <si>
    <t>84-141</t>
  </si>
  <si>
    <t>Świętopełka</t>
  </si>
  <si>
    <t>6</t>
  </si>
  <si>
    <t>58008382</t>
  </si>
  <si>
    <t>590243836012225419</t>
  </si>
  <si>
    <t>B23</t>
  </si>
  <si>
    <t>ENERGA-OPERATOR S.A.</t>
  </si>
  <si>
    <t>64.</t>
  </si>
  <si>
    <t>Hotel Hampton by Hilton Gdańsk</t>
  </si>
  <si>
    <t>Gdańsk</t>
  </si>
  <si>
    <t>80-298</t>
  </si>
  <si>
    <t>Słowackiego</t>
  </si>
  <si>
    <t>220</t>
  </si>
  <si>
    <t>54049426</t>
  </si>
  <si>
    <t>590243831008415447</t>
  </si>
  <si>
    <t>65.</t>
  </si>
  <si>
    <t>Hotel Hampton by Hilton Warszawa</t>
  </si>
  <si>
    <t>Warszawa</t>
  </si>
  <si>
    <t>02-142</t>
  </si>
  <si>
    <t>17 Stycznia</t>
  </si>
  <si>
    <t>39F</t>
  </si>
  <si>
    <t>44840720</t>
  </si>
  <si>
    <t>590380100004816023</t>
  </si>
  <si>
    <t>Stoen Operator Sp. z o.o.</t>
  </si>
  <si>
    <t>66.</t>
  </si>
  <si>
    <t>4163553</t>
  </si>
  <si>
    <t>590380100004816030</t>
  </si>
  <si>
    <t>67.</t>
  </si>
  <si>
    <t>54049462</t>
  </si>
  <si>
    <t>590243831008394728</t>
  </si>
  <si>
    <t>68.</t>
  </si>
  <si>
    <t>Hotel Renaissance</t>
  </si>
  <si>
    <t>00-906</t>
  </si>
  <si>
    <t>Żwirki  i Wigury</t>
  </si>
  <si>
    <t>1569352</t>
  </si>
  <si>
    <t>590380100004808882</t>
  </si>
  <si>
    <t>69.</t>
  </si>
  <si>
    <t>1569493</t>
  </si>
  <si>
    <t>590380100004808875</t>
  </si>
  <si>
    <t>70.</t>
  </si>
  <si>
    <t>Hotel Moxy Katowice</t>
  </si>
  <si>
    <t>Pyrzowice</t>
  </si>
  <si>
    <t>42-665</t>
  </si>
  <si>
    <t>Wolności</t>
  </si>
  <si>
    <t>40560752</t>
  </si>
  <si>
    <t>590322427300849989</t>
  </si>
  <si>
    <t>TAURON Dystrybucja S.A.</t>
  </si>
  <si>
    <t>71.</t>
  </si>
  <si>
    <t>40560753</t>
  </si>
  <si>
    <t>590322427300840986</t>
  </si>
  <si>
    <t>72.</t>
  </si>
  <si>
    <t>Golden Tulip Gdańsk</t>
  </si>
  <si>
    <t>80-341</t>
  </si>
  <si>
    <t>Piastowska</t>
  </si>
  <si>
    <t>dz18</t>
  </si>
  <si>
    <t>53997910</t>
  </si>
  <si>
    <t>590243831008376465</t>
  </si>
  <si>
    <t>C23</t>
  </si>
  <si>
    <t>73.</t>
  </si>
  <si>
    <t>53997905</t>
  </si>
  <si>
    <t>590243831008376472</t>
  </si>
  <si>
    <t>74.</t>
  </si>
  <si>
    <t>53997903</t>
  </si>
  <si>
    <t>590243831008376489</t>
  </si>
  <si>
    <t>75.</t>
  </si>
  <si>
    <t>160</t>
  </si>
  <si>
    <t>ZK4</t>
  </si>
  <si>
    <t>03218665</t>
  </si>
  <si>
    <t>590243831008381162</t>
  </si>
  <si>
    <t>76.</t>
  </si>
  <si>
    <t>53997945</t>
  </si>
  <si>
    <t>590243831008376519</t>
  </si>
  <si>
    <t>77.</t>
  </si>
  <si>
    <t>53997946</t>
  </si>
  <si>
    <t>590243831008376496</t>
  </si>
  <si>
    <t>78.</t>
  </si>
  <si>
    <t>53997869</t>
  </si>
  <si>
    <t>590243831008376724</t>
  </si>
  <si>
    <t>79.</t>
  </si>
  <si>
    <t>53997944</t>
  </si>
  <si>
    <t>590243831008376762</t>
  </si>
  <si>
    <t>80.</t>
  </si>
  <si>
    <t>ZK8</t>
  </si>
  <si>
    <t>03218596</t>
  </si>
  <si>
    <t>590243831008376755</t>
  </si>
  <si>
    <t>81.</t>
  </si>
  <si>
    <t>53997896</t>
  </si>
  <si>
    <t>590243831008376793</t>
  </si>
  <si>
    <t>82.</t>
  </si>
  <si>
    <t>ZK12</t>
  </si>
  <si>
    <t>03237390</t>
  </si>
  <si>
    <t>590243831008376809</t>
  </si>
  <si>
    <t>83.</t>
  </si>
  <si>
    <t>53997957</t>
  </si>
  <si>
    <t>590243831009393447</t>
  </si>
  <si>
    <t>84.</t>
  </si>
  <si>
    <t>53997960</t>
  </si>
  <si>
    <t>590243831008376816</t>
  </si>
  <si>
    <t>85.</t>
  </si>
  <si>
    <t>18</t>
  </si>
  <si>
    <t>53997904</t>
  </si>
  <si>
    <t>590243831008376830</t>
  </si>
  <si>
    <t>86.</t>
  </si>
  <si>
    <t>53997958</t>
  </si>
  <si>
    <t>590243831008376458</t>
  </si>
  <si>
    <t>87.</t>
  </si>
  <si>
    <t>53997959</t>
  </si>
  <si>
    <t>590243831008491182</t>
  </si>
  <si>
    <t>88.</t>
  </si>
  <si>
    <t>53997930</t>
  </si>
  <si>
    <t>590243831008376779</t>
  </si>
  <si>
    <t>89.</t>
  </si>
  <si>
    <t>53997907</t>
  </si>
  <si>
    <t>590243831008376786</t>
  </si>
  <si>
    <t>90.</t>
  </si>
  <si>
    <t>8145713</t>
  </si>
  <si>
    <t>590310600002246767</t>
  </si>
  <si>
    <t>91.</t>
  </si>
  <si>
    <t>8099273</t>
  </si>
  <si>
    <t>590310600002315494</t>
  </si>
  <si>
    <t>92.</t>
  </si>
  <si>
    <t>12031088</t>
  </si>
  <si>
    <t>590310600002246774</t>
  </si>
  <si>
    <t>93.</t>
  </si>
  <si>
    <t>7942605</t>
  </si>
  <si>
    <t>590310600002315500</t>
  </si>
  <si>
    <t>94.</t>
  </si>
  <si>
    <t>10714018</t>
  </si>
  <si>
    <t>590310600002315517</t>
  </si>
  <si>
    <t>95.</t>
  </si>
  <si>
    <t>11896874</t>
  </si>
  <si>
    <t>590310600002315524</t>
  </si>
  <si>
    <t>96.</t>
  </si>
  <si>
    <t>8145308</t>
  </si>
  <si>
    <t>590310600002315531</t>
  </si>
  <si>
    <t>97.</t>
  </si>
  <si>
    <t>2</t>
  </si>
  <si>
    <t>45435789</t>
  </si>
  <si>
    <t>590310600002275019</t>
  </si>
  <si>
    <t>98.</t>
  </si>
  <si>
    <t>3</t>
  </si>
  <si>
    <t>45652094</t>
  </si>
  <si>
    <t>590310600002275026</t>
  </si>
  <si>
    <t>99.</t>
  </si>
  <si>
    <t>4</t>
  </si>
  <si>
    <t>45347346</t>
  </si>
  <si>
    <t>590310600002275033</t>
  </si>
  <si>
    <t>100.</t>
  </si>
  <si>
    <t>5</t>
  </si>
  <si>
    <t>45347129</t>
  </si>
  <si>
    <t>590310600002275040</t>
  </si>
  <si>
    <t>101.</t>
  </si>
  <si>
    <t>10102770</t>
  </si>
  <si>
    <t>590310600002275057</t>
  </si>
  <si>
    <t>102.</t>
  </si>
  <si>
    <t>6978791</t>
  </si>
  <si>
    <t>590310600002275064</t>
  </si>
  <si>
    <t>103.</t>
  </si>
  <si>
    <t>6347880</t>
  </si>
  <si>
    <t>590310600002275071</t>
  </si>
  <si>
    <t>104.</t>
  </si>
  <si>
    <t>71531998</t>
  </si>
  <si>
    <t>590310600002275088</t>
  </si>
  <si>
    <t>105.</t>
  </si>
  <si>
    <t>9967104</t>
  </si>
  <si>
    <t>590310600002275095</t>
  </si>
  <si>
    <t>106.</t>
  </si>
  <si>
    <t>7702960</t>
  </si>
  <si>
    <t>590310600002275101</t>
  </si>
  <si>
    <t>107.</t>
  </si>
  <si>
    <t>10951201</t>
  </si>
  <si>
    <t>590310600002217354</t>
  </si>
  <si>
    <t>108.</t>
  </si>
  <si>
    <t>10664470</t>
  </si>
  <si>
    <t>590310600002217361</t>
  </si>
  <si>
    <t>109.</t>
  </si>
  <si>
    <t>10936299</t>
  </si>
  <si>
    <t>590310600002217378</t>
  </si>
  <si>
    <t>110.</t>
  </si>
  <si>
    <t>11075451</t>
  </si>
  <si>
    <t>590310600002217385</t>
  </si>
  <si>
    <t>111.</t>
  </si>
  <si>
    <t>10731544</t>
  </si>
  <si>
    <t>590310600002217392</t>
  </si>
  <si>
    <t>112.</t>
  </si>
  <si>
    <t>10869468</t>
  </si>
  <si>
    <t>590310600002217408</t>
  </si>
  <si>
    <t>113.</t>
  </si>
  <si>
    <t>10950785</t>
  </si>
  <si>
    <t>590310600002217415</t>
  </si>
  <si>
    <t>114.</t>
  </si>
  <si>
    <t>10832918</t>
  </si>
  <si>
    <t>590310600002217422</t>
  </si>
  <si>
    <t>115.</t>
  </si>
  <si>
    <t>10950403</t>
  </si>
  <si>
    <t>590310600002253727</t>
  </si>
  <si>
    <t>116.</t>
  </si>
  <si>
    <t>10813753</t>
  </si>
  <si>
    <t>590310600002253734</t>
  </si>
  <si>
    <t>117.</t>
  </si>
  <si>
    <t>10489780</t>
  </si>
  <si>
    <t>590310600002253741</t>
  </si>
  <si>
    <t>118.</t>
  </si>
  <si>
    <t>10950356</t>
  </si>
  <si>
    <t>590310600002253758</t>
  </si>
  <si>
    <t>119.</t>
  </si>
  <si>
    <t>10415801</t>
  </si>
  <si>
    <t>590310600002253765</t>
  </si>
  <si>
    <t>120.</t>
  </si>
  <si>
    <t>11561972</t>
  </si>
  <si>
    <t>590310600002253772</t>
  </si>
  <si>
    <t>121.</t>
  </si>
  <si>
    <t>10544498</t>
  </si>
  <si>
    <t>590310600002253789</t>
  </si>
  <si>
    <t>122.</t>
  </si>
  <si>
    <t>10663616</t>
  </si>
  <si>
    <t>590310600002253796</t>
  </si>
  <si>
    <t>123.</t>
  </si>
  <si>
    <t>11106322</t>
  </si>
  <si>
    <t>590310600002253802</t>
  </si>
  <si>
    <t>124.</t>
  </si>
  <si>
    <t>10597152</t>
  </si>
  <si>
    <t>590310600002253819</t>
  </si>
  <si>
    <t>125.</t>
  </si>
  <si>
    <t>10724825</t>
  </si>
  <si>
    <t>590310600002253826</t>
  </si>
  <si>
    <t>126.</t>
  </si>
  <si>
    <t>11106829</t>
  </si>
  <si>
    <t>590310600002274906</t>
  </si>
  <si>
    <t>127.</t>
  </si>
  <si>
    <t>10861143</t>
  </si>
  <si>
    <t>590310600002274913</t>
  </si>
  <si>
    <t>128.</t>
  </si>
  <si>
    <t>10861237</t>
  </si>
  <si>
    <t>590310600002274920</t>
  </si>
  <si>
    <t>129.</t>
  </si>
  <si>
    <t>51</t>
  </si>
  <si>
    <t>10717969</t>
  </si>
  <si>
    <t>590310600002274937</t>
  </si>
  <si>
    <t>130.</t>
  </si>
  <si>
    <t>52</t>
  </si>
  <si>
    <t>10954246</t>
  </si>
  <si>
    <t>590310600002274944</t>
  </si>
  <si>
    <t>131.</t>
  </si>
  <si>
    <t>53</t>
  </si>
  <si>
    <t>10945810</t>
  </si>
  <si>
    <t>590310600002274951</t>
  </si>
  <si>
    <t>132.</t>
  </si>
  <si>
    <t>8472387</t>
  </si>
  <si>
    <t>590310600002289436</t>
  </si>
  <si>
    <t>133.</t>
  </si>
  <si>
    <t>10340378</t>
  </si>
  <si>
    <t>590310600002274968</t>
  </si>
  <si>
    <t>134.</t>
  </si>
  <si>
    <t>10405093</t>
  </si>
  <si>
    <t>590310600002289443</t>
  </si>
  <si>
    <t>135.</t>
  </si>
  <si>
    <t>10826998</t>
  </si>
  <si>
    <t>590310600002274975</t>
  </si>
  <si>
    <t>136.</t>
  </si>
  <si>
    <t>7975847</t>
  </si>
  <si>
    <t>590310600002289450</t>
  </si>
  <si>
    <t>137.</t>
  </si>
  <si>
    <t>10711010</t>
  </si>
  <si>
    <t>590310600002274982</t>
  </si>
  <si>
    <t>138.</t>
  </si>
  <si>
    <t>9022478</t>
  </si>
  <si>
    <t>590310600002289467</t>
  </si>
  <si>
    <t>139.</t>
  </si>
  <si>
    <t>10949600</t>
  </si>
  <si>
    <t>590310600002274999</t>
  </si>
  <si>
    <t>140.</t>
  </si>
  <si>
    <t>7476811</t>
  </si>
  <si>
    <t>590310600002315326</t>
  </si>
  <si>
    <t>141.</t>
  </si>
  <si>
    <t>7944933</t>
  </si>
  <si>
    <t>590310600002289474</t>
  </si>
  <si>
    <t>142.</t>
  </si>
  <si>
    <t>10832599</t>
  </si>
  <si>
    <t>590310600002275002</t>
  </si>
  <si>
    <t>143.</t>
  </si>
  <si>
    <t>9206665</t>
  </si>
  <si>
    <t>590310600002315333</t>
  </si>
  <si>
    <t>144.</t>
  </si>
  <si>
    <t>7936094</t>
  </si>
  <si>
    <t>590310600002289481</t>
  </si>
  <si>
    <t>145.</t>
  </si>
  <si>
    <t>62381601</t>
  </si>
  <si>
    <t>590310600002218986</t>
  </si>
  <si>
    <t>146.</t>
  </si>
  <si>
    <t>Hotel Holiday inn Express Rzeszów</t>
  </si>
  <si>
    <t>Jasionka</t>
  </si>
  <si>
    <t>36-002</t>
  </si>
  <si>
    <t>00529433</t>
  </si>
  <si>
    <t>480548101010383462</t>
  </si>
  <si>
    <t>PGE Dystrybucja S.A. Oddział Rzeszów</t>
  </si>
  <si>
    <t>147.</t>
  </si>
  <si>
    <t>00529434</t>
  </si>
  <si>
    <t>480548101010383664</t>
  </si>
  <si>
    <t>148.</t>
  </si>
  <si>
    <t>91800172</t>
  </si>
  <si>
    <t>590310600004930022</t>
  </si>
  <si>
    <t>149.</t>
  </si>
  <si>
    <t>BW Olsztyn</t>
  </si>
  <si>
    <t>02-148</t>
  </si>
  <si>
    <t>Warszawska</t>
  </si>
  <si>
    <t>39</t>
  </si>
  <si>
    <t>88078105</t>
  </si>
  <si>
    <t>590243863000337793</t>
  </si>
  <si>
    <t>150.</t>
  </si>
  <si>
    <t>54045459</t>
  </si>
  <si>
    <t>590243863001090765</t>
  </si>
  <si>
    <t>C22a</t>
  </si>
  <si>
    <t>151.</t>
  </si>
  <si>
    <t>Hotel Courtyard by Marriott</t>
  </si>
  <si>
    <t>1J</t>
  </si>
  <si>
    <t>51004590</t>
  </si>
  <si>
    <t xml:space="preserve"> PLPPLD1009002005</t>
  </si>
  <si>
    <t>Przedsiębiorstwo Państwowe „Porty Lotnicze”</t>
  </si>
  <si>
    <t>152.</t>
  </si>
  <si>
    <t>51004591</t>
  </si>
  <si>
    <t xml:space="preserve"> PLPPLD1009002006</t>
  </si>
  <si>
    <t>SUMA</t>
  </si>
  <si>
    <t>Załącznik nr 1 Szczegółowy opis przedmiotu zamówienia</t>
  </si>
  <si>
    <t xml:space="preserve">Wykaz punktów poboru energii elektrycznej dla Polski Holding Hotelowy Sp. z o.o. </t>
  </si>
  <si>
    <t xml:space="preserve">Wykaz punktów poboru energii elektrycznej dla Elbest Sp. z o.o. </t>
  </si>
  <si>
    <t>Nazwa punktu poboru</t>
  </si>
  <si>
    <t>Kod PPE</t>
  </si>
  <si>
    <t>Nazwa OSD, do sieci którego jest przylaczony PPE</t>
  </si>
  <si>
    <t xml:space="preserve">Rodzaj umowy, okres obowiązywania 
(kompleksowa/sprzedaż energii) </t>
  </si>
  <si>
    <t xml:space="preserve">Wolumen energii elektrycznej [MWh/rok] 
 </t>
  </si>
  <si>
    <t>Grupa Taryfowa</t>
  </si>
  <si>
    <t>Która z kolei procedura zmiany sprzedawcy</t>
  </si>
  <si>
    <t>Osoba Kontaktowa</t>
  </si>
  <si>
    <t>OW "Słok"</t>
  </si>
  <si>
    <t>PLZELD080478380147</t>
  </si>
  <si>
    <t>325.0018968</t>
  </si>
  <si>
    <t>PGE Obrót s.a.
ul. Wólczańska 128/134
90-527 Łódź</t>
  </si>
  <si>
    <t>kompleksowa, Zakup energii zgodnie z ustawą do dnia 31.12.2023r.</t>
  </si>
  <si>
    <t>Jacek Mielcarz, 609291381</t>
  </si>
  <si>
    <t>Ośrodek wypoczynkowy w Krasnobrodzie</t>
  </si>
  <si>
    <t>PLZKED000000034453</t>
  </si>
  <si>
    <t>Hotel Solina SPA w Myczkowcach</t>
  </si>
  <si>
    <t>PPE: 480548214000019369</t>
  </si>
  <si>
    <t>04143651</t>
  </si>
  <si>
    <t>PGE Dystrybucja S.A. Oddział Rzeszów
ul. 8 Marca 8, 35-065 Rzeszów</t>
  </si>
  <si>
    <t>Przystań przy Hotelu Solina SPA w Myczkowcach</t>
  </si>
  <si>
    <t>PPE: 480548104006156421</t>
  </si>
  <si>
    <t>00310676</t>
  </si>
  <si>
    <t>Oczyszczalnia przy Hotelu Solina SPA w Myczkowcach</t>
  </si>
  <si>
    <t>PPE: 480548104006155916</t>
  </si>
  <si>
    <t>00229320</t>
  </si>
  <si>
    <t>Hotel Krynica</t>
  </si>
  <si>
    <t>PLTAUD298000028950</t>
  </si>
  <si>
    <t>303.0006686</t>
  </si>
  <si>
    <t>Umowa na dystrybuję energii na czas nieokreślony.
Zakup energii zgodnie z ustawą do dnia 31.12.2023r.</t>
  </si>
  <si>
    <t>PLTAUD298000027394</t>
  </si>
  <si>
    <t>86950737</t>
  </si>
  <si>
    <t>Hotel Rychło</t>
  </si>
  <si>
    <t>PPE: 590322412700576610</t>
  </si>
  <si>
    <t>97775233</t>
  </si>
  <si>
    <t>C22A</t>
  </si>
  <si>
    <t>Hotel Rychło archiwum</t>
  </si>
  <si>
    <t>PPE: 590322412700094695</t>
  </si>
  <si>
    <t>4019194</t>
  </si>
  <si>
    <t>Hotel Rychło węzeł cieplny</t>
  </si>
  <si>
    <t xml:space="preserve"> PPE: 590322412700454376</t>
  </si>
  <si>
    <t>94029667</t>
  </si>
  <si>
    <t>Umowa na dystrybuję energii na czas nieokreślony.
Zakup energii zgodnie z ustawą do dnia 31.12.2023r..</t>
  </si>
  <si>
    <t>C12A</t>
  </si>
  <si>
    <t>Hotel Wolin</t>
  </si>
  <si>
    <t>PLENED00000590000000010634188303</t>
  </si>
  <si>
    <t>40796347</t>
  </si>
  <si>
    <t>ENEAOperator Sp. z o. o.</t>
  </si>
  <si>
    <t>C22B</t>
  </si>
  <si>
    <t>OSW Złoty Sen</t>
  </si>
  <si>
    <t>PROD_132200002193</t>
  </si>
  <si>
    <t>DW Bełchatów</t>
  </si>
  <si>
    <t>PROD_113200009525</t>
  </si>
  <si>
    <t>04057578</t>
  </si>
  <si>
    <t>OW Zagroń Szczyrk</t>
  </si>
  <si>
    <t>Szczyrk</t>
  </si>
  <si>
    <t>43-370</t>
  </si>
  <si>
    <t>Wrzosowa</t>
  </si>
  <si>
    <t>97607961</t>
  </si>
  <si>
    <t>590322426400003024</t>
  </si>
  <si>
    <t>Tauron Dystrybucja</t>
  </si>
  <si>
    <t>Lp.</t>
  </si>
  <si>
    <t>Obiekt</t>
  </si>
  <si>
    <t>Adres siedziby i adres korespondencyjny danej jednostki</t>
  </si>
  <si>
    <t>Adres punktu poboru – (miejscowość, ulica, kod pocztowy)</t>
  </si>
  <si>
    <t>HOTEL ROYAL</t>
  </si>
  <si>
    <t>ul. św. Gertrudy 26-29 31-048 Kraków</t>
  </si>
  <si>
    <t>hotel Royal</t>
  </si>
  <si>
    <t>Tauron</t>
  </si>
  <si>
    <t>Sprzedaż rezerwowa, czas nieokreślony</t>
  </si>
  <si>
    <t>Mateusz Misiaczek   m.misiaczek@phhhotele.pl</t>
  </si>
  <si>
    <t>HOTEL HETMAN</t>
  </si>
  <si>
    <t xml:space="preserve">UL. LANGIEWICZA 29 B,                  35-085 RZESZÓW </t>
  </si>
  <si>
    <t>HOTEL HETMAN           35-085 RZESZÓW, UL. LANGIEWICZA 29 B</t>
  </si>
  <si>
    <t>LOKAL USŁUGOWY ZABEZPIECZENIE GŁÓWNE</t>
  </si>
  <si>
    <t>.480548107001898761</t>
  </si>
  <si>
    <t>PGE DYSTRYBUCJA SA</t>
  </si>
  <si>
    <t>UMOWA KOMPLEKSOWA    /dystrybucja  +zużycie / czas nieokreślony</t>
  </si>
  <si>
    <t>Krzysztof Biskup         k.biskup@phhhotele.pl</t>
  </si>
  <si>
    <t>.480548101009390628</t>
  </si>
  <si>
    <t>HOTEL ISKRA</t>
  </si>
  <si>
    <t>ul. Planty 4, 26-600 Radom</t>
  </si>
  <si>
    <t>Hotel</t>
  </si>
  <si>
    <t>1463100124_81</t>
  </si>
  <si>
    <t>TAURON</t>
  </si>
  <si>
    <t xml:space="preserve">Brak </t>
  </si>
  <si>
    <t>C12</t>
  </si>
  <si>
    <t>Iwona Makowska    i.makowska@phhhotele.pl</t>
  </si>
  <si>
    <t>Restauracja</t>
  </si>
  <si>
    <t>1463100125_83</t>
  </si>
  <si>
    <t>HOTEL KAPITAN</t>
  </si>
  <si>
    <t>UL. NARUTOWICZA 17 D 70-240 SZCZECIN</t>
  </si>
  <si>
    <t>UL.NARUTOWICZA 17 D 70-240 SZCZECIN</t>
  </si>
  <si>
    <t>590310600011995359.</t>
  </si>
  <si>
    <t>ENEA</t>
  </si>
  <si>
    <t>REZERWOWA</t>
  </si>
  <si>
    <t>DOROTA KOLIBOWSKA   d.kolibowska@phhhotele.pl</t>
  </si>
  <si>
    <t>HOTEL RYCERSKI</t>
  </si>
  <si>
    <t>POTULICKA 1A, 70-230 SZCZECIN</t>
  </si>
  <si>
    <t xml:space="preserve"> POTULICKA 1A, 70-230 SZCZECIN</t>
  </si>
  <si>
    <t xml:space="preserve"> 590310600001664555. </t>
  </si>
  <si>
    <t>UMOWA REZERWOWA</t>
  </si>
  <si>
    <t>HOTEL RYCERSKI-WĘZEŁ</t>
  </si>
  <si>
    <t>590310600001597112.</t>
  </si>
  <si>
    <t>CASSUBIA</t>
  </si>
  <si>
    <t>UL BOCZNA 11  84-150 HEL</t>
  </si>
  <si>
    <t>UL BOCZNA 11                                                            84-150 HEL</t>
  </si>
  <si>
    <t>FPP-0000590677</t>
  </si>
  <si>
    <t>590243836012670000.</t>
  </si>
  <si>
    <t>94510-11819246-22-0</t>
  </si>
  <si>
    <t xml:space="preserve">Energa Obrót SA </t>
  </si>
  <si>
    <t>Umowa rezerwowa na czas nieokreslony</t>
  </si>
  <si>
    <t>Michał Szopa, mszopa@phh.pl</t>
  </si>
  <si>
    <t>HOTEL REYMONT W ŁODZI</t>
  </si>
  <si>
    <t>UL.LEGIONÓW 81, 91-072 ŁÓDŹ</t>
  </si>
  <si>
    <t>HOTEL "REYMONT", LEGIONÓW 81, 91-072 ŁÓDŹ</t>
  </si>
  <si>
    <t>PLLZED000049177309</t>
  </si>
  <si>
    <t>PGE DYSTRYBUCJA S.A. Oddział w Łodzi</t>
  </si>
  <si>
    <t>Sprzedaż energii, umowa rezerwowa, czas niekreślony</t>
  </si>
  <si>
    <t>MAŁGORZATA MASZKE    m.maszke@phhhotele.pl</t>
  </si>
  <si>
    <t>PLLZED000049177403</t>
  </si>
  <si>
    <t>PLLZED000051148900</t>
  </si>
  <si>
    <t>PLLZED000051291301</t>
  </si>
  <si>
    <t>HOTEL IKAR W POZNANIU</t>
  </si>
  <si>
    <t>UL.SOLNA 18, 61-736 POZNAŃ</t>
  </si>
  <si>
    <t>UL.T.KOŚCIUSZKI 118, 61-717 POZNAŃ</t>
  </si>
  <si>
    <t>W0-393 HOTEL IKAR, UL.KOŚCIUSZKI 118, 61-717 POZNAŃ</t>
  </si>
  <si>
    <t>590310600001619869</t>
  </si>
  <si>
    <t>ENEA OPERATOR</t>
  </si>
  <si>
    <t>W0-394 HOTEL IKAR, UL.KOŚCIUSZKI 118, 61-717 POZNAŃ</t>
  </si>
  <si>
    <t>5903106000019876</t>
  </si>
  <si>
    <t>WĘZEŁ CIEPLNY HOTEL IKAR, UL.KOŚCIUSZKI 118, 61-717 POZNAŃ</t>
  </si>
  <si>
    <t>590310600001684119</t>
  </si>
  <si>
    <t>HOTEL HUZAR</t>
  </si>
  <si>
    <t>ul.Spadochroniarzy 9 ,                      20-043 Lublin</t>
  </si>
  <si>
    <t>ul.Spadochroniarzy 9 , 20-043 Lublin</t>
  </si>
  <si>
    <t>Hotel Huzar Spadochroniarzy 9, 20-043 Lublin</t>
  </si>
  <si>
    <t>PL_LUBD_0663000661_02</t>
  </si>
  <si>
    <t xml:space="preserve">PGE DYSTRYBUCJA S.A. </t>
  </si>
  <si>
    <t>Aneta Rudzka-Cieślak a.rudzka@phhhotele.pl</t>
  </si>
  <si>
    <t>Hotel Wieniawa</t>
  </si>
  <si>
    <t>ul.Gajowicka 130,     53-322 Wrocław</t>
  </si>
  <si>
    <t>Hotel Gastronimiczny-część adm</t>
  </si>
  <si>
    <t>590322415103258558</t>
  </si>
  <si>
    <t>N511600001371</t>
  </si>
  <si>
    <t>sprzedaż- umowa rezerwowa na czas nieokreślony , dystrybucja- umowa na czas nieokreślony</t>
  </si>
  <si>
    <t>Agnieszka Wiącek-Zając         a.wiacek@phhhotele.pl</t>
  </si>
  <si>
    <t>590322415100952817</t>
  </si>
  <si>
    <t>97794192</t>
  </si>
  <si>
    <t>HOTEL KOPERNIK</t>
  </si>
  <si>
    <t>UL WOLA ZAMKOWA 16
 87 - 100 TORUŃ</t>
  </si>
  <si>
    <t>FPP_0000590676</t>
  </si>
  <si>
    <t>590243891022563000</t>
  </si>
  <si>
    <t>11509199/PARKING</t>
  </si>
  <si>
    <t>ENERGA OPERATOR</t>
  </si>
  <si>
    <t>SPRZEDAŻ REZERWOWA</t>
  </si>
  <si>
    <t>C12A_SPEC</t>
  </si>
  <si>
    <t>MATEUSZ MUSIAŁ
m.musial@phhhotele.pl</t>
  </si>
  <si>
    <t>FPP_0000590680</t>
  </si>
  <si>
    <t>590243891022264000</t>
  </si>
  <si>
    <t>11509225/RECPECJA</t>
  </si>
  <si>
    <t>C11_SPEC</t>
  </si>
  <si>
    <t>PGE Dystrybucja S.A.
ul. Garbarska 21A, 20-340 Lublin</t>
  </si>
  <si>
    <t xml:space="preserve">Wykaz punktów poboru energii elektrycznej dla PHH HOTELE Sp. z o.o. </t>
  </si>
  <si>
    <t>Hotel Katowice</t>
  </si>
  <si>
    <t>Katowice</t>
  </si>
  <si>
    <t>40-951</t>
  </si>
  <si>
    <t>KORFANTEGO</t>
  </si>
  <si>
    <t>10</t>
  </si>
  <si>
    <t>590322400701606092</t>
  </si>
  <si>
    <t>TAURON Dystrybucja S.A.  (Gliwice)</t>
  </si>
  <si>
    <t>Obiekt Pionier</t>
  </si>
  <si>
    <t>Bytom</t>
  </si>
  <si>
    <t>41-902</t>
  </si>
  <si>
    <t>DWORCOWA</t>
  </si>
  <si>
    <t>19</t>
  </si>
  <si>
    <t>590322400300670630</t>
  </si>
  <si>
    <t>590322400301065107</t>
  </si>
  <si>
    <t>Wykaz punktów poboru energii elektrycznej dla Wojewódzkie Przedsiębiorstwo Usług Turystycznych sp. z o. o. oraz Gliwickiej Agencji Turystycznej</t>
  </si>
  <si>
    <t>WPUT</t>
  </si>
  <si>
    <t>GAT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</si>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</sst>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8" x14ac:knownFonts="1"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1"/>
      <name val="Calibri"/>
      <family val="2"/>
      <charset val="238"/>
    </font>
    <font>
      <sz val="1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D8ED8B"/>
        <bgColor rgb="FFD8ED8B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2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 applyProtection="1">
      <alignment horizontal="center"/>
      <protection locked="0"/>
    </xf>
    <xf numFmtId="49" fontId="0" fillId="3" borderId="1" xfId="0" applyNumberFormat="1" applyFill="1" applyBorder="1"/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/>
    <xf numFmtId="49" fontId="0" fillId="0" borderId="1" xfId="0" applyNumberFormat="1" applyBorder="1" applyAlignment="1" applyProtection="1">
      <alignment horizontal="left" wrapText="1"/>
      <protection locked="0"/>
    </xf>
    <xf numFmtId="49" fontId="0" fillId="3" borderId="1" xfId="0" applyNumberForma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5" borderId="4" xfId="0" applyFont="1" applyFill="1" applyBorder="1" applyAlignment="1">
      <alignment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6" borderId="1" xfId="0" applyNumberForma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vertical="center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0" fillId="7" borderId="1" xfId="0" applyNumberFormat="1" applyFill="1" applyBorder="1"/>
    <xf numFmtId="0" fontId="0" fillId="3" borderId="1" xfId="0" applyFill="1" applyBorder="1" applyAlignment="1">
      <alignment horizontal="center" vertical="center" wrapText="1"/>
    </xf>
    <xf numFmtId="49" fontId="0" fillId="6" borderId="1" xfId="0" applyNumberFormat="1" applyFill="1" applyBorder="1" applyProtection="1">
      <protection locked="0"/>
    </xf>
    <xf numFmtId="49" fontId="0" fillId="8" borderId="1" xfId="0" applyNumberFormat="1" applyFill="1" applyBorder="1" applyAlignment="1" applyProtection="1">
      <alignment horizontal="left"/>
      <protection locked="0"/>
    </xf>
    <xf numFmtId="4" fontId="0" fillId="0" borderId="0" xfId="0" applyNumberFormat="1"/>
    <xf numFmtId="0" fontId="0" fillId="0" borderId="8" xfId="0" applyBorder="1"/>
    <xf numFmtId="2" fontId="1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</cellXfs>
  <cellStyles count="2">
    <cellStyle name="Normalny" xfId="0" builtinId="0" customBuiltin="1"/>
    <cellStyle name="Normalny 2" xfId="1" xr:uid="{1BB21013-4C3F-43E7-8A6F-AB2BA18D2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grzywacz/Desktop/PHH/Polski%20Holding%20Hotelow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CelEksportu"/>
      <sheetName val="Legenda"/>
      <sheetName val="DomyslnieWymagane"/>
      <sheetName val="SpolkaOfertujaca"/>
      <sheetName val="KtoraZmianaSprzedawcy"/>
      <sheetName val="OkresWypowiedzeniaUmowy"/>
      <sheetName val="GrupyTaryfowe"/>
      <sheetName val="PrzeznaczeniaLokalu"/>
      <sheetName val="Sprzedawcy"/>
      <sheetName val="OSD"/>
      <sheetName val="Kraj"/>
      <sheetName val="Konfiguracja"/>
      <sheetName val="BezPPE_K"/>
      <sheetName val="BezPPE_P"/>
      <sheetName val="BezPPE_N"/>
      <sheetName val="PPE_K"/>
      <sheetName val="PPE_P"/>
      <sheetName val="PPE_N"/>
    </sheetNames>
    <sheetDataSet>
      <sheetData sheetId="0"/>
      <sheetData sheetId="1"/>
      <sheetData sheetId="2"/>
      <sheetData sheetId="3"/>
      <sheetData sheetId="4">
        <row r="2">
          <cell r="A2" t="str">
            <v>TS</v>
          </cell>
        </row>
      </sheetData>
      <sheetData sheetId="5">
        <row r="2">
          <cell r="A2" t="str">
            <v>Pierwsza</v>
          </cell>
        </row>
      </sheetData>
      <sheetData sheetId="6">
        <row r="2">
          <cell r="A2" t="str">
            <v>1 miesiąc</v>
          </cell>
        </row>
      </sheetData>
      <sheetData sheetId="7">
        <row r="2">
          <cell r="A2" t="str">
            <v>A21</v>
          </cell>
        </row>
        <row r="3">
          <cell r="A3" t="str">
            <v>A22</v>
          </cell>
        </row>
        <row r="4">
          <cell r="A4" t="str">
            <v>A23</v>
          </cell>
        </row>
        <row r="5">
          <cell r="A5" t="str">
            <v>A23n</v>
          </cell>
        </row>
        <row r="6">
          <cell r="A6" t="str">
            <v>A24</v>
          </cell>
        </row>
        <row r="7">
          <cell r="A7" t="str">
            <v>B11</v>
          </cell>
        </row>
        <row r="8">
          <cell r="A8" t="str">
            <v>B11em</v>
          </cell>
        </row>
        <row r="9">
          <cell r="A9" t="str">
            <v>B12</v>
          </cell>
        </row>
        <row r="10">
          <cell r="A10" t="str">
            <v>B21</v>
          </cell>
        </row>
        <row r="11">
          <cell r="A11" t="str">
            <v>B21em</v>
          </cell>
        </row>
        <row r="12">
          <cell r="A12" t="str">
            <v>B22</v>
          </cell>
        </row>
        <row r="13">
          <cell r="A13" t="str">
            <v>B23</v>
          </cell>
        </row>
        <row r="14">
          <cell r="A14" t="str">
            <v>B24</v>
          </cell>
        </row>
        <row r="15">
          <cell r="A15" t="str">
            <v>C11</v>
          </cell>
        </row>
        <row r="16">
          <cell r="A16" t="str">
            <v>C11em</v>
          </cell>
        </row>
        <row r="17">
          <cell r="A17" t="str">
            <v>C11o</v>
          </cell>
        </row>
        <row r="18">
          <cell r="A18" t="str">
            <v>C11p</v>
          </cell>
        </row>
        <row r="19">
          <cell r="A19" t="str">
            <v>C11s</v>
          </cell>
        </row>
        <row r="20">
          <cell r="A20" t="str">
            <v>C11z</v>
          </cell>
        </row>
        <row r="21">
          <cell r="A21" t="str">
            <v>C12a</v>
          </cell>
        </row>
        <row r="22">
          <cell r="A22" t="str">
            <v>C12ap</v>
          </cell>
        </row>
        <row r="23">
          <cell r="A23" t="str">
            <v>C12b</v>
          </cell>
        </row>
        <row r="24">
          <cell r="A24" t="str">
            <v>C12bp</v>
          </cell>
        </row>
        <row r="25">
          <cell r="A25" t="str">
            <v>C12nn</v>
          </cell>
        </row>
        <row r="26">
          <cell r="A26" t="str">
            <v>C12nw</v>
          </cell>
        </row>
        <row r="27">
          <cell r="A27" t="str">
            <v>C12o</v>
          </cell>
        </row>
        <row r="28">
          <cell r="A28" t="str">
            <v>C12r</v>
          </cell>
        </row>
        <row r="29">
          <cell r="A29" t="str">
            <v>C12w</v>
          </cell>
        </row>
        <row r="30">
          <cell r="A30" t="str">
            <v>C13</v>
          </cell>
        </row>
        <row r="31">
          <cell r="A31" t="str">
            <v>C21</v>
          </cell>
        </row>
        <row r="32">
          <cell r="A32" t="str">
            <v>C21em</v>
          </cell>
        </row>
        <row r="33">
          <cell r="A33" t="str">
            <v>C22a</v>
          </cell>
        </row>
        <row r="34">
          <cell r="A34" t="str">
            <v>C22b</v>
          </cell>
        </row>
        <row r="35">
          <cell r="A35" t="str">
            <v>C22c</v>
          </cell>
        </row>
        <row r="36">
          <cell r="A36" t="str">
            <v>C22g</v>
          </cell>
        </row>
        <row r="37">
          <cell r="A37" t="str">
            <v>C22w</v>
          </cell>
        </row>
        <row r="38">
          <cell r="A38" t="str">
            <v>C23</v>
          </cell>
        </row>
        <row r="39">
          <cell r="A39" t="str">
            <v>C24</v>
          </cell>
        </row>
        <row r="40">
          <cell r="A40" t="str">
            <v>C32b</v>
          </cell>
        </row>
        <row r="41">
          <cell r="A41" t="str">
            <v>D11</v>
          </cell>
        </row>
        <row r="42">
          <cell r="A42" t="str">
            <v>D12</v>
          </cell>
        </row>
        <row r="43">
          <cell r="A43" t="str">
            <v>G11</v>
          </cell>
        </row>
        <row r="44">
          <cell r="A44" t="str">
            <v>G11e</v>
          </cell>
        </row>
        <row r="45">
          <cell r="A45" t="str">
            <v>G11k</v>
          </cell>
        </row>
        <row r="46">
          <cell r="A46" t="str">
            <v>G11n</v>
          </cell>
        </row>
        <row r="47">
          <cell r="A47" t="str">
            <v>G12</v>
          </cell>
        </row>
        <row r="48">
          <cell r="A48" t="str">
            <v>G12as</v>
          </cell>
        </row>
        <row r="49">
          <cell r="A49" t="str">
            <v>G12e</v>
          </cell>
        </row>
        <row r="50">
          <cell r="A50" t="str">
            <v>G12g</v>
          </cell>
        </row>
        <row r="51">
          <cell r="A51" t="str">
            <v>G12n</v>
          </cell>
        </row>
        <row r="52">
          <cell r="A52" t="str">
            <v>G12nw</v>
          </cell>
        </row>
        <row r="53">
          <cell r="A53" t="str">
            <v>G12r</v>
          </cell>
        </row>
        <row r="54">
          <cell r="A54" t="str">
            <v>G12w</v>
          </cell>
        </row>
        <row r="55">
          <cell r="A55" t="str">
            <v>G13</v>
          </cell>
        </row>
        <row r="56">
          <cell r="A56" t="str">
            <v>N23</v>
          </cell>
        </row>
        <row r="57">
          <cell r="A57" t="str">
            <v>O11</v>
          </cell>
        </row>
        <row r="58">
          <cell r="A58" t="str">
            <v>O12</v>
          </cell>
        </row>
        <row r="59">
          <cell r="A59" t="str">
            <v>R</v>
          </cell>
        </row>
        <row r="60">
          <cell r="A60" t="str">
            <v>Z10</v>
          </cell>
        </row>
        <row r="61">
          <cell r="A61" t="str">
            <v>Z100</v>
          </cell>
        </row>
        <row r="62">
          <cell r="A62" t="str">
            <v>Z50</v>
          </cell>
        </row>
      </sheetData>
      <sheetData sheetId="8">
        <row r="2">
          <cell r="A2" t="str">
            <v>Altana na ogródku działkowym</v>
          </cell>
        </row>
      </sheetData>
      <sheetData sheetId="9">
        <row r="2">
          <cell r="A2" t="str">
            <v xml:space="preserve"> Multimedia Polska Energia Sp. z o.o.</v>
          </cell>
        </row>
      </sheetData>
      <sheetData sheetId="10">
        <row r="2">
          <cell r="A2" t="str">
            <v>AEC Sp. z o.o.</v>
          </cell>
        </row>
        <row r="3">
          <cell r="A3" t="str">
            <v>ANWIL S.A.</v>
          </cell>
        </row>
        <row r="4">
          <cell r="A4" t="str">
            <v>ArcelorMittal Poland S.A.</v>
          </cell>
        </row>
        <row r="5">
          <cell r="A5" t="str">
            <v>BD Sp. z o.o.</v>
          </cell>
        </row>
        <row r="6">
          <cell r="A6" t="str">
            <v>Boryszew S.A.</v>
          </cell>
        </row>
        <row r="7">
          <cell r="A7" t="str">
            <v>Buma Service Sp. z o.o.</v>
          </cell>
        </row>
        <row r="8">
          <cell r="A8" t="str">
            <v>CIECH Sarzyna S.A.</v>
          </cell>
        </row>
        <row r="9">
          <cell r="A9" t="str">
            <v>Ciepłownia Siemianowice Sp. z o.o.</v>
          </cell>
        </row>
        <row r="10">
          <cell r="A10" t="str">
            <v>CMC Poland Sp. z o.o.</v>
          </cell>
        </row>
        <row r="11">
          <cell r="A11" t="str">
            <v>CNP Centrum Nakładania Powłok Leszek Rak</v>
          </cell>
        </row>
        <row r="12">
          <cell r="A12" t="str">
            <v>D-Energia Sp. z o.o.</v>
          </cell>
        </row>
        <row r="13">
          <cell r="A13" t="str">
            <v>Dolnośląskie Zakłady Usługowo-Produkcyjne DOZAMEL Sp. z o.o.</v>
          </cell>
        </row>
        <row r="14">
          <cell r="A14" t="str">
            <v>ECO Jelenia Góra Spółka z o.o.</v>
          </cell>
        </row>
        <row r="15">
          <cell r="A15" t="str">
            <v>EHN S.A.</v>
          </cell>
        </row>
        <row r="16">
          <cell r="A16" t="str">
            <v>EkoMedia Sp. z o.o.</v>
          </cell>
        </row>
        <row r="17">
          <cell r="A17" t="str">
            <v>Elana-Energetyka Sp. z o.o.</v>
          </cell>
        </row>
        <row r="18">
          <cell r="A18" t="str">
            <v>Elco Energy Sp. z o.o.</v>
          </cell>
        </row>
        <row r="19">
          <cell r="A19" t="str">
            <v>Elektrociepłownia Mielec Sp. z o.o.</v>
          </cell>
        </row>
        <row r="20">
          <cell r="A20" t="str">
            <v>Elektrownia Prudnik Sp. z o.o.</v>
          </cell>
        </row>
        <row r="21">
          <cell r="A21" t="str">
            <v>ELSEN S.A. w restrukturyzacji</v>
          </cell>
        </row>
        <row r="22">
          <cell r="A22" t="str">
            <v>ELTRONIK ACPRO Sp. z o.o. Sp. k.</v>
          </cell>
        </row>
        <row r="23">
          <cell r="A23" t="str">
            <v>EMPOL ENERGIA Sp. z o.o.</v>
          </cell>
        </row>
        <row r="24">
          <cell r="A24" t="str">
            <v xml:space="preserve">Enea Operator Sp. z o.o. </v>
          </cell>
        </row>
        <row r="25">
          <cell r="A25" t="str">
            <v>ENERGA-OPERATOR S.A.</v>
          </cell>
        </row>
        <row r="26">
          <cell r="A26" t="str">
            <v>Energetyka Raków Sp. z o.o.</v>
          </cell>
        </row>
        <row r="27">
          <cell r="A27" t="str">
            <v>Energetyka Wagon Sp. z o.o.</v>
          </cell>
        </row>
        <row r="28">
          <cell r="A28" t="str">
            <v>Energia Euro Park Sp. z o.o.</v>
          </cell>
        </row>
        <row r="29">
          <cell r="A29" t="str">
            <v>ENERGIT Sp. z o.o.</v>
          </cell>
        </row>
        <row r="30">
          <cell r="A30" t="str">
            <v>Energomedia Sp. z o.o.</v>
          </cell>
        </row>
        <row r="31">
          <cell r="A31" t="str">
            <v>Energoserwis Kleszczów Sp. z o.o.</v>
          </cell>
        </row>
        <row r="32">
          <cell r="A32" t="str">
            <v>Energostrefa Sp. z o.o.</v>
          </cell>
        </row>
        <row r="33">
          <cell r="A33" t="str">
            <v>Enesta Sp. z o.o.</v>
          </cell>
        </row>
        <row r="34">
          <cell r="A34" t="str">
            <v>ERGO ENERGY Sp. z o.o.</v>
          </cell>
        </row>
        <row r="35">
          <cell r="A35" t="str">
            <v>ESV Metalchem Sp. z o.o.</v>
          </cell>
        </row>
        <row r="36">
          <cell r="A36" t="str">
            <v>ESV Wisłosan Sp. z o.o.</v>
          </cell>
        </row>
        <row r="37">
          <cell r="A37" t="str">
            <v>ESV2 Sp. z o.o.</v>
          </cell>
        </row>
        <row r="38">
          <cell r="A38" t="str">
            <v>ESV3 Sp. z o.o.</v>
          </cell>
        </row>
        <row r="39">
          <cell r="A39" t="str">
            <v>ESV4 Sp. z o.o.</v>
          </cell>
        </row>
        <row r="40">
          <cell r="A40" t="str">
            <v>ESV5 Sp. z o.o.</v>
          </cell>
        </row>
        <row r="41">
          <cell r="A41" t="str">
            <v>ESV6 Sp. z o.o.</v>
          </cell>
        </row>
        <row r="42">
          <cell r="A42" t="str">
            <v>ESV7 Sp. z o.o.</v>
          </cell>
        </row>
        <row r="43">
          <cell r="A43" t="str">
            <v>ESV8 Sp. z o.o.</v>
          </cell>
        </row>
        <row r="44">
          <cell r="A44" t="str">
            <v>ESV9 Sp. z o.o.</v>
          </cell>
        </row>
        <row r="45">
          <cell r="A45" t="str">
            <v>Euro-Energetyka Sp. z o.o.</v>
          </cell>
        </row>
        <row r="46">
          <cell r="A46" t="str">
            <v>Fabryka Łożysk Tocznych – Kraśnik S.A.</v>
          </cell>
        </row>
        <row r="47">
          <cell r="A47" t="str">
            <v>Federal - Mogul Gorzyce Sp. z o.o.</v>
          </cell>
        </row>
        <row r="48">
          <cell r="A48" t="str">
            <v>Fenice Sp. z o.o.</v>
          </cell>
        </row>
        <row r="49">
          <cell r="A49" t="str">
            <v>Gepol Dystrybucja Sp. z o.o.</v>
          </cell>
        </row>
        <row r="50">
          <cell r="A50" t="str">
            <v>GET EnTra Sp. z o.o.</v>
          </cell>
        </row>
        <row r="51">
          <cell r="A51" t="str">
            <v>GRANDMASTER Sp. z o.o.</v>
          </cell>
        </row>
        <row r="52">
          <cell r="A52" t="str">
            <v>Green Lights Dystrybucja Sp. z o.o.</v>
          </cell>
        </row>
        <row r="53">
          <cell r="A53" t="str">
            <v>Green Lights Holding Sp. z o.o.</v>
          </cell>
        </row>
        <row r="54">
          <cell r="A54" t="str">
            <v>Green Lights Obrót Sp. z o.o.</v>
          </cell>
        </row>
        <row r="55">
          <cell r="A55" t="str">
            <v>Green Lights Sp. z o.o.</v>
          </cell>
        </row>
        <row r="56">
          <cell r="A56" t="str">
            <v>Grupa Azoty Spółka Akcyjna</v>
          </cell>
        </row>
        <row r="57">
          <cell r="A57" t="str">
            <v>Grupa Azoty Zakłady Azotowe Chorzów S.A.</v>
          </cell>
        </row>
        <row r="58">
          <cell r="A58" t="str">
            <v>Grupa Azoty Zakłady Azotowe Kędzierzyn S.A.</v>
          </cell>
        </row>
        <row r="59">
          <cell r="A59" t="str">
            <v>Grupa Azoty Zakłady Azotowe PUŁAWY S.A.</v>
          </cell>
        </row>
        <row r="60">
          <cell r="A60" t="str">
            <v>Grupa Energia GE  sp. z o.o.</v>
          </cell>
        </row>
        <row r="61">
          <cell r="A61" t="str">
            <v>Grupa Energia Obrót GE Sp. z o.o.</v>
          </cell>
        </row>
        <row r="62">
          <cell r="A62" t="str">
            <v>Grupa KĘTY S.A.</v>
          </cell>
        </row>
        <row r="63">
          <cell r="A63" t="str">
            <v>H. Cegielski - ENERGOCENTRUM Sp. z o.o.</v>
          </cell>
        </row>
        <row r="64">
          <cell r="A64" t="str">
            <v>JSW KOKS S.A.</v>
          </cell>
        </row>
        <row r="65">
          <cell r="A65" t="str">
            <v>KGHM Polska Miedź S.A.</v>
          </cell>
        </row>
        <row r="66">
          <cell r="A66" t="str">
            <v>Kimberly-Clark Sp. z o.o.</v>
          </cell>
        </row>
        <row r="67">
          <cell r="A67" t="str">
            <v>KOLSATPOL Sp. z o.o.</v>
          </cell>
        </row>
        <row r="68">
          <cell r="A68" t="str">
            <v>Korporacja Budowlana “Fadom” S.A.</v>
          </cell>
        </row>
        <row r="69">
          <cell r="A69" t="str">
            <v>Lewandpol ProEnergia Sp. z o.o.</v>
          </cell>
        </row>
        <row r="70">
          <cell r="A70" t="str">
            <v>Mazovian Energy Partners Sp. z o.o.</v>
          </cell>
        </row>
        <row r="71">
          <cell r="A71" t="str">
            <v>Miejska Energetyka Cieplna Sp. z o.o.</v>
          </cell>
        </row>
        <row r="72">
          <cell r="A72" t="str">
            <v>Orion Engineered Carbons Sp. z o.o.</v>
          </cell>
        </row>
        <row r="73">
          <cell r="A73" t="str">
            <v>ORLEN Południe S.A. Zakład Jedlicze</v>
          </cell>
        </row>
        <row r="74">
          <cell r="A74" t="str">
            <v>Ostrowski Zakład Ciepłowniczy S.A.</v>
          </cell>
        </row>
        <row r="75">
          <cell r="A75" t="str">
            <v>PAL Sp. z o.o.</v>
          </cell>
        </row>
        <row r="76">
          <cell r="A76" t="str">
            <v>PAL1 Sp. z o.o.</v>
          </cell>
        </row>
        <row r="77">
          <cell r="A77" t="str">
            <v>PAL2 Sp. z o.o.</v>
          </cell>
        </row>
        <row r="78">
          <cell r="A78" t="str">
            <v>PCC Blachownia Sp. z o.o.</v>
          </cell>
        </row>
        <row r="79">
          <cell r="A79" t="str">
            <v>PCC Rokita S.A.</v>
          </cell>
        </row>
        <row r="80">
          <cell r="A80" t="str">
            <v>PEC „Legionowo” Sp. z o.o.</v>
          </cell>
        </row>
        <row r="81">
          <cell r="A81" t="str">
            <v>PGE Dystrybucja S.A. Oddział Białystok</v>
          </cell>
        </row>
        <row r="82">
          <cell r="A82" t="str">
            <v>PGE Dystrybucja S.A. Oddział Lublin</v>
          </cell>
        </row>
        <row r="83">
          <cell r="A83" t="str">
            <v>PGE Dystrybucja S.A. Oddział Łódź - Miasto</v>
          </cell>
        </row>
        <row r="84">
          <cell r="A84" t="str">
            <v>PGE Dystrybucja S.A. Oddział Łódź - Teren</v>
          </cell>
        </row>
        <row r="85">
          <cell r="A85" t="str">
            <v>PGE Dystrybucja S.A. Oddział Rzeszów</v>
          </cell>
        </row>
        <row r="86">
          <cell r="A86" t="str">
            <v>PGE Dystrybucja S.A. Oddział Skarżysko - Kamienna</v>
          </cell>
        </row>
        <row r="87">
          <cell r="A87" t="str">
            <v>PGE Dystrybucja S.A. Oddział Warszawa</v>
          </cell>
        </row>
        <row r="88">
          <cell r="A88" t="str">
            <v>PGE Dystrybucja S.A. Oddział Zamość</v>
          </cell>
        </row>
        <row r="89">
          <cell r="A89" t="str">
            <v>PGE Energia Ciepła S.A.</v>
          </cell>
        </row>
        <row r="90">
          <cell r="A90" t="str">
            <v>PGE Górnictwo i Energetyka Konwencjonalna S.A.</v>
          </cell>
        </row>
        <row r="91">
          <cell r="A91" t="str">
            <v>PGNiG TERMIKA Energetyka Przemysłowa S.A.</v>
          </cell>
        </row>
        <row r="92">
          <cell r="A92" t="str">
            <v xml:space="preserve">PKP ENERGETYKA S.A. </v>
          </cell>
        </row>
        <row r="93">
          <cell r="A93" t="str">
            <v>Plus Energia Sp. z o.o.</v>
          </cell>
        </row>
        <row r="94">
          <cell r="A94" t="str">
            <v>Polenergia Dystrybucja Sp. z o.o.</v>
          </cell>
        </row>
        <row r="95">
          <cell r="A95" t="str">
            <v>POLONTEX S.A.</v>
          </cell>
        </row>
        <row r="96">
          <cell r="A96" t="str">
            <v>Polski Koncern Naftowy ORLEN S.A.</v>
          </cell>
        </row>
        <row r="97">
          <cell r="A97" t="str">
            <v>POTESTIA Sp. z o.o.</v>
          </cell>
        </row>
        <row r="98">
          <cell r="A98" t="str">
            <v>Power 21 Sp. z o.o.</v>
          </cell>
        </row>
        <row r="99">
          <cell r="A99" t="str">
            <v>Przedsiębiorstwo Energetyki Cieplnej w Końskich Sp. z o.o.</v>
          </cell>
        </row>
        <row r="100">
          <cell r="A100" t="str">
            <v>Przedsiębiorstwo Państwowe „Porty Lotnicze”</v>
          </cell>
        </row>
        <row r="101">
          <cell r="A101" t="str">
            <v>Przedsiębiorstwo Produkcyjno – Usługowe  „Storem” – Sp. z o.o.</v>
          </cell>
        </row>
        <row r="102">
          <cell r="A102" t="str">
            <v>PS Operator Sp. z o.o.</v>
          </cell>
        </row>
        <row r="103">
          <cell r="A103" t="str">
            <v>PSSE Media Operator Sp. z o.o.</v>
          </cell>
        </row>
        <row r="104">
          <cell r="A104" t="str">
            <v>RCEkoenergia Sp. z o.o.</v>
          </cell>
        </row>
        <row r="105">
          <cell r="A105" t="str">
            <v>SIDE sp. z o.o.</v>
          </cell>
        </row>
        <row r="106">
          <cell r="A106" t="str">
            <v>Spółka Restrukturyzacji Kopalń S.A.</v>
          </cell>
        </row>
        <row r="107">
          <cell r="A107" t="str">
            <v>Spółka Towarzystwo Inwestycyjne "Elektrownia-Wschód" S.A.</v>
          </cell>
        </row>
        <row r="108">
          <cell r="A108" t="str">
            <v>Stoen Operator Sp. z o.o.</v>
          </cell>
        </row>
        <row r="109">
          <cell r="A109" t="str">
            <v>Synthos Dwory 7 Sp. z o.o. Sp.j.</v>
          </cell>
        </row>
        <row r="110">
          <cell r="A110" t="str">
            <v>TAURON Dystrybucja S.A.</v>
          </cell>
        </row>
        <row r="111">
          <cell r="A111" t="str">
            <v>TAURON Dystrybucja S.A.  (Gliwice)</v>
          </cell>
        </row>
        <row r="112">
          <cell r="A112" t="str">
            <v>Terawat Dystrybucja Sp. z o.o.</v>
          </cell>
        </row>
        <row r="113">
          <cell r="A113" t="str">
            <v>TERMA-DOM Sp. z o.o.</v>
          </cell>
        </row>
        <row r="114">
          <cell r="A114" t="str">
            <v>Tokai COBEX Polska sp. z o.o.</v>
          </cell>
        </row>
        <row r="115">
          <cell r="A115" t="str">
            <v>Towarzystwo Inwestycyjne „Elektrownia - Wschód” S.A.</v>
          </cell>
        </row>
        <row r="116">
          <cell r="A116" t="str">
            <v>UNIHUT S.A.</v>
          </cell>
        </row>
        <row r="117">
          <cell r="A117" t="str">
            <v xml:space="preserve">VEOLIA Energia Poznań S.A.  </v>
          </cell>
        </row>
        <row r="118">
          <cell r="A118" t="str">
            <v>WM Malta Sp. z o.o.</v>
          </cell>
        </row>
        <row r="119">
          <cell r="A119" t="str">
            <v>Wojewódzkie Przedsiębiorstwo Robót Drogowych S.A.</v>
          </cell>
        </row>
        <row r="120">
          <cell r="A120" t="str">
            <v>ZAEL- ENERGO Sp. z o.o.</v>
          </cell>
        </row>
        <row r="121">
          <cell r="A121" t="str">
            <v>Zakład Dostaw Nośników Energetycznych Sp. z o.o.</v>
          </cell>
        </row>
        <row r="122">
          <cell r="A122" t="str">
            <v>Zakład Usług Technicznych MEGA Sp. z o.o.</v>
          </cell>
        </row>
        <row r="123">
          <cell r="A123" t="str">
            <v>Zakład Usług Technicznych Sp. z o.o.</v>
          </cell>
        </row>
        <row r="124">
          <cell r="A124" t="str">
            <v>Zakłady Chemiczne SIARKOPOL Tarnobrzeg Sp. z o.o.</v>
          </cell>
        </row>
        <row r="125">
          <cell r="A125" t="str">
            <v>Zakłady Mechaniczne Bumar-Łabędy S.A.</v>
          </cell>
        </row>
        <row r="126">
          <cell r="A126" t="str">
            <v>Zakłady Urządzeń Chemicznych i Armatury Przemysłowej CHEMAR S.A.</v>
          </cell>
        </row>
        <row r="127">
          <cell r="A127" t="str">
            <v>Zakłady Wyrobów Metalowych "SHL" S.A.</v>
          </cell>
        </row>
        <row r="128">
          <cell r="A128" t="str">
            <v>Zarząd Morskich Portów Szczecin i Świnoujście S.A.</v>
          </cell>
        </row>
        <row r="129">
          <cell r="A129" t="str">
            <v>Zarząd Morskiego Portu Gdańsk SA</v>
          </cell>
        </row>
        <row r="130">
          <cell r="A130" t="str">
            <v>Zarząd Morskiego Portu Gdynia S.A.</v>
          </cell>
        </row>
        <row r="131">
          <cell r="A131" t="str">
            <v>Zespół Elektrociepłowni Wrocławskich Kogeneracja S.A.</v>
          </cell>
        </row>
        <row r="132">
          <cell r="A132" t="str">
            <v>Zespół Elektrowni Wodnych Niedzica S.A.</v>
          </cell>
        </row>
      </sheetData>
      <sheetData sheetId="11">
        <row r="2">
          <cell r="A2" t="str">
            <v>Polska</v>
          </cell>
        </row>
      </sheetData>
      <sheetData sheetId="12">
        <row r="2">
          <cell r="D2" t="str">
            <v>TAK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7"/>
  <sheetViews>
    <sheetView tabSelected="1" topLeftCell="D70" zoomScaleNormal="100" workbookViewId="0">
      <selection activeCell="Q154" sqref="Q154"/>
    </sheetView>
  </sheetViews>
  <sheetFormatPr defaultRowHeight="14.5" x14ac:dyDescent="0.35"/>
  <cols>
    <col min="1" max="1" width="8.7265625" customWidth="1"/>
    <col min="2" max="2" width="32.81640625" bestFit="1" customWidth="1"/>
    <col min="3" max="3" width="15.54296875" customWidth="1"/>
    <col min="4" max="4" width="8.7265625" customWidth="1"/>
    <col min="5" max="5" width="18.453125" customWidth="1"/>
    <col min="6" max="6" width="9.6328125" customWidth="1"/>
    <col min="7" max="7" width="9.1796875" customWidth="1"/>
    <col min="8" max="8" width="12.81640625" bestFit="1" customWidth="1"/>
    <col min="9" max="9" width="19.26953125" bestFit="1" customWidth="1"/>
    <col min="10" max="10" width="11.453125" bestFit="1" customWidth="1"/>
    <col min="11" max="13" width="8.54296875" style="24" bestFit="1" customWidth="1"/>
    <col min="14" max="14" width="9.7265625" style="24" customWidth="1"/>
    <col min="15" max="15" width="22.1796875" customWidth="1"/>
    <col min="16" max="16" width="8.7265625" customWidth="1"/>
  </cols>
  <sheetData>
    <row r="1" spans="1:15" x14ac:dyDescent="0.35">
      <c r="A1" t="s">
        <v>577</v>
      </c>
    </row>
    <row r="2" spans="1:15" x14ac:dyDescent="0.35">
      <c r="A2" t="s">
        <v>578</v>
      </c>
    </row>
    <row r="3" spans="1:15" x14ac:dyDescent="0.35">
      <c r="B3" s="64" t="s">
        <v>0</v>
      </c>
      <c r="C3" s="65" t="s">
        <v>1</v>
      </c>
      <c r="D3" s="65"/>
      <c r="E3" s="65"/>
      <c r="F3" s="65"/>
      <c r="G3" s="65"/>
      <c r="H3" s="2"/>
      <c r="I3" s="64" t="s">
        <v>2</v>
      </c>
      <c r="J3" s="64" t="s">
        <v>3</v>
      </c>
      <c r="K3" s="66" t="s">
        <v>4</v>
      </c>
      <c r="L3" s="66"/>
      <c r="M3" s="66"/>
      <c r="N3" s="66"/>
      <c r="O3" s="64" t="s">
        <v>5</v>
      </c>
    </row>
    <row r="4" spans="1:15" s="6" customFormat="1" ht="34.5" x14ac:dyDescent="0.35">
      <c r="A4" s="4" t="s">
        <v>6</v>
      </c>
      <c r="B4" s="64"/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64"/>
      <c r="J4" s="64"/>
      <c r="K4" s="3" t="s">
        <v>13</v>
      </c>
      <c r="L4" s="3" t="s">
        <v>14</v>
      </c>
      <c r="M4" s="3" t="s">
        <v>15</v>
      </c>
      <c r="N4" s="5" t="s">
        <v>16</v>
      </c>
      <c r="O4" s="64"/>
    </row>
    <row r="5" spans="1:15" x14ac:dyDescent="0.35">
      <c r="A5" s="7" t="s">
        <v>17</v>
      </c>
      <c r="B5" s="8" t="s">
        <v>18</v>
      </c>
      <c r="C5" s="9" t="s">
        <v>19</v>
      </c>
      <c r="D5" s="9" t="s">
        <v>20</v>
      </c>
      <c r="E5" s="10" t="s">
        <v>21</v>
      </c>
      <c r="F5" s="8" t="s">
        <v>22</v>
      </c>
      <c r="G5" s="11"/>
      <c r="H5" s="12" t="s">
        <v>23</v>
      </c>
      <c r="I5" s="8" t="s">
        <v>24</v>
      </c>
      <c r="J5" s="13" t="s">
        <v>25</v>
      </c>
      <c r="K5" s="14">
        <v>400</v>
      </c>
      <c r="L5" s="14"/>
      <c r="M5" s="14"/>
      <c r="N5" s="15">
        <f t="shared" ref="N5:N36" si="0">K5+L5+M5</f>
        <v>400</v>
      </c>
      <c r="O5" s="16" t="s">
        <v>26</v>
      </c>
    </row>
    <row r="6" spans="1:15" x14ac:dyDescent="0.35">
      <c r="A6" s="7" t="s">
        <v>27</v>
      </c>
      <c r="B6" s="8" t="s">
        <v>18</v>
      </c>
      <c r="C6" s="9" t="s">
        <v>19</v>
      </c>
      <c r="D6" s="9" t="s">
        <v>20</v>
      </c>
      <c r="E6" s="10" t="s">
        <v>21</v>
      </c>
      <c r="F6" s="8" t="s">
        <v>22</v>
      </c>
      <c r="G6" s="11"/>
      <c r="H6" s="12" t="s">
        <v>28</v>
      </c>
      <c r="I6" s="8" t="s">
        <v>29</v>
      </c>
      <c r="J6" s="13" t="s">
        <v>25</v>
      </c>
      <c r="K6" s="14">
        <v>300</v>
      </c>
      <c r="L6" s="14"/>
      <c r="M6" s="14"/>
      <c r="N6" s="15">
        <f t="shared" si="0"/>
        <v>300</v>
      </c>
      <c r="O6" s="16" t="s">
        <v>26</v>
      </c>
    </row>
    <row r="7" spans="1:15" x14ac:dyDescent="0.35">
      <c r="A7" s="7" t="s">
        <v>30</v>
      </c>
      <c r="B7" s="8" t="s">
        <v>31</v>
      </c>
      <c r="C7" s="9" t="s">
        <v>32</v>
      </c>
      <c r="D7" s="9" t="s">
        <v>33</v>
      </c>
      <c r="E7" s="10" t="s">
        <v>34</v>
      </c>
      <c r="F7" s="8" t="s">
        <v>35</v>
      </c>
      <c r="G7" s="11" t="s">
        <v>36</v>
      </c>
      <c r="H7" s="12" t="s">
        <v>37</v>
      </c>
      <c r="I7" s="8" t="s">
        <v>38</v>
      </c>
      <c r="J7" s="13" t="s">
        <v>39</v>
      </c>
      <c r="K7" s="14">
        <f>5.63*30.04%</f>
        <v>1.691252</v>
      </c>
      <c r="L7" s="14">
        <f>5.63*69.96%</f>
        <v>3.9387479999999995</v>
      </c>
      <c r="M7" s="14"/>
      <c r="N7" s="15">
        <f t="shared" si="0"/>
        <v>5.629999999999999</v>
      </c>
      <c r="O7" s="16" t="s">
        <v>26</v>
      </c>
    </row>
    <row r="8" spans="1:15" x14ac:dyDescent="0.35">
      <c r="A8" s="7" t="s">
        <v>40</v>
      </c>
      <c r="B8" s="8" t="s">
        <v>31</v>
      </c>
      <c r="C8" s="9" t="s">
        <v>32</v>
      </c>
      <c r="D8" s="9" t="s">
        <v>33</v>
      </c>
      <c r="E8" s="10" t="s">
        <v>34</v>
      </c>
      <c r="F8" s="8" t="s">
        <v>35</v>
      </c>
      <c r="G8" s="11" t="s">
        <v>41</v>
      </c>
      <c r="H8" s="12" t="s">
        <v>42</v>
      </c>
      <c r="I8" s="8" t="s">
        <v>43</v>
      </c>
      <c r="J8" s="13" t="s">
        <v>44</v>
      </c>
      <c r="K8" s="14">
        <v>4.5999999999999996</v>
      </c>
      <c r="L8" s="14"/>
      <c r="M8" s="14"/>
      <c r="N8" s="15">
        <f t="shared" si="0"/>
        <v>4.5999999999999996</v>
      </c>
      <c r="O8" s="16" t="s">
        <v>26</v>
      </c>
    </row>
    <row r="9" spans="1:15" x14ac:dyDescent="0.35">
      <c r="A9" s="7" t="s">
        <v>45</v>
      </c>
      <c r="B9" s="8" t="s">
        <v>31</v>
      </c>
      <c r="C9" s="9" t="s">
        <v>32</v>
      </c>
      <c r="D9" s="9" t="s">
        <v>33</v>
      </c>
      <c r="E9" s="10" t="s">
        <v>34</v>
      </c>
      <c r="F9" s="8" t="s">
        <v>46</v>
      </c>
      <c r="G9" s="11" t="s">
        <v>47</v>
      </c>
      <c r="H9" s="12" t="s">
        <v>48</v>
      </c>
      <c r="I9" s="8" t="s">
        <v>49</v>
      </c>
      <c r="J9" s="13" t="s">
        <v>39</v>
      </c>
      <c r="K9" s="14">
        <f>1.522*30.04%</f>
        <v>0.45720880000000003</v>
      </c>
      <c r="L9" s="14">
        <f>1.522*69.96%</f>
        <v>1.0647911999999999</v>
      </c>
      <c r="M9" s="14"/>
      <c r="N9" s="15">
        <f t="shared" si="0"/>
        <v>1.522</v>
      </c>
      <c r="O9" s="16" t="s">
        <v>26</v>
      </c>
    </row>
    <row r="10" spans="1:15" x14ac:dyDescent="0.35">
      <c r="A10" s="7" t="s">
        <v>50</v>
      </c>
      <c r="B10" s="8" t="s">
        <v>31</v>
      </c>
      <c r="C10" s="9" t="s">
        <v>32</v>
      </c>
      <c r="D10" s="9" t="s">
        <v>33</v>
      </c>
      <c r="E10" s="10" t="s">
        <v>34</v>
      </c>
      <c r="F10" s="8" t="s">
        <v>51</v>
      </c>
      <c r="G10" s="11" t="s">
        <v>47</v>
      </c>
      <c r="H10" s="12" t="s">
        <v>52</v>
      </c>
      <c r="I10" s="8" t="s">
        <v>53</v>
      </c>
      <c r="J10" s="13" t="s">
        <v>39</v>
      </c>
      <c r="K10" s="14">
        <f>9.63*30.04%</f>
        <v>2.8928520000000004</v>
      </c>
      <c r="L10" s="14">
        <f>9.63*69.96%</f>
        <v>6.7371479999999995</v>
      </c>
      <c r="M10" s="14"/>
      <c r="N10" s="15">
        <f t="shared" si="0"/>
        <v>9.629999999999999</v>
      </c>
      <c r="O10" s="16" t="s">
        <v>26</v>
      </c>
    </row>
    <row r="11" spans="1:15" x14ac:dyDescent="0.35">
      <c r="A11" s="7" t="s">
        <v>54</v>
      </c>
      <c r="B11" s="8" t="s">
        <v>31</v>
      </c>
      <c r="C11" s="9" t="s">
        <v>32</v>
      </c>
      <c r="D11" s="9" t="s">
        <v>33</v>
      </c>
      <c r="E11" s="10" t="s">
        <v>34</v>
      </c>
      <c r="F11" s="8" t="s">
        <v>46</v>
      </c>
      <c r="G11" s="11" t="s">
        <v>55</v>
      </c>
      <c r="H11" s="12" t="s">
        <v>56</v>
      </c>
      <c r="I11" s="8" t="s">
        <v>57</v>
      </c>
      <c r="J11" s="13" t="s">
        <v>44</v>
      </c>
      <c r="K11" s="14">
        <v>0.69</v>
      </c>
      <c r="L11" s="14"/>
      <c r="M11" s="14"/>
      <c r="N11" s="15">
        <f t="shared" si="0"/>
        <v>0.69</v>
      </c>
      <c r="O11" s="16" t="s">
        <v>26</v>
      </c>
    </row>
    <row r="12" spans="1:15" x14ac:dyDescent="0.35">
      <c r="A12" s="7" t="s">
        <v>58</v>
      </c>
      <c r="B12" s="8" t="s">
        <v>31</v>
      </c>
      <c r="C12" s="9" t="s">
        <v>32</v>
      </c>
      <c r="D12" s="9" t="s">
        <v>33</v>
      </c>
      <c r="E12" s="10" t="s">
        <v>34</v>
      </c>
      <c r="F12" s="8" t="s">
        <v>59</v>
      </c>
      <c r="G12" s="11" t="s">
        <v>60</v>
      </c>
      <c r="H12" s="12" t="s">
        <v>61</v>
      </c>
      <c r="I12" s="8" t="s">
        <v>62</v>
      </c>
      <c r="J12" s="13" t="s">
        <v>44</v>
      </c>
      <c r="K12" s="14">
        <v>0.52200000000000002</v>
      </c>
      <c r="L12" s="14"/>
      <c r="M12" s="14"/>
      <c r="N12" s="15">
        <f t="shared" si="0"/>
        <v>0.52200000000000002</v>
      </c>
      <c r="O12" s="16" t="s">
        <v>26</v>
      </c>
    </row>
    <row r="13" spans="1:15" x14ac:dyDescent="0.35">
      <c r="A13" s="7" t="s">
        <v>63</v>
      </c>
      <c r="B13" s="8" t="s">
        <v>31</v>
      </c>
      <c r="C13" s="9" t="s">
        <v>32</v>
      </c>
      <c r="D13" s="9" t="s">
        <v>33</v>
      </c>
      <c r="E13" s="10" t="s">
        <v>34</v>
      </c>
      <c r="F13" s="8" t="s">
        <v>59</v>
      </c>
      <c r="G13" s="11" t="s">
        <v>64</v>
      </c>
      <c r="H13" s="12" t="s">
        <v>65</v>
      </c>
      <c r="I13" s="8" t="s">
        <v>66</v>
      </c>
      <c r="J13" s="13" t="s">
        <v>44</v>
      </c>
      <c r="K13" s="14">
        <v>0.434</v>
      </c>
      <c r="L13" s="14"/>
      <c r="M13" s="14"/>
      <c r="N13" s="15">
        <f t="shared" si="0"/>
        <v>0.434</v>
      </c>
      <c r="O13" s="16" t="s">
        <v>26</v>
      </c>
    </row>
    <row r="14" spans="1:15" x14ac:dyDescent="0.35">
      <c r="A14" s="7" t="s">
        <v>67</v>
      </c>
      <c r="B14" s="8" t="s">
        <v>31</v>
      </c>
      <c r="C14" s="9" t="s">
        <v>32</v>
      </c>
      <c r="D14" s="9" t="s">
        <v>33</v>
      </c>
      <c r="E14" s="10" t="s">
        <v>34</v>
      </c>
      <c r="F14" s="8" t="s">
        <v>59</v>
      </c>
      <c r="G14" s="11" t="s">
        <v>68</v>
      </c>
      <c r="H14" s="12" t="s">
        <v>69</v>
      </c>
      <c r="I14" s="8" t="s">
        <v>70</v>
      </c>
      <c r="J14" s="13" t="s">
        <v>44</v>
      </c>
      <c r="K14" s="14">
        <v>0.51600000000000001</v>
      </c>
      <c r="L14" s="14"/>
      <c r="M14" s="14"/>
      <c r="N14" s="15">
        <f t="shared" si="0"/>
        <v>0.51600000000000001</v>
      </c>
      <c r="O14" s="16" t="s">
        <v>26</v>
      </c>
    </row>
    <row r="15" spans="1:15" x14ac:dyDescent="0.35">
      <c r="A15" s="7" t="s">
        <v>71</v>
      </c>
      <c r="B15" s="8" t="s">
        <v>31</v>
      </c>
      <c r="C15" s="9" t="s">
        <v>32</v>
      </c>
      <c r="D15" s="9" t="s">
        <v>33</v>
      </c>
      <c r="E15" s="10" t="s">
        <v>34</v>
      </c>
      <c r="F15" s="8" t="s">
        <v>35</v>
      </c>
      <c r="G15" s="11"/>
      <c r="H15" s="12" t="s">
        <v>72</v>
      </c>
      <c r="I15" s="8" t="s">
        <v>73</v>
      </c>
      <c r="J15" s="13" t="s">
        <v>74</v>
      </c>
      <c r="K15" s="14">
        <v>188.964</v>
      </c>
      <c r="L15" s="14"/>
      <c r="M15" s="14"/>
      <c r="N15" s="15">
        <f t="shared" si="0"/>
        <v>188.964</v>
      </c>
      <c r="O15" s="16" t="s">
        <v>26</v>
      </c>
    </row>
    <row r="16" spans="1:15" x14ac:dyDescent="0.35">
      <c r="A16" s="7" t="s">
        <v>75</v>
      </c>
      <c r="B16" s="8" t="s">
        <v>31</v>
      </c>
      <c r="C16" s="9" t="s">
        <v>32</v>
      </c>
      <c r="D16" s="9" t="s">
        <v>33</v>
      </c>
      <c r="E16" s="10" t="s">
        <v>34</v>
      </c>
      <c r="F16" s="8" t="s">
        <v>46</v>
      </c>
      <c r="G16" s="11" t="s">
        <v>36</v>
      </c>
      <c r="H16" s="12" t="s">
        <v>76</v>
      </c>
      <c r="I16" s="8" t="s">
        <v>77</v>
      </c>
      <c r="J16" s="13" t="s">
        <v>74</v>
      </c>
      <c r="K16" s="14">
        <v>143.78399999999999</v>
      </c>
      <c r="L16" s="14"/>
      <c r="M16" s="14"/>
      <c r="N16" s="15">
        <f t="shared" si="0"/>
        <v>143.78399999999999</v>
      </c>
      <c r="O16" s="16" t="s">
        <v>26</v>
      </c>
    </row>
    <row r="17" spans="1:15" x14ac:dyDescent="0.35">
      <c r="A17" s="7" t="s">
        <v>78</v>
      </c>
      <c r="B17" s="8" t="s">
        <v>31</v>
      </c>
      <c r="C17" s="9" t="s">
        <v>32</v>
      </c>
      <c r="D17" s="9" t="s">
        <v>33</v>
      </c>
      <c r="E17" s="10" t="s">
        <v>34</v>
      </c>
      <c r="F17" s="8" t="s">
        <v>46</v>
      </c>
      <c r="G17" s="11" t="s">
        <v>79</v>
      </c>
      <c r="H17" s="12" t="s">
        <v>80</v>
      </c>
      <c r="I17" s="8" t="s">
        <v>81</v>
      </c>
      <c r="J17" s="13" t="s">
        <v>74</v>
      </c>
      <c r="K17" s="14">
        <v>132.578</v>
      </c>
      <c r="L17" s="14"/>
      <c r="M17" s="14"/>
      <c r="N17" s="15">
        <f t="shared" si="0"/>
        <v>132.578</v>
      </c>
      <c r="O17" s="16" t="s">
        <v>26</v>
      </c>
    </row>
    <row r="18" spans="1:15" x14ac:dyDescent="0.35">
      <c r="A18" s="7" t="s">
        <v>82</v>
      </c>
      <c r="B18" s="8" t="s">
        <v>31</v>
      </c>
      <c r="C18" s="9" t="s">
        <v>32</v>
      </c>
      <c r="D18" s="9" t="s">
        <v>33</v>
      </c>
      <c r="E18" s="10" t="s">
        <v>34</v>
      </c>
      <c r="F18" s="8" t="s">
        <v>46</v>
      </c>
      <c r="G18" s="11" t="s">
        <v>83</v>
      </c>
      <c r="H18" s="12" t="s">
        <v>84</v>
      </c>
      <c r="I18" s="8" t="s">
        <v>85</v>
      </c>
      <c r="J18" s="13" t="s">
        <v>44</v>
      </c>
      <c r="K18" s="14">
        <v>0.4</v>
      </c>
      <c r="L18" s="14"/>
      <c r="M18" s="14"/>
      <c r="N18" s="15">
        <f t="shared" si="0"/>
        <v>0.4</v>
      </c>
      <c r="O18" s="16" t="s">
        <v>26</v>
      </c>
    </row>
    <row r="19" spans="1:15" x14ac:dyDescent="0.35">
      <c r="A19" s="7" t="s">
        <v>86</v>
      </c>
      <c r="B19" s="8" t="s">
        <v>31</v>
      </c>
      <c r="C19" s="9" t="s">
        <v>32</v>
      </c>
      <c r="D19" s="9" t="s">
        <v>33</v>
      </c>
      <c r="E19" s="10" t="s">
        <v>34</v>
      </c>
      <c r="F19" s="8" t="s">
        <v>46</v>
      </c>
      <c r="G19" s="11" t="s">
        <v>87</v>
      </c>
      <c r="H19" s="12" t="s">
        <v>88</v>
      </c>
      <c r="I19" s="8" t="s">
        <v>89</v>
      </c>
      <c r="J19" s="13" t="s">
        <v>44</v>
      </c>
      <c r="K19" s="14">
        <v>0.41</v>
      </c>
      <c r="L19" s="14"/>
      <c r="M19" s="14"/>
      <c r="N19" s="15">
        <f t="shared" si="0"/>
        <v>0.41</v>
      </c>
      <c r="O19" s="16" t="s">
        <v>26</v>
      </c>
    </row>
    <row r="20" spans="1:15" x14ac:dyDescent="0.35">
      <c r="A20" s="7" t="s">
        <v>90</v>
      </c>
      <c r="B20" s="8" t="s">
        <v>31</v>
      </c>
      <c r="C20" s="9" t="s">
        <v>32</v>
      </c>
      <c r="D20" s="9" t="s">
        <v>33</v>
      </c>
      <c r="E20" s="10" t="s">
        <v>34</v>
      </c>
      <c r="F20" s="8" t="s">
        <v>46</v>
      </c>
      <c r="G20" s="11" t="s">
        <v>91</v>
      </c>
      <c r="H20" s="12" t="s">
        <v>92</v>
      </c>
      <c r="I20" s="8" t="s">
        <v>93</v>
      </c>
      <c r="J20" s="13" t="s">
        <v>44</v>
      </c>
      <c r="K20" s="14">
        <v>0.39</v>
      </c>
      <c r="L20" s="14"/>
      <c r="M20" s="14"/>
      <c r="N20" s="15">
        <f t="shared" si="0"/>
        <v>0.39</v>
      </c>
      <c r="O20" s="16" t="s">
        <v>26</v>
      </c>
    </row>
    <row r="21" spans="1:15" x14ac:dyDescent="0.35">
      <c r="A21" s="7" t="s">
        <v>94</v>
      </c>
      <c r="B21" s="8" t="s">
        <v>31</v>
      </c>
      <c r="C21" s="9" t="s">
        <v>32</v>
      </c>
      <c r="D21" s="9" t="s">
        <v>33</v>
      </c>
      <c r="E21" s="10" t="s">
        <v>34</v>
      </c>
      <c r="F21" s="8" t="s">
        <v>46</v>
      </c>
      <c r="G21" s="11" t="s">
        <v>95</v>
      </c>
      <c r="H21" s="12" t="s">
        <v>96</v>
      </c>
      <c r="I21" s="8" t="s">
        <v>97</v>
      </c>
      <c r="J21" s="13" t="s">
        <v>44</v>
      </c>
      <c r="K21" s="14">
        <v>0.504</v>
      </c>
      <c r="L21" s="14"/>
      <c r="M21" s="14"/>
      <c r="N21" s="15">
        <f t="shared" si="0"/>
        <v>0.504</v>
      </c>
      <c r="O21" s="16" t="s">
        <v>26</v>
      </c>
    </row>
    <row r="22" spans="1:15" x14ac:dyDescent="0.35">
      <c r="A22" s="7" t="s">
        <v>98</v>
      </c>
      <c r="B22" s="8" t="s">
        <v>31</v>
      </c>
      <c r="C22" s="9" t="s">
        <v>32</v>
      </c>
      <c r="D22" s="9" t="s">
        <v>33</v>
      </c>
      <c r="E22" s="10" t="s">
        <v>34</v>
      </c>
      <c r="F22" s="8" t="s">
        <v>46</v>
      </c>
      <c r="G22" s="11" t="s">
        <v>99</v>
      </c>
      <c r="H22" s="12" t="s">
        <v>100</v>
      </c>
      <c r="I22" s="8" t="s">
        <v>101</v>
      </c>
      <c r="J22" s="13" t="s">
        <v>44</v>
      </c>
      <c r="K22" s="14">
        <v>0.32400000000000001</v>
      </c>
      <c r="L22" s="14"/>
      <c r="M22" s="14"/>
      <c r="N22" s="15">
        <f t="shared" si="0"/>
        <v>0.32400000000000001</v>
      </c>
      <c r="O22" s="16" t="s">
        <v>26</v>
      </c>
    </row>
    <row r="23" spans="1:15" x14ac:dyDescent="0.35">
      <c r="A23" s="7" t="s">
        <v>102</v>
      </c>
      <c r="B23" s="8" t="s">
        <v>31</v>
      </c>
      <c r="C23" s="9" t="s">
        <v>32</v>
      </c>
      <c r="D23" s="9" t="s">
        <v>33</v>
      </c>
      <c r="E23" s="10" t="s">
        <v>34</v>
      </c>
      <c r="F23" s="8" t="s">
        <v>46</v>
      </c>
      <c r="G23" s="11" t="s">
        <v>103</v>
      </c>
      <c r="H23" s="12" t="s">
        <v>104</v>
      </c>
      <c r="I23" s="8" t="s">
        <v>105</v>
      </c>
      <c r="J23" s="13" t="s">
        <v>44</v>
      </c>
      <c r="K23" s="14">
        <v>0.58799999999999997</v>
      </c>
      <c r="L23" s="14"/>
      <c r="M23" s="14"/>
      <c r="N23" s="15">
        <f t="shared" si="0"/>
        <v>0.58799999999999997</v>
      </c>
      <c r="O23" s="16" t="s">
        <v>26</v>
      </c>
    </row>
    <row r="24" spans="1:15" x14ac:dyDescent="0.35">
      <c r="A24" s="7" t="s">
        <v>106</v>
      </c>
      <c r="B24" s="8" t="s">
        <v>31</v>
      </c>
      <c r="C24" s="9" t="s">
        <v>32</v>
      </c>
      <c r="D24" s="9" t="s">
        <v>33</v>
      </c>
      <c r="E24" s="10" t="s">
        <v>34</v>
      </c>
      <c r="F24" s="8" t="s">
        <v>46</v>
      </c>
      <c r="G24" s="11" t="s">
        <v>107</v>
      </c>
      <c r="H24" s="12" t="s">
        <v>108</v>
      </c>
      <c r="I24" s="8" t="s">
        <v>109</v>
      </c>
      <c r="J24" s="13" t="s">
        <v>44</v>
      </c>
      <c r="K24" s="14">
        <v>0.40200000000000002</v>
      </c>
      <c r="L24" s="14"/>
      <c r="M24" s="14"/>
      <c r="N24" s="15">
        <f t="shared" si="0"/>
        <v>0.40200000000000002</v>
      </c>
      <c r="O24" s="16" t="s">
        <v>26</v>
      </c>
    </row>
    <row r="25" spans="1:15" x14ac:dyDescent="0.35">
      <c r="A25" s="7" t="s">
        <v>110</v>
      </c>
      <c r="B25" s="8" t="s">
        <v>31</v>
      </c>
      <c r="C25" s="9" t="s">
        <v>32</v>
      </c>
      <c r="D25" s="9" t="s">
        <v>33</v>
      </c>
      <c r="E25" s="10" t="s">
        <v>34</v>
      </c>
      <c r="F25" s="8" t="s">
        <v>46</v>
      </c>
      <c r="G25" s="11" t="s">
        <v>60</v>
      </c>
      <c r="H25" s="12" t="s">
        <v>111</v>
      </c>
      <c r="I25" s="8" t="s">
        <v>112</v>
      </c>
      <c r="J25" s="13" t="s">
        <v>44</v>
      </c>
      <c r="K25" s="14">
        <v>0.372</v>
      </c>
      <c r="L25" s="14"/>
      <c r="M25" s="14"/>
      <c r="N25" s="15">
        <f t="shared" si="0"/>
        <v>0.372</v>
      </c>
      <c r="O25" s="16" t="s">
        <v>26</v>
      </c>
    </row>
    <row r="26" spans="1:15" x14ac:dyDescent="0.35">
      <c r="A26" s="7" t="s">
        <v>113</v>
      </c>
      <c r="B26" s="8" t="s">
        <v>31</v>
      </c>
      <c r="C26" s="9" t="s">
        <v>32</v>
      </c>
      <c r="D26" s="9" t="s">
        <v>33</v>
      </c>
      <c r="E26" s="10" t="s">
        <v>34</v>
      </c>
      <c r="F26" s="8" t="s">
        <v>46</v>
      </c>
      <c r="G26" s="11" t="s">
        <v>114</v>
      </c>
      <c r="H26" s="12" t="s">
        <v>115</v>
      </c>
      <c r="I26" s="8" t="s">
        <v>116</v>
      </c>
      <c r="J26" s="13" t="s">
        <v>44</v>
      </c>
      <c r="K26" s="14">
        <v>0.33800000000000002</v>
      </c>
      <c r="L26" s="14"/>
      <c r="M26" s="14"/>
      <c r="N26" s="15">
        <f t="shared" si="0"/>
        <v>0.33800000000000002</v>
      </c>
      <c r="O26" s="16" t="s">
        <v>26</v>
      </c>
    </row>
    <row r="27" spans="1:15" x14ac:dyDescent="0.35">
      <c r="A27" s="7" t="s">
        <v>117</v>
      </c>
      <c r="B27" s="8" t="s">
        <v>31</v>
      </c>
      <c r="C27" s="9" t="s">
        <v>32</v>
      </c>
      <c r="D27" s="9" t="s">
        <v>33</v>
      </c>
      <c r="E27" s="10" t="s">
        <v>34</v>
      </c>
      <c r="F27" s="8" t="s">
        <v>46</v>
      </c>
      <c r="G27" s="11" t="s">
        <v>118</v>
      </c>
      <c r="H27" s="12" t="s">
        <v>119</v>
      </c>
      <c r="I27" s="8" t="s">
        <v>120</v>
      </c>
      <c r="J27" s="13" t="s">
        <v>44</v>
      </c>
      <c r="K27" s="14">
        <v>0.42199999999999999</v>
      </c>
      <c r="L27" s="14"/>
      <c r="M27" s="14"/>
      <c r="N27" s="15">
        <f t="shared" si="0"/>
        <v>0.42199999999999999</v>
      </c>
      <c r="O27" s="16" t="s">
        <v>26</v>
      </c>
    </row>
    <row r="28" spans="1:15" x14ac:dyDescent="0.35">
      <c r="A28" s="7" t="s">
        <v>121</v>
      </c>
      <c r="B28" s="8" t="s">
        <v>31</v>
      </c>
      <c r="C28" s="9" t="s">
        <v>32</v>
      </c>
      <c r="D28" s="9" t="s">
        <v>33</v>
      </c>
      <c r="E28" s="10" t="s">
        <v>34</v>
      </c>
      <c r="F28" s="8" t="s">
        <v>46</v>
      </c>
      <c r="G28" s="11" t="s">
        <v>122</v>
      </c>
      <c r="H28" s="12" t="s">
        <v>123</v>
      </c>
      <c r="I28" s="8" t="s">
        <v>124</v>
      </c>
      <c r="J28" s="13" t="s">
        <v>44</v>
      </c>
      <c r="K28" s="14">
        <v>0.55200000000000005</v>
      </c>
      <c r="L28" s="14"/>
      <c r="M28" s="14"/>
      <c r="N28" s="15">
        <f t="shared" si="0"/>
        <v>0.55200000000000005</v>
      </c>
      <c r="O28" s="16" t="s">
        <v>26</v>
      </c>
    </row>
    <row r="29" spans="1:15" x14ac:dyDescent="0.35">
      <c r="A29" s="7" t="s">
        <v>125</v>
      </c>
      <c r="B29" s="8" t="s">
        <v>31</v>
      </c>
      <c r="C29" s="9" t="s">
        <v>32</v>
      </c>
      <c r="D29" s="9" t="s">
        <v>33</v>
      </c>
      <c r="E29" s="10" t="s">
        <v>34</v>
      </c>
      <c r="F29" s="8" t="s">
        <v>46</v>
      </c>
      <c r="G29" s="11" t="s">
        <v>126</v>
      </c>
      <c r="H29" s="12" t="s">
        <v>127</v>
      </c>
      <c r="I29" s="8" t="s">
        <v>128</v>
      </c>
      <c r="J29" s="13" t="s">
        <v>44</v>
      </c>
      <c r="K29" s="14">
        <v>0.58399999999999996</v>
      </c>
      <c r="L29" s="14"/>
      <c r="M29" s="14"/>
      <c r="N29" s="15">
        <f t="shared" si="0"/>
        <v>0.58399999999999996</v>
      </c>
      <c r="O29" s="16" t="s">
        <v>26</v>
      </c>
    </row>
    <row r="30" spans="1:15" x14ac:dyDescent="0.35">
      <c r="A30" s="7" t="s">
        <v>129</v>
      </c>
      <c r="B30" s="8" t="s">
        <v>31</v>
      </c>
      <c r="C30" s="9" t="s">
        <v>32</v>
      </c>
      <c r="D30" s="9" t="s">
        <v>33</v>
      </c>
      <c r="E30" s="10" t="s">
        <v>34</v>
      </c>
      <c r="F30" s="8" t="s">
        <v>46</v>
      </c>
      <c r="G30" s="11" t="s">
        <v>130</v>
      </c>
      <c r="H30" s="12" t="s">
        <v>131</v>
      </c>
      <c r="I30" s="8" t="s">
        <v>132</v>
      </c>
      <c r="J30" s="13" t="s">
        <v>44</v>
      </c>
      <c r="K30" s="14">
        <v>0.78</v>
      </c>
      <c r="L30" s="14"/>
      <c r="M30" s="14"/>
      <c r="N30" s="15">
        <f t="shared" si="0"/>
        <v>0.78</v>
      </c>
      <c r="O30" s="16" t="s">
        <v>26</v>
      </c>
    </row>
    <row r="31" spans="1:15" x14ac:dyDescent="0.35">
      <c r="A31" s="7" t="s">
        <v>133</v>
      </c>
      <c r="B31" s="8" t="s">
        <v>31</v>
      </c>
      <c r="C31" s="9" t="s">
        <v>32</v>
      </c>
      <c r="D31" s="9" t="s">
        <v>33</v>
      </c>
      <c r="E31" s="10" t="s">
        <v>34</v>
      </c>
      <c r="F31" s="8" t="s">
        <v>46</v>
      </c>
      <c r="G31" s="11" t="s">
        <v>134</v>
      </c>
      <c r="H31" s="12" t="s">
        <v>135</v>
      </c>
      <c r="I31" s="8" t="s">
        <v>136</v>
      </c>
      <c r="J31" s="13" t="s">
        <v>44</v>
      </c>
      <c r="K31" s="14">
        <v>0.86399999999999999</v>
      </c>
      <c r="L31" s="14"/>
      <c r="M31" s="14"/>
      <c r="N31" s="15">
        <f t="shared" si="0"/>
        <v>0.86399999999999999</v>
      </c>
      <c r="O31" s="16" t="s">
        <v>26</v>
      </c>
    </row>
    <row r="32" spans="1:15" x14ac:dyDescent="0.35">
      <c r="A32" s="7" t="s">
        <v>137</v>
      </c>
      <c r="B32" s="8" t="s">
        <v>31</v>
      </c>
      <c r="C32" s="9" t="s">
        <v>32</v>
      </c>
      <c r="D32" s="9" t="s">
        <v>33</v>
      </c>
      <c r="E32" s="10" t="s">
        <v>34</v>
      </c>
      <c r="F32" s="8" t="s">
        <v>46</v>
      </c>
      <c r="G32" s="11" t="s">
        <v>138</v>
      </c>
      <c r="H32" s="12" t="s">
        <v>139</v>
      </c>
      <c r="I32" s="8" t="s">
        <v>140</v>
      </c>
      <c r="J32" s="13" t="s">
        <v>44</v>
      </c>
      <c r="K32" s="14">
        <v>0.438</v>
      </c>
      <c r="L32" s="14"/>
      <c r="M32" s="14"/>
      <c r="N32" s="15">
        <f t="shared" si="0"/>
        <v>0.438</v>
      </c>
      <c r="O32" s="16" t="s">
        <v>26</v>
      </c>
    </row>
    <row r="33" spans="1:15" x14ac:dyDescent="0.35">
      <c r="A33" s="7" t="s">
        <v>141</v>
      </c>
      <c r="B33" s="8" t="s">
        <v>31</v>
      </c>
      <c r="C33" s="9" t="s">
        <v>32</v>
      </c>
      <c r="D33" s="9" t="s">
        <v>33</v>
      </c>
      <c r="E33" s="10" t="s">
        <v>34</v>
      </c>
      <c r="F33" s="8" t="s">
        <v>51</v>
      </c>
      <c r="G33" s="11" t="s">
        <v>55</v>
      </c>
      <c r="H33" s="12" t="s">
        <v>142</v>
      </c>
      <c r="I33" s="8" t="s">
        <v>143</v>
      </c>
      <c r="J33" s="13" t="s">
        <v>44</v>
      </c>
      <c r="K33" s="14">
        <v>0.42799999999999999</v>
      </c>
      <c r="L33" s="14"/>
      <c r="M33" s="14"/>
      <c r="N33" s="15">
        <f t="shared" si="0"/>
        <v>0.42799999999999999</v>
      </c>
      <c r="O33" s="16" t="s">
        <v>26</v>
      </c>
    </row>
    <row r="34" spans="1:15" x14ac:dyDescent="0.35">
      <c r="A34" s="7" t="s">
        <v>144</v>
      </c>
      <c r="B34" s="8" t="s">
        <v>31</v>
      </c>
      <c r="C34" s="9" t="s">
        <v>32</v>
      </c>
      <c r="D34" s="9" t="s">
        <v>33</v>
      </c>
      <c r="E34" s="10" t="s">
        <v>34</v>
      </c>
      <c r="F34" s="8" t="s">
        <v>51</v>
      </c>
      <c r="G34" s="11" t="s">
        <v>83</v>
      </c>
      <c r="H34" s="12" t="s">
        <v>145</v>
      </c>
      <c r="I34" s="8" t="s">
        <v>146</v>
      </c>
      <c r="J34" s="13" t="s">
        <v>44</v>
      </c>
      <c r="K34" s="14">
        <v>0.32400000000000001</v>
      </c>
      <c r="L34" s="14"/>
      <c r="M34" s="14"/>
      <c r="N34" s="15">
        <f t="shared" si="0"/>
        <v>0.32400000000000001</v>
      </c>
      <c r="O34" s="16" t="s">
        <v>26</v>
      </c>
    </row>
    <row r="35" spans="1:15" x14ac:dyDescent="0.35">
      <c r="A35" s="7" t="s">
        <v>147</v>
      </c>
      <c r="B35" s="8" t="s">
        <v>31</v>
      </c>
      <c r="C35" s="9" t="s">
        <v>32</v>
      </c>
      <c r="D35" s="9" t="s">
        <v>33</v>
      </c>
      <c r="E35" s="10" t="s">
        <v>34</v>
      </c>
      <c r="F35" s="8" t="s">
        <v>35</v>
      </c>
      <c r="G35" s="11" t="s">
        <v>60</v>
      </c>
      <c r="H35" s="12" t="s">
        <v>148</v>
      </c>
      <c r="I35" s="8" t="s">
        <v>149</v>
      </c>
      <c r="J35" s="13" t="s">
        <v>44</v>
      </c>
      <c r="K35" s="14">
        <v>0.5</v>
      </c>
      <c r="L35" s="14"/>
      <c r="M35" s="14"/>
      <c r="N35" s="15">
        <f t="shared" si="0"/>
        <v>0.5</v>
      </c>
      <c r="O35" s="16" t="s">
        <v>26</v>
      </c>
    </row>
    <row r="36" spans="1:15" x14ac:dyDescent="0.35">
      <c r="A36" s="7" t="s">
        <v>150</v>
      </c>
      <c r="B36" s="8" t="s">
        <v>31</v>
      </c>
      <c r="C36" s="9" t="s">
        <v>32</v>
      </c>
      <c r="D36" s="9" t="s">
        <v>33</v>
      </c>
      <c r="E36" s="10" t="s">
        <v>34</v>
      </c>
      <c r="F36" s="8" t="s">
        <v>35</v>
      </c>
      <c r="G36" s="11" t="s">
        <v>118</v>
      </c>
      <c r="H36" s="12" t="s">
        <v>151</v>
      </c>
      <c r="I36" s="8" t="s">
        <v>152</v>
      </c>
      <c r="J36" s="13" t="s">
        <v>44</v>
      </c>
      <c r="K36" s="14">
        <v>0.61199999999999999</v>
      </c>
      <c r="L36" s="14"/>
      <c r="M36" s="14"/>
      <c r="N36" s="15">
        <f t="shared" si="0"/>
        <v>0.61199999999999999</v>
      </c>
      <c r="O36" s="16" t="s">
        <v>26</v>
      </c>
    </row>
    <row r="37" spans="1:15" x14ac:dyDescent="0.35">
      <c r="A37" s="7" t="s">
        <v>153</v>
      </c>
      <c r="B37" s="8" t="s">
        <v>31</v>
      </c>
      <c r="C37" s="9" t="s">
        <v>32</v>
      </c>
      <c r="D37" s="9" t="s">
        <v>33</v>
      </c>
      <c r="E37" s="10" t="s">
        <v>34</v>
      </c>
      <c r="F37" s="8" t="s">
        <v>35</v>
      </c>
      <c r="G37" s="11" t="s">
        <v>122</v>
      </c>
      <c r="H37" s="12" t="s">
        <v>154</v>
      </c>
      <c r="I37" s="8" t="s">
        <v>155</v>
      </c>
      <c r="J37" s="13" t="s">
        <v>44</v>
      </c>
      <c r="K37" s="14">
        <v>0.55200000000000005</v>
      </c>
      <c r="L37" s="14"/>
      <c r="M37" s="14"/>
      <c r="N37" s="15">
        <f t="shared" ref="N37:N68" si="1">K37+L37+M37</f>
        <v>0.55200000000000005</v>
      </c>
      <c r="O37" s="16" t="s">
        <v>26</v>
      </c>
    </row>
    <row r="38" spans="1:15" x14ac:dyDescent="0.35">
      <c r="A38" s="7" t="s">
        <v>156</v>
      </c>
      <c r="B38" s="8" t="s">
        <v>31</v>
      </c>
      <c r="C38" s="9" t="s">
        <v>32</v>
      </c>
      <c r="D38" s="9" t="s">
        <v>33</v>
      </c>
      <c r="E38" s="10" t="s">
        <v>34</v>
      </c>
      <c r="F38" s="8" t="s">
        <v>157</v>
      </c>
      <c r="G38" s="11" t="s">
        <v>158</v>
      </c>
      <c r="H38" s="12" t="s">
        <v>159</v>
      </c>
      <c r="I38" s="8" t="s">
        <v>160</v>
      </c>
      <c r="J38" s="13" t="s">
        <v>44</v>
      </c>
      <c r="K38" s="14">
        <v>0.52200000000000002</v>
      </c>
      <c r="L38" s="14"/>
      <c r="M38" s="14"/>
      <c r="N38" s="15">
        <f t="shared" si="1"/>
        <v>0.52200000000000002</v>
      </c>
      <c r="O38" s="16" t="s">
        <v>26</v>
      </c>
    </row>
    <row r="39" spans="1:15" x14ac:dyDescent="0.35">
      <c r="A39" s="7" t="s">
        <v>161</v>
      </c>
      <c r="B39" s="8" t="s">
        <v>31</v>
      </c>
      <c r="C39" s="9" t="s">
        <v>32</v>
      </c>
      <c r="D39" s="9" t="s">
        <v>33</v>
      </c>
      <c r="E39" s="10" t="s">
        <v>34</v>
      </c>
      <c r="F39" s="8" t="s">
        <v>157</v>
      </c>
      <c r="G39" s="11" t="s">
        <v>55</v>
      </c>
      <c r="H39" s="12" t="s">
        <v>162</v>
      </c>
      <c r="I39" s="8" t="s">
        <v>163</v>
      </c>
      <c r="J39" s="13" t="s">
        <v>44</v>
      </c>
      <c r="K39" s="14">
        <v>0.38400000000000001</v>
      </c>
      <c r="L39" s="14"/>
      <c r="M39" s="14"/>
      <c r="N39" s="15">
        <f t="shared" si="1"/>
        <v>0.38400000000000001</v>
      </c>
      <c r="O39" s="16" t="s">
        <v>26</v>
      </c>
    </row>
    <row r="40" spans="1:15" x14ac:dyDescent="0.35">
      <c r="A40" s="7" t="s">
        <v>164</v>
      </c>
      <c r="B40" s="8" t="s">
        <v>31</v>
      </c>
      <c r="C40" s="9" t="s">
        <v>32</v>
      </c>
      <c r="D40" s="9" t="s">
        <v>33</v>
      </c>
      <c r="E40" s="10" t="s">
        <v>34</v>
      </c>
      <c r="F40" s="8" t="s">
        <v>157</v>
      </c>
      <c r="G40" s="11" t="s">
        <v>165</v>
      </c>
      <c r="H40" s="12" t="s">
        <v>166</v>
      </c>
      <c r="I40" s="8" t="s">
        <v>167</v>
      </c>
      <c r="J40" s="13" t="s">
        <v>44</v>
      </c>
      <c r="K40" s="14">
        <v>0.434</v>
      </c>
      <c r="L40" s="14"/>
      <c r="M40" s="14"/>
      <c r="N40" s="15">
        <f t="shared" si="1"/>
        <v>0.434</v>
      </c>
      <c r="O40" s="16" t="s">
        <v>26</v>
      </c>
    </row>
    <row r="41" spans="1:15" x14ac:dyDescent="0.35">
      <c r="A41" s="7" t="s">
        <v>168</v>
      </c>
      <c r="B41" s="8" t="s">
        <v>31</v>
      </c>
      <c r="C41" s="9" t="s">
        <v>32</v>
      </c>
      <c r="D41" s="9" t="s">
        <v>33</v>
      </c>
      <c r="E41" s="10" t="s">
        <v>34</v>
      </c>
      <c r="F41" s="8" t="s">
        <v>157</v>
      </c>
      <c r="G41" s="11" t="s">
        <v>83</v>
      </c>
      <c r="H41" s="12" t="s">
        <v>169</v>
      </c>
      <c r="I41" s="8" t="s">
        <v>170</v>
      </c>
      <c r="J41" s="13" t="s">
        <v>44</v>
      </c>
      <c r="K41" s="14">
        <v>0.46800000000000003</v>
      </c>
      <c r="L41" s="14"/>
      <c r="M41" s="14"/>
      <c r="N41" s="15">
        <f t="shared" si="1"/>
        <v>0.46800000000000003</v>
      </c>
      <c r="O41" s="16" t="s">
        <v>26</v>
      </c>
    </row>
    <row r="42" spans="1:15" x14ac:dyDescent="0.35">
      <c r="A42" s="7" t="s">
        <v>171</v>
      </c>
      <c r="B42" s="8" t="s">
        <v>31</v>
      </c>
      <c r="C42" s="9" t="s">
        <v>32</v>
      </c>
      <c r="D42" s="9" t="s">
        <v>33</v>
      </c>
      <c r="E42" s="10" t="s">
        <v>34</v>
      </c>
      <c r="F42" s="8" t="s">
        <v>157</v>
      </c>
      <c r="G42" s="11" t="s">
        <v>172</v>
      </c>
      <c r="H42" s="12" t="s">
        <v>173</v>
      </c>
      <c r="I42" s="8" t="s">
        <v>174</v>
      </c>
      <c r="J42" s="13" t="s">
        <v>44</v>
      </c>
      <c r="K42" s="14">
        <v>0.93799999999999994</v>
      </c>
      <c r="L42" s="14"/>
      <c r="M42" s="14"/>
      <c r="N42" s="15">
        <f t="shared" si="1"/>
        <v>0.93799999999999994</v>
      </c>
      <c r="O42" s="16" t="s">
        <v>26</v>
      </c>
    </row>
    <row r="43" spans="1:15" x14ac:dyDescent="0.35">
      <c r="A43" s="7" t="s">
        <v>175</v>
      </c>
      <c r="B43" s="8" t="s">
        <v>31</v>
      </c>
      <c r="C43" s="9" t="s">
        <v>32</v>
      </c>
      <c r="D43" s="9" t="s">
        <v>33</v>
      </c>
      <c r="E43" s="10" t="s">
        <v>34</v>
      </c>
      <c r="F43" s="8" t="s">
        <v>157</v>
      </c>
      <c r="G43" s="11" t="s">
        <v>68</v>
      </c>
      <c r="H43" s="12" t="s">
        <v>176</v>
      </c>
      <c r="I43" s="8" t="s">
        <v>177</v>
      </c>
      <c r="J43" s="13" t="s">
        <v>44</v>
      </c>
      <c r="K43" s="14">
        <v>0.63</v>
      </c>
      <c r="L43" s="14"/>
      <c r="M43" s="14"/>
      <c r="N43" s="15">
        <f t="shared" si="1"/>
        <v>0.63</v>
      </c>
      <c r="O43" s="16" t="s">
        <v>26</v>
      </c>
    </row>
    <row r="44" spans="1:15" x14ac:dyDescent="0.35">
      <c r="A44" s="7" t="s">
        <v>178</v>
      </c>
      <c r="B44" s="8" t="s">
        <v>31</v>
      </c>
      <c r="C44" s="9" t="s">
        <v>32</v>
      </c>
      <c r="D44" s="9" t="s">
        <v>33</v>
      </c>
      <c r="E44" s="10" t="s">
        <v>34</v>
      </c>
      <c r="F44" s="8" t="s">
        <v>157</v>
      </c>
      <c r="G44" s="11" t="s">
        <v>126</v>
      </c>
      <c r="H44" s="12" t="s">
        <v>179</v>
      </c>
      <c r="I44" s="8" t="s">
        <v>180</v>
      </c>
      <c r="J44" s="13" t="s">
        <v>44</v>
      </c>
      <c r="K44" s="14">
        <v>0.39</v>
      </c>
      <c r="L44" s="14"/>
      <c r="M44" s="14"/>
      <c r="N44" s="15">
        <f t="shared" si="1"/>
        <v>0.39</v>
      </c>
      <c r="O44" s="16" t="s">
        <v>26</v>
      </c>
    </row>
    <row r="45" spans="1:15" x14ac:dyDescent="0.35">
      <c r="A45" s="7" t="s">
        <v>181</v>
      </c>
      <c r="B45" s="8" t="s">
        <v>31</v>
      </c>
      <c r="C45" s="9" t="s">
        <v>32</v>
      </c>
      <c r="D45" s="9" t="s">
        <v>33</v>
      </c>
      <c r="E45" s="10" t="s">
        <v>34</v>
      </c>
      <c r="F45" s="8" t="s">
        <v>157</v>
      </c>
      <c r="G45" s="11" t="s">
        <v>107</v>
      </c>
      <c r="H45" s="12" t="s">
        <v>182</v>
      </c>
      <c r="I45" s="8" t="s">
        <v>183</v>
      </c>
      <c r="J45" s="13" t="s">
        <v>44</v>
      </c>
      <c r="K45" s="14">
        <v>0.45600000000000002</v>
      </c>
      <c r="L45" s="14"/>
      <c r="M45" s="14"/>
      <c r="N45" s="15">
        <f t="shared" si="1"/>
        <v>0.45600000000000002</v>
      </c>
      <c r="O45" s="16" t="s">
        <v>26</v>
      </c>
    </row>
    <row r="46" spans="1:15" x14ac:dyDescent="0.35">
      <c r="A46" s="7" t="s">
        <v>184</v>
      </c>
      <c r="B46" s="8" t="s">
        <v>31</v>
      </c>
      <c r="C46" s="9" t="s">
        <v>32</v>
      </c>
      <c r="D46" s="9" t="s">
        <v>33</v>
      </c>
      <c r="E46" s="10" t="s">
        <v>34</v>
      </c>
      <c r="F46" s="8" t="s">
        <v>157</v>
      </c>
      <c r="G46" s="11" t="s">
        <v>130</v>
      </c>
      <c r="H46" s="12" t="s">
        <v>185</v>
      </c>
      <c r="I46" s="8" t="s">
        <v>186</v>
      </c>
      <c r="J46" s="13" t="s">
        <v>44</v>
      </c>
      <c r="K46" s="14">
        <v>0.63800000000000001</v>
      </c>
      <c r="L46" s="14"/>
      <c r="M46" s="14"/>
      <c r="N46" s="15">
        <f t="shared" si="1"/>
        <v>0.63800000000000001</v>
      </c>
      <c r="O46" s="16" t="s">
        <v>26</v>
      </c>
    </row>
    <row r="47" spans="1:15" x14ac:dyDescent="0.35">
      <c r="A47" s="7" t="s">
        <v>187</v>
      </c>
      <c r="B47" s="8" t="s">
        <v>31</v>
      </c>
      <c r="C47" s="9" t="s">
        <v>32</v>
      </c>
      <c r="D47" s="9" t="s">
        <v>33</v>
      </c>
      <c r="E47" s="10" t="s">
        <v>34</v>
      </c>
      <c r="F47" s="8" t="s">
        <v>157</v>
      </c>
      <c r="G47" s="11" t="s">
        <v>87</v>
      </c>
      <c r="H47" s="12" t="s">
        <v>188</v>
      </c>
      <c r="I47" s="8" t="s">
        <v>189</v>
      </c>
      <c r="J47" s="13" t="s">
        <v>44</v>
      </c>
      <c r="K47" s="14">
        <v>0.51200000000000001</v>
      </c>
      <c r="L47" s="14"/>
      <c r="M47" s="14"/>
      <c r="N47" s="15">
        <f t="shared" si="1"/>
        <v>0.51200000000000001</v>
      </c>
      <c r="O47" s="16" t="s">
        <v>26</v>
      </c>
    </row>
    <row r="48" spans="1:15" x14ac:dyDescent="0.35">
      <c r="A48" s="7" t="s">
        <v>190</v>
      </c>
      <c r="B48" s="8" t="s">
        <v>31</v>
      </c>
      <c r="C48" s="9" t="s">
        <v>32</v>
      </c>
      <c r="D48" s="9" t="s">
        <v>33</v>
      </c>
      <c r="E48" s="10" t="s">
        <v>34</v>
      </c>
      <c r="F48" s="8" t="s">
        <v>157</v>
      </c>
      <c r="G48" s="11" t="s">
        <v>60</v>
      </c>
      <c r="H48" s="12" t="s">
        <v>191</v>
      </c>
      <c r="I48" s="8" t="s">
        <v>192</v>
      </c>
      <c r="J48" s="13" t="s">
        <v>44</v>
      </c>
      <c r="K48" s="14">
        <v>0.59599999999999997</v>
      </c>
      <c r="L48" s="14"/>
      <c r="M48" s="14"/>
      <c r="N48" s="15">
        <f t="shared" si="1"/>
        <v>0.59599999999999997</v>
      </c>
      <c r="O48" s="16" t="s">
        <v>26</v>
      </c>
    </row>
    <row r="49" spans="1:15" x14ac:dyDescent="0.35">
      <c r="A49" s="7" t="s">
        <v>193</v>
      </c>
      <c r="B49" s="8" t="s">
        <v>31</v>
      </c>
      <c r="C49" s="9" t="s">
        <v>32</v>
      </c>
      <c r="D49" s="9" t="s">
        <v>33</v>
      </c>
      <c r="E49" s="10" t="s">
        <v>34</v>
      </c>
      <c r="F49" s="8" t="s">
        <v>157</v>
      </c>
      <c r="G49" s="11" t="s">
        <v>194</v>
      </c>
      <c r="H49" s="12" t="s">
        <v>195</v>
      </c>
      <c r="I49" s="8" t="s">
        <v>196</v>
      </c>
      <c r="J49" s="13" t="s">
        <v>44</v>
      </c>
      <c r="K49" s="14">
        <v>0.746</v>
      </c>
      <c r="L49" s="14"/>
      <c r="M49" s="14"/>
      <c r="N49" s="15">
        <f t="shared" si="1"/>
        <v>0.746</v>
      </c>
      <c r="O49" s="16" t="s">
        <v>26</v>
      </c>
    </row>
    <row r="50" spans="1:15" x14ac:dyDescent="0.35">
      <c r="A50" s="7" t="s">
        <v>197</v>
      </c>
      <c r="B50" s="8" t="s">
        <v>31</v>
      </c>
      <c r="C50" s="9" t="s">
        <v>32</v>
      </c>
      <c r="D50" s="9" t="s">
        <v>33</v>
      </c>
      <c r="E50" s="10" t="s">
        <v>34</v>
      </c>
      <c r="F50" s="8" t="s">
        <v>157</v>
      </c>
      <c r="G50" s="11" t="s">
        <v>118</v>
      </c>
      <c r="H50" s="12" t="s">
        <v>198</v>
      </c>
      <c r="I50" s="8" t="s">
        <v>199</v>
      </c>
      <c r="J50" s="13" t="s">
        <v>44</v>
      </c>
      <c r="K50" s="14">
        <v>0.39</v>
      </c>
      <c r="L50" s="14"/>
      <c r="M50" s="14"/>
      <c r="N50" s="15">
        <f t="shared" si="1"/>
        <v>0.39</v>
      </c>
      <c r="O50" s="16" t="s">
        <v>26</v>
      </c>
    </row>
    <row r="51" spans="1:15" x14ac:dyDescent="0.35">
      <c r="A51" s="7" t="s">
        <v>200</v>
      </c>
      <c r="B51" s="8" t="s">
        <v>31</v>
      </c>
      <c r="C51" s="9" t="s">
        <v>32</v>
      </c>
      <c r="D51" s="9" t="s">
        <v>33</v>
      </c>
      <c r="E51" s="10" t="s">
        <v>34</v>
      </c>
      <c r="F51" s="8" t="s">
        <v>157</v>
      </c>
      <c r="G51" s="11" t="s">
        <v>201</v>
      </c>
      <c r="H51" s="12" t="s">
        <v>202</v>
      </c>
      <c r="I51" s="8" t="s">
        <v>203</v>
      </c>
      <c r="J51" s="13" t="s">
        <v>44</v>
      </c>
      <c r="K51" s="14">
        <v>0.56399999999999995</v>
      </c>
      <c r="L51" s="14"/>
      <c r="M51" s="14"/>
      <c r="N51" s="15">
        <f t="shared" si="1"/>
        <v>0.56399999999999995</v>
      </c>
      <c r="O51" s="16" t="s">
        <v>26</v>
      </c>
    </row>
    <row r="52" spans="1:15" x14ac:dyDescent="0.35">
      <c r="A52" s="7" t="s">
        <v>204</v>
      </c>
      <c r="B52" s="8" t="s">
        <v>31</v>
      </c>
      <c r="C52" s="9" t="s">
        <v>32</v>
      </c>
      <c r="D52" s="9" t="s">
        <v>33</v>
      </c>
      <c r="E52" s="10" t="s">
        <v>34</v>
      </c>
      <c r="F52" s="8" t="s">
        <v>157</v>
      </c>
      <c r="G52" s="11" t="s">
        <v>138</v>
      </c>
      <c r="H52" s="12" t="s">
        <v>205</v>
      </c>
      <c r="I52" s="8" t="s">
        <v>206</v>
      </c>
      <c r="J52" s="13" t="s">
        <v>44</v>
      </c>
      <c r="K52" s="14">
        <v>0.65</v>
      </c>
      <c r="L52" s="14"/>
      <c r="M52" s="14"/>
      <c r="N52" s="15">
        <f t="shared" si="1"/>
        <v>0.65</v>
      </c>
      <c r="O52" s="16" t="s">
        <v>26</v>
      </c>
    </row>
    <row r="53" spans="1:15" x14ac:dyDescent="0.35">
      <c r="A53" s="7" t="s">
        <v>207</v>
      </c>
      <c r="B53" s="8" t="s">
        <v>31</v>
      </c>
      <c r="C53" s="9" t="s">
        <v>32</v>
      </c>
      <c r="D53" s="9" t="s">
        <v>33</v>
      </c>
      <c r="E53" s="10" t="s">
        <v>34</v>
      </c>
      <c r="F53" s="8" t="s">
        <v>157</v>
      </c>
      <c r="G53" s="11" t="s">
        <v>95</v>
      </c>
      <c r="H53" s="12" t="s">
        <v>208</v>
      </c>
      <c r="I53" s="8" t="s">
        <v>209</v>
      </c>
      <c r="J53" s="13" t="s">
        <v>44</v>
      </c>
      <c r="K53" s="14">
        <v>0.35399999999999998</v>
      </c>
      <c r="L53" s="14"/>
      <c r="M53" s="14"/>
      <c r="N53" s="15">
        <f t="shared" si="1"/>
        <v>0.35399999999999998</v>
      </c>
      <c r="O53" s="16" t="s">
        <v>26</v>
      </c>
    </row>
    <row r="54" spans="1:15" x14ac:dyDescent="0.35">
      <c r="A54" s="7" t="s">
        <v>210</v>
      </c>
      <c r="B54" s="8" t="s">
        <v>31</v>
      </c>
      <c r="C54" s="9" t="s">
        <v>32</v>
      </c>
      <c r="D54" s="9" t="s">
        <v>33</v>
      </c>
      <c r="E54" s="10" t="s">
        <v>34</v>
      </c>
      <c r="F54" s="8" t="s">
        <v>157</v>
      </c>
      <c r="G54" s="11" t="s">
        <v>103</v>
      </c>
      <c r="H54" s="12" t="s">
        <v>211</v>
      </c>
      <c r="I54" s="8" t="s">
        <v>212</v>
      </c>
      <c r="J54" s="13" t="s">
        <v>44</v>
      </c>
      <c r="K54" s="14">
        <v>0.52200000000000002</v>
      </c>
      <c r="L54" s="14"/>
      <c r="M54" s="14"/>
      <c r="N54" s="15">
        <f t="shared" si="1"/>
        <v>0.52200000000000002</v>
      </c>
      <c r="O54" s="16" t="s">
        <v>26</v>
      </c>
    </row>
    <row r="55" spans="1:15" x14ac:dyDescent="0.35">
      <c r="A55" s="7" t="s">
        <v>213</v>
      </c>
      <c r="B55" s="8" t="s">
        <v>31</v>
      </c>
      <c r="C55" s="9" t="s">
        <v>32</v>
      </c>
      <c r="D55" s="9" t="s">
        <v>33</v>
      </c>
      <c r="E55" s="10" t="s">
        <v>34</v>
      </c>
      <c r="F55" s="8" t="s">
        <v>157</v>
      </c>
      <c r="G55" s="11" t="s">
        <v>64</v>
      </c>
      <c r="H55" s="12" t="s">
        <v>214</v>
      </c>
      <c r="I55" s="8" t="s">
        <v>215</v>
      </c>
      <c r="J55" s="13" t="s">
        <v>44</v>
      </c>
      <c r="K55" s="14">
        <v>0.434</v>
      </c>
      <c r="L55" s="14"/>
      <c r="M55" s="14"/>
      <c r="N55" s="15">
        <f t="shared" si="1"/>
        <v>0.434</v>
      </c>
      <c r="O55" s="16" t="s">
        <v>26</v>
      </c>
    </row>
    <row r="56" spans="1:15" x14ac:dyDescent="0.35">
      <c r="A56" s="7" t="s">
        <v>216</v>
      </c>
      <c r="B56" s="8" t="s">
        <v>31</v>
      </c>
      <c r="C56" s="9" t="s">
        <v>32</v>
      </c>
      <c r="D56" s="9" t="s">
        <v>33</v>
      </c>
      <c r="E56" s="10" t="s">
        <v>34</v>
      </c>
      <c r="F56" s="8" t="s">
        <v>157</v>
      </c>
      <c r="G56" s="11" t="s">
        <v>114</v>
      </c>
      <c r="H56" s="12" t="s">
        <v>217</v>
      </c>
      <c r="I56" s="8" t="s">
        <v>218</v>
      </c>
      <c r="J56" s="13" t="s">
        <v>44</v>
      </c>
      <c r="K56" s="14">
        <v>0.60599999999999998</v>
      </c>
      <c r="L56" s="14"/>
      <c r="M56" s="14"/>
      <c r="N56" s="15">
        <f t="shared" si="1"/>
        <v>0.60599999999999998</v>
      </c>
      <c r="O56" s="16" t="s">
        <v>26</v>
      </c>
    </row>
    <row r="57" spans="1:15" x14ac:dyDescent="0.35">
      <c r="A57" s="7" t="s">
        <v>219</v>
      </c>
      <c r="B57" s="8" t="s">
        <v>31</v>
      </c>
      <c r="C57" s="9" t="s">
        <v>32</v>
      </c>
      <c r="D57" s="9" t="s">
        <v>33</v>
      </c>
      <c r="E57" s="10" t="s">
        <v>34</v>
      </c>
      <c r="F57" s="8" t="s">
        <v>157</v>
      </c>
      <c r="G57" s="11" t="s">
        <v>220</v>
      </c>
      <c r="H57" s="12" t="s">
        <v>221</v>
      </c>
      <c r="I57" s="8" t="s">
        <v>222</v>
      </c>
      <c r="J57" s="13" t="s">
        <v>44</v>
      </c>
      <c r="K57" s="14">
        <v>0.91800000000000004</v>
      </c>
      <c r="L57" s="14"/>
      <c r="M57" s="14"/>
      <c r="N57" s="15">
        <f t="shared" si="1"/>
        <v>0.91800000000000004</v>
      </c>
      <c r="O57" s="16" t="s">
        <v>26</v>
      </c>
    </row>
    <row r="58" spans="1:15" x14ac:dyDescent="0.35">
      <c r="A58" s="7" t="s">
        <v>223</v>
      </c>
      <c r="B58" s="8" t="s">
        <v>31</v>
      </c>
      <c r="C58" s="9" t="s">
        <v>32</v>
      </c>
      <c r="D58" s="9" t="s">
        <v>33</v>
      </c>
      <c r="E58" s="10" t="s">
        <v>34</v>
      </c>
      <c r="F58" s="8" t="s">
        <v>157</v>
      </c>
      <c r="G58" s="11" t="s">
        <v>224</v>
      </c>
      <c r="H58" s="12" t="s">
        <v>225</v>
      </c>
      <c r="I58" s="8" t="s">
        <v>226</v>
      </c>
      <c r="J58" s="13" t="s">
        <v>44</v>
      </c>
      <c r="K58" s="14">
        <v>0.59599999999999997</v>
      </c>
      <c r="L58" s="14"/>
      <c r="M58" s="14"/>
      <c r="N58" s="15">
        <f t="shared" si="1"/>
        <v>0.59599999999999997</v>
      </c>
      <c r="O58" s="16" t="s">
        <v>26</v>
      </c>
    </row>
    <row r="59" spans="1:15" x14ac:dyDescent="0.35">
      <c r="A59" s="7" t="s">
        <v>227</v>
      </c>
      <c r="B59" s="8" t="s">
        <v>31</v>
      </c>
      <c r="C59" s="9" t="s">
        <v>32</v>
      </c>
      <c r="D59" s="9" t="s">
        <v>33</v>
      </c>
      <c r="E59" s="10" t="s">
        <v>34</v>
      </c>
      <c r="F59" s="8" t="s">
        <v>59</v>
      </c>
      <c r="G59" s="11" t="s">
        <v>118</v>
      </c>
      <c r="H59" s="12" t="s">
        <v>228</v>
      </c>
      <c r="I59" s="8" t="s">
        <v>229</v>
      </c>
      <c r="J59" s="13" t="s">
        <v>44</v>
      </c>
      <c r="K59" s="14">
        <v>0.47399999999999998</v>
      </c>
      <c r="L59" s="14"/>
      <c r="M59" s="14"/>
      <c r="N59" s="15">
        <f t="shared" si="1"/>
        <v>0.47399999999999998</v>
      </c>
      <c r="O59" s="16" t="s">
        <v>26</v>
      </c>
    </row>
    <row r="60" spans="1:15" x14ac:dyDescent="0.35">
      <c r="A60" s="7" t="s">
        <v>230</v>
      </c>
      <c r="B60" s="8" t="s">
        <v>31</v>
      </c>
      <c r="C60" s="9" t="s">
        <v>32</v>
      </c>
      <c r="D60" s="9" t="s">
        <v>33</v>
      </c>
      <c r="E60" s="10" t="s">
        <v>34</v>
      </c>
      <c r="F60" s="8" t="s">
        <v>59</v>
      </c>
      <c r="G60" s="11" t="s">
        <v>134</v>
      </c>
      <c r="H60" s="12" t="s">
        <v>231</v>
      </c>
      <c r="I60" s="8" t="s">
        <v>232</v>
      </c>
      <c r="J60" s="13" t="s">
        <v>44</v>
      </c>
      <c r="K60" s="14">
        <v>0.30599999999999999</v>
      </c>
      <c r="L60" s="14"/>
      <c r="M60" s="14"/>
      <c r="N60" s="15">
        <f t="shared" si="1"/>
        <v>0.30599999999999999</v>
      </c>
      <c r="O60" s="16" t="s">
        <v>26</v>
      </c>
    </row>
    <row r="61" spans="1:15" x14ac:dyDescent="0.35">
      <c r="A61" s="7" t="s">
        <v>233</v>
      </c>
      <c r="B61" s="8" t="s">
        <v>31</v>
      </c>
      <c r="C61" s="9" t="s">
        <v>32</v>
      </c>
      <c r="D61" s="9" t="s">
        <v>33</v>
      </c>
      <c r="E61" s="10" t="s">
        <v>34</v>
      </c>
      <c r="F61" s="8" t="s">
        <v>59</v>
      </c>
      <c r="G61" s="11" t="s">
        <v>122</v>
      </c>
      <c r="H61" s="12" t="s">
        <v>234</v>
      </c>
      <c r="I61" s="8" t="s">
        <v>235</v>
      </c>
      <c r="J61" s="13" t="s">
        <v>44</v>
      </c>
      <c r="K61" s="14">
        <v>0.6</v>
      </c>
      <c r="L61" s="14"/>
      <c r="M61" s="14"/>
      <c r="N61" s="15">
        <f t="shared" si="1"/>
        <v>0.6</v>
      </c>
      <c r="O61" s="16" t="s">
        <v>26</v>
      </c>
    </row>
    <row r="62" spans="1:15" x14ac:dyDescent="0.35">
      <c r="A62" s="7" t="s">
        <v>236</v>
      </c>
      <c r="B62" s="8" t="s">
        <v>31</v>
      </c>
      <c r="C62" s="9" t="s">
        <v>32</v>
      </c>
      <c r="D62" s="9" t="s">
        <v>33</v>
      </c>
      <c r="E62" s="10" t="s">
        <v>34</v>
      </c>
      <c r="F62" s="8" t="s">
        <v>59</v>
      </c>
      <c r="G62" s="11" t="s">
        <v>103</v>
      </c>
      <c r="H62" s="12" t="s">
        <v>237</v>
      </c>
      <c r="I62" s="8" t="s">
        <v>238</v>
      </c>
      <c r="J62" s="13" t="s">
        <v>44</v>
      </c>
      <c r="K62" s="14">
        <v>0.42799999999999999</v>
      </c>
      <c r="L62" s="14"/>
      <c r="M62" s="14"/>
      <c r="N62" s="15">
        <f t="shared" si="1"/>
        <v>0.42799999999999999</v>
      </c>
      <c r="O62" s="16" t="s">
        <v>26</v>
      </c>
    </row>
    <row r="63" spans="1:15" x14ac:dyDescent="0.35">
      <c r="A63" s="7" t="s">
        <v>239</v>
      </c>
      <c r="B63" s="8" t="s">
        <v>31</v>
      </c>
      <c r="C63" s="9" t="s">
        <v>32</v>
      </c>
      <c r="D63" s="9" t="s">
        <v>33</v>
      </c>
      <c r="E63" s="10" t="s">
        <v>34</v>
      </c>
      <c r="F63" s="8" t="s">
        <v>59</v>
      </c>
      <c r="G63" s="11" t="s">
        <v>172</v>
      </c>
      <c r="H63" s="12" t="s">
        <v>240</v>
      </c>
      <c r="I63" s="8" t="s">
        <v>241</v>
      </c>
      <c r="J63" s="13" t="s">
        <v>44</v>
      </c>
      <c r="K63" s="14">
        <v>1.0680000000000001</v>
      </c>
      <c r="L63" s="14"/>
      <c r="M63" s="14"/>
      <c r="N63" s="15">
        <f t="shared" si="1"/>
        <v>1.0680000000000001</v>
      </c>
      <c r="O63" s="16" t="s">
        <v>26</v>
      </c>
    </row>
    <row r="64" spans="1:15" x14ac:dyDescent="0.35">
      <c r="A64" s="7" t="s">
        <v>242</v>
      </c>
      <c r="B64" s="8" t="s">
        <v>31</v>
      </c>
      <c r="C64" s="9" t="s">
        <v>32</v>
      </c>
      <c r="D64" s="9" t="s">
        <v>33</v>
      </c>
      <c r="E64" s="10" t="s">
        <v>34</v>
      </c>
      <c r="F64" s="8" t="s">
        <v>59</v>
      </c>
      <c r="G64" s="11" t="s">
        <v>126</v>
      </c>
      <c r="H64" s="12" t="s">
        <v>243</v>
      </c>
      <c r="I64" s="8" t="s">
        <v>244</v>
      </c>
      <c r="J64" s="13" t="s">
        <v>44</v>
      </c>
      <c r="K64" s="14">
        <v>0.55000000000000004</v>
      </c>
      <c r="L64" s="14"/>
      <c r="M64" s="14"/>
      <c r="N64" s="15">
        <f t="shared" si="1"/>
        <v>0.55000000000000004</v>
      </c>
      <c r="O64" s="16" t="s">
        <v>26</v>
      </c>
    </row>
    <row r="65" spans="1:15" x14ac:dyDescent="0.35">
      <c r="A65" s="7" t="s">
        <v>245</v>
      </c>
      <c r="B65" s="8" t="s">
        <v>31</v>
      </c>
      <c r="C65" s="9" t="s">
        <v>32</v>
      </c>
      <c r="D65" s="9" t="s">
        <v>33</v>
      </c>
      <c r="E65" s="10" t="s">
        <v>34</v>
      </c>
      <c r="F65" s="8" t="s">
        <v>59</v>
      </c>
      <c r="G65" s="11" t="s">
        <v>114</v>
      </c>
      <c r="H65" s="12" t="s">
        <v>246</v>
      </c>
      <c r="I65" s="8" t="s">
        <v>247</v>
      </c>
      <c r="J65" s="13" t="s">
        <v>44</v>
      </c>
      <c r="K65" s="14">
        <v>0.312</v>
      </c>
      <c r="L65" s="14"/>
      <c r="M65" s="14"/>
      <c r="N65" s="15">
        <f t="shared" si="1"/>
        <v>0.312</v>
      </c>
      <c r="O65" s="16" t="s">
        <v>26</v>
      </c>
    </row>
    <row r="66" spans="1:15" x14ac:dyDescent="0.35">
      <c r="A66" s="7" t="s">
        <v>248</v>
      </c>
      <c r="B66" s="8" t="s">
        <v>31</v>
      </c>
      <c r="C66" s="9" t="s">
        <v>32</v>
      </c>
      <c r="D66" s="9" t="s">
        <v>33</v>
      </c>
      <c r="E66" s="10" t="s">
        <v>34</v>
      </c>
      <c r="F66" s="8" t="s">
        <v>59</v>
      </c>
      <c r="G66" s="11" t="s">
        <v>130</v>
      </c>
      <c r="H66" s="12" t="s">
        <v>249</v>
      </c>
      <c r="I66" s="8" t="s">
        <v>250</v>
      </c>
      <c r="J66" s="13" t="s">
        <v>44</v>
      </c>
      <c r="K66" s="14">
        <v>0.378</v>
      </c>
      <c r="L66" s="14"/>
      <c r="M66" s="14"/>
      <c r="N66" s="15">
        <f t="shared" si="1"/>
        <v>0.378</v>
      </c>
      <c r="O66" s="16" t="s">
        <v>26</v>
      </c>
    </row>
    <row r="67" spans="1:15" x14ac:dyDescent="0.35">
      <c r="A67" s="7" t="s">
        <v>251</v>
      </c>
      <c r="B67" s="8" t="s">
        <v>252</v>
      </c>
      <c r="C67" s="9" t="s">
        <v>253</v>
      </c>
      <c r="D67" s="9" t="s">
        <v>254</v>
      </c>
      <c r="E67" s="10" t="s">
        <v>255</v>
      </c>
      <c r="F67" s="8" t="s">
        <v>256</v>
      </c>
      <c r="G67" s="11"/>
      <c r="H67" s="12" t="s">
        <v>257</v>
      </c>
      <c r="I67" s="8" t="s">
        <v>258</v>
      </c>
      <c r="J67" s="13" t="s">
        <v>259</v>
      </c>
      <c r="K67" s="14">
        <f>600*19.11%</f>
        <v>114.66</v>
      </c>
      <c r="L67" s="14">
        <f>600*10.68%</f>
        <v>64.08</v>
      </c>
      <c r="M67" s="14">
        <f>600*70.21%</f>
        <v>421.26</v>
      </c>
      <c r="N67" s="15">
        <f t="shared" si="1"/>
        <v>600</v>
      </c>
      <c r="O67" s="16" t="s">
        <v>260</v>
      </c>
    </row>
    <row r="68" spans="1:15" x14ac:dyDescent="0.35">
      <c r="A68" s="7" t="s">
        <v>261</v>
      </c>
      <c r="B68" s="8" t="s">
        <v>262</v>
      </c>
      <c r="C68" s="9" t="s">
        <v>263</v>
      </c>
      <c r="D68" s="9" t="s">
        <v>264</v>
      </c>
      <c r="E68" s="10" t="s">
        <v>265</v>
      </c>
      <c r="F68" s="8" t="s">
        <v>266</v>
      </c>
      <c r="G68" s="11"/>
      <c r="H68" s="12" t="s">
        <v>267</v>
      </c>
      <c r="I68" s="8" t="s">
        <v>268</v>
      </c>
      <c r="J68" s="13" t="s">
        <v>259</v>
      </c>
      <c r="K68" s="14">
        <f>450*19.11%</f>
        <v>85.99499999999999</v>
      </c>
      <c r="L68" s="14">
        <f>450*10.68%</f>
        <v>48.059999999999995</v>
      </c>
      <c r="M68" s="14">
        <f>450*70.21%</f>
        <v>315.94499999999999</v>
      </c>
      <c r="N68" s="15">
        <f t="shared" si="1"/>
        <v>450</v>
      </c>
      <c r="O68" s="16" t="s">
        <v>260</v>
      </c>
    </row>
    <row r="69" spans="1:15" s="22" customFormat="1" x14ac:dyDescent="0.35">
      <c r="A69" s="7" t="s">
        <v>269</v>
      </c>
      <c r="B69" s="10" t="s">
        <v>270</v>
      </c>
      <c r="C69" s="9" t="s">
        <v>271</v>
      </c>
      <c r="D69" s="9" t="s">
        <v>272</v>
      </c>
      <c r="E69" s="10" t="s">
        <v>273</v>
      </c>
      <c r="F69" s="10" t="s">
        <v>274</v>
      </c>
      <c r="G69" s="9"/>
      <c r="H69" s="17" t="s">
        <v>275</v>
      </c>
      <c r="I69" s="10" t="s">
        <v>276</v>
      </c>
      <c r="J69" s="18" t="s">
        <v>25</v>
      </c>
      <c r="K69" s="19">
        <v>700</v>
      </c>
      <c r="L69" s="19"/>
      <c r="M69" s="19"/>
      <c r="N69" s="20">
        <f t="shared" ref="N69:N100" si="2">K69+L69+M69</f>
        <v>700</v>
      </c>
      <c r="O69" s="21" t="s">
        <v>277</v>
      </c>
    </row>
    <row r="70" spans="1:15" s="22" customFormat="1" x14ac:dyDescent="0.35">
      <c r="A70" s="7" t="s">
        <v>278</v>
      </c>
      <c r="B70" s="10" t="s">
        <v>270</v>
      </c>
      <c r="C70" s="9" t="s">
        <v>271</v>
      </c>
      <c r="D70" s="9" t="s">
        <v>272</v>
      </c>
      <c r="E70" s="10" t="s">
        <v>273</v>
      </c>
      <c r="F70" s="10" t="s">
        <v>274</v>
      </c>
      <c r="G70" s="9"/>
      <c r="H70" s="17" t="s">
        <v>279</v>
      </c>
      <c r="I70" s="10" t="s">
        <v>280</v>
      </c>
      <c r="J70" s="18" t="s">
        <v>74</v>
      </c>
      <c r="K70" s="19">
        <v>300</v>
      </c>
      <c r="L70" s="19"/>
      <c r="M70" s="19"/>
      <c r="N70" s="20">
        <f t="shared" si="2"/>
        <v>300</v>
      </c>
      <c r="O70" s="21" t="s">
        <v>277</v>
      </c>
    </row>
    <row r="71" spans="1:15" s="22" customFormat="1" x14ac:dyDescent="0.35">
      <c r="A71" s="7" t="s">
        <v>281</v>
      </c>
      <c r="B71" s="10" t="s">
        <v>262</v>
      </c>
      <c r="C71" s="9" t="s">
        <v>263</v>
      </c>
      <c r="D71" s="9" t="s">
        <v>264</v>
      </c>
      <c r="E71" s="10" t="s">
        <v>265</v>
      </c>
      <c r="F71" s="10" t="s">
        <v>266</v>
      </c>
      <c r="G71" s="9"/>
      <c r="H71" s="17" t="s">
        <v>282</v>
      </c>
      <c r="I71" s="10" t="s">
        <v>283</v>
      </c>
      <c r="J71" s="18" t="s">
        <v>259</v>
      </c>
      <c r="K71" s="19">
        <f>200*19.11%</f>
        <v>38.22</v>
      </c>
      <c r="L71" s="19">
        <f>200*10.68%</f>
        <v>21.36</v>
      </c>
      <c r="M71" s="19">
        <f>200*70.21%</f>
        <v>140.41999999999999</v>
      </c>
      <c r="N71" s="20">
        <f t="shared" si="2"/>
        <v>200</v>
      </c>
      <c r="O71" s="21" t="s">
        <v>260</v>
      </c>
    </row>
    <row r="72" spans="1:15" s="22" customFormat="1" x14ac:dyDescent="0.35">
      <c r="A72" s="7" t="s">
        <v>284</v>
      </c>
      <c r="B72" s="10" t="s">
        <v>285</v>
      </c>
      <c r="C72" s="9" t="s">
        <v>271</v>
      </c>
      <c r="D72" s="9" t="s">
        <v>286</v>
      </c>
      <c r="E72" s="10" t="s">
        <v>287</v>
      </c>
      <c r="F72" s="10" t="s">
        <v>134</v>
      </c>
      <c r="G72" s="9"/>
      <c r="H72" s="17" t="s">
        <v>288</v>
      </c>
      <c r="I72" s="10" t="s">
        <v>289</v>
      </c>
      <c r="J72" s="18" t="s">
        <v>25</v>
      </c>
      <c r="K72" s="19">
        <v>1600</v>
      </c>
      <c r="L72" s="19"/>
      <c r="M72" s="19"/>
      <c r="N72" s="20">
        <f t="shared" si="2"/>
        <v>1600</v>
      </c>
      <c r="O72" s="21" t="s">
        <v>277</v>
      </c>
    </row>
    <row r="73" spans="1:15" s="22" customFormat="1" x14ac:dyDescent="0.35">
      <c r="A73" s="7" t="s">
        <v>290</v>
      </c>
      <c r="B73" s="10" t="s">
        <v>285</v>
      </c>
      <c r="C73" s="9" t="s">
        <v>271</v>
      </c>
      <c r="D73" s="9" t="s">
        <v>286</v>
      </c>
      <c r="E73" s="10" t="s">
        <v>287</v>
      </c>
      <c r="F73" s="10" t="s">
        <v>134</v>
      </c>
      <c r="G73" s="9"/>
      <c r="H73" s="17" t="s">
        <v>291</v>
      </c>
      <c r="I73" s="10" t="s">
        <v>292</v>
      </c>
      <c r="J73" s="18" t="s">
        <v>25</v>
      </c>
      <c r="K73" s="19">
        <v>1600</v>
      </c>
      <c r="L73" s="19"/>
      <c r="M73" s="19"/>
      <c r="N73" s="20">
        <f t="shared" si="2"/>
        <v>1600</v>
      </c>
      <c r="O73" s="21" t="s">
        <v>277</v>
      </c>
    </row>
    <row r="74" spans="1:15" x14ac:dyDescent="0.35">
      <c r="A74" s="7" t="s">
        <v>293</v>
      </c>
      <c r="B74" s="8" t="s">
        <v>294</v>
      </c>
      <c r="C74" s="9" t="s">
        <v>295</v>
      </c>
      <c r="D74" s="9" t="s">
        <v>296</v>
      </c>
      <c r="E74" s="10" t="s">
        <v>297</v>
      </c>
      <c r="F74" s="8"/>
      <c r="G74" s="11"/>
      <c r="H74" s="12" t="s">
        <v>298</v>
      </c>
      <c r="I74" s="8" t="s">
        <v>299</v>
      </c>
      <c r="J74" s="13" t="s">
        <v>259</v>
      </c>
      <c r="K74" s="14">
        <f>500*19.11%</f>
        <v>95.55</v>
      </c>
      <c r="L74" s="14">
        <f>500*10.68%</f>
        <v>53.4</v>
      </c>
      <c r="M74" s="14">
        <f>500*70.21%</f>
        <v>351.04999999999995</v>
      </c>
      <c r="N74" s="15">
        <f t="shared" si="2"/>
        <v>499.99999999999994</v>
      </c>
      <c r="O74" s="16" t="s">
        <v>300</v>
      </c>
    </row>
    <row r="75" spans="1:15" x14ac:dyDescent="0.35">
      <c r="A75" s="7" t="s">
        <v>301</v>
      </c>
      <c r="B75" s="8" t="s">
        <v>294</v>
      </c>
      <c r="C75" s="9" t="s">
        <v>295</v>
      </c>
      <c r="D75" s="9" t="s">
        <v>296</v>
      </c>
      <c r="E75" s="10" t="s">
        <v>297</v>
      </c>
      <c r="F75" s="8"/>
      <c r="G75" s="11"/>
      <c r="H75" s="12" t="s">
        <v>302</v>
      </c>
      <c r="I75" s="8" t="s">
        <v>303</v>
      </c>
      <c r="J75" s="13" t="s">
        <v>259</v>
      </c>
      <c r="K75" s="14">
        <f>500*19.11%</f>
        <v>95.55</v>
      </c>
      <c r="L75" s="14">
        <f>500*10.68%</f>
        <v>53.4</v>
      </c>
      <c r="M75" s="14">
        <f>500*70.21%</f>
        <v>351.04999999999995</v>
      </c>
      <c r="N75" s="15">
        <f t="shared" si="2"/>
        <v>499.99999999999994</v>
      </c>
      <c r="O75" s="16" t="s">
        <v>300</v>
      </c>
    </row>
    <row r="76" spans="1:15" x14ac:dyDescent="0.35">
      <c r="A76" s="7" t="s">
        <v>304</v>
      </c>
      <c r="B76" s="8" t="s">
        <v>305</v>
      </c>
      <c r="C76" s="9" t="s">
        <v>263</v>
      </c>
      <c r="D76" s="9" t="s">
        <v>306</v>
      </c>
      <c r="E76" s="10" t="s">
        <v>307</v>
      </c>
      <c r="F76" s="8" t="s">
        <v>308</v>
      </c>
      <c r="G76" s="11"/>
      <c r="H76" s="12" t="s">
        <v>309</v>
      </c>
      <c r="I76" s="8" t="s">
        <v>310</v>
      </c>
      <c r="J76" s="13" t="s">
        <v>311</v>
      </c>
      <c r="K76" s="14">
        <f>186.863*18.39%</f>
        <v>34.364105700000003</v>
      </c>
      <c r="L76" s="14">
        <f>186.863*17.19%</f>
        <v>32.121749700000002</v>
      </c>
      <c r="M76" s="14">
        <f>186.863*64.42%</f>
        <v>120.37714459999999</v>
      </c>
      <c r="N76" s="15">
        <f t="shared" si="2"/>
        <v>186.863</v>
      </c>
      <c r="O76" s="16" t="s">
        <v>260</v>
      </c>
    </row>
    <row r="77" spans="1:15" x14ac:dyDescent="0.35">
      <c r="A77" s="7" t="s">
        <v>312</v>
      </c>
      <c r="B77" s="8" t="s">
        <v>305</v>
      </c>
      <c r="C77" s="9" t="s">
        <v>263</v>
      </c>
      <c r="D77" s="9" t="s">
        <v>306</v>
      </c>
      <c r="E77" s="10" t="s">
        <v>307</v>
      </c>
      <c r="F77" s="8" t="s">
        <v>308</v>
      </c>
      <c r="G77" s="11"/>
      <c r="H77" s="12" t="s">
        <v>313</v>
      </c>
      <c r="I77" s="8" t="s">
        <v>314</v>
      </c>
      <c r="J77" s="13" t="s">
        <v>39</v>
      </c>
      <c r="K77" s="14">
        <f>71.13*30.04%</f>
        <v>21.367452</v>
      </c>
      <c r="L77" s="14">
        <f>71.13*69.96%</f>
        <v>49.762547999999988</v>
      </c>
      <c r="M77" s="14"/>
      <c r="N77" s="15">
        <f t="shared" si="2"/>
        <v>71.13</v>
      </c>
      <c r="O77" s="16" t="s">
        <v>260</v>
      </c>
    </row>
    <row r="78" spans="1:15" x14ac:dyDescent="0.35">
      <c r="A78" s="7" t="s">
        <v>315</v>
      </c>
      <c r="B78" s="8" t="s">
        <v>305</v>
      </c>
      <c r="C78" s="9" t="s">
        <v>263</v>
      </c>
      <c r="D78" s="9" t="s">
        <v>306</v>
      </c>
      <c r="E78" s="10" t="s">
        <v>307</v>
      </c>
      <c r="F78" s="8" t="s">
        <v>308</v>
      </c>
      <c r="G78" s="11"/>
      <c r="H78" s="12" t="s">
        <v>316</v>
      </c>
      <c r="I78" s="8" t="s">
        <v>317</v>
      </c>
      <c r="J78" s="13" t="s">
        <v>311</v>
      </c>
      <c r="K78" s="14">
        <f>277.887*18.39%</f>
        <v>51.103419299999999</v>
      </c>
      <c r="L78" s="14">
        <f>277.887*17.19%</f>
        <v>47.768775300000009</v>
      </c>
      <c r="M78" s="14">
        <f>277.887*64.42%</f>
        <v>179.0148054</v>
      </c>
      <c r="N78" s="15">
        <f t="shared" si="2"/>
        <v>277.887</v>
      </c>
      <c r="O78" s="16" t="s">
        <v>260</v>
      </c>
    </row>
    <row r="79" spans="1:15" x14ac:dyDescent="0.35">
      <c r="A79" s="7" t="s">
        <v>318</v>
      </c>
      <c r="B79" s="8" t="s">
        <v>305</v>
      </c>
      <c r="C79" s="9" t="s">
        <v>263</v>
      </c>
      <c r="D79" s="9" t="s">
        <v>306</v>
      </c>
      <c r="E79" s="10" t="s">
        <v>307</v>
      </c>
      <c r="F79" s="8" t="s">
        <v>319</v>
      </c>
      <c r="G79" s="11" t="s">
        <v>320</v>
      </c>
      <c r="H79" s="12" t="s">
        <v>321</v>
      </c>
      <c r="I79" s="8" t="s">
        <v>322</v>
      </c>
      <c r="J79" s="13" t="s">
        <v>39</v>
      </c>
      <c r="K79" s="14">
        <f>62.205*30.04%</f>
        <v>18.686381999999998</v>
      </c>
      <c r="L79" s="14">
        <f>62.205*69.96%</f>
        <v>43.518617999999989</v>
      </c>
      <c r="M79" s="14"/>
      <c r="N79" s="15">
        <f t="shared" si="2"/>
        <v>62.204999999999984</v>
      </c>
      <c r="O79" s="16" t="s">
        <v>260</v>
      </c>
    </row>
    <row r="80" spans="1:15" x14ac:dyDescent="0.35">
      <c r="A80" s="7" t="s">
        <v>323</v>
      </c>
      <c r="B80" s="8" t="s">
        <v>305</v>
      </c>
      <c r="C80" s="9" t="s">
        <v>263</v>
      </c>
      <c r="D80" s="9" t="s">
        <v>306</v>
      </c>
      <c r="E80" s="10" t="s">
        <v>307</v>
      </c>
      <c r="F80" s="8" t="s">
        <v>308</v>
      </c>
      <c r="G80" s="11"/>
      <c r="H80" s="12" t="s">
        <v>324</v>
      </c>
      <c r="I80" s="8" t="s">
        <v>325</v>
      </c>
      <c r="J80" s="13" t="s">
        <v>39</v>
      </c>
      <c r="K80" s="14">
        <f>13.107*30.04%</f>
        <v>3.9373427999999997</v>
      </c>
      <c r="L80" s="14">
        <f>13.107*69.96%</f>
        <v>9.1696571999999978</v>
      </c>
      <c r="M80" s="14"/>
      <c r="N80" s="15">
        <f t="shared" si="2"/>
        <v>13.106999999999998</v>
      </c>
      <c r="O80" s="16" t="s">
        <v>260</v>
      </c>
    </row>
    <row r="81" spans="1:15" x14ac:dyDescent="0.35">
      <c r="A81" s="7" t="s">
        <v>326</v>
      </c>
      <c r="B81" s="8" t="s">
        <v>305</v>
      </c>
      <c r="C81" s="9" t="s">
        <v>263</v>
      </c>
      <c r="D81" s="9" t="s">
        <v>306</v>
      </c>
      <c r="E81" s="10" t="s">
        <v>307</v>
      </c>
      <c r="F81" s="8" t="s">
        <v>308</v>
      </c>
      <c r="G81" s="11"/>
      <c r="H81" s="12" t="s">
        <v>327</v>
      </c>
      <c r="I81" s="8" t="s">
        <v>328</v>
      </c>
      <c r="J81" s="13" t="s">
        <v>39</v>
      </c>
      <c r="K81" s="14">
        <f>15.374*30.04%</f>
        <v>4.6183496000000002</v>
      </c>
      <c r="L81" s="14">
        <f>15.374*69.96%</f>
        <v>10.755650399999999</v>
      </c>
      <c r="M81" s="14"/>
      <c r="N81" s="15">
        <f t="shared" si="2"/>
        <v>15.373999999999999</v>
      </c>
      <c r="O81" s="16" t="s">
        <v>260</v>
      </c>
    </row>
    <row r="82" spans="1:15" x14ac:dyDescent="0.35">
      <c r="A82" s="7" t="s">
        <v>329</v>
      </c>
      <c r="B82" s="8" t="s">
        <v>305</v>
      </c>
      <c r="C82" s="9" t="s">
        <v>263</v>
      </c>
      <c r="D82" s="9" t="s">
        <v>306</v>
      </c>
      <c r="E82" s="10" t="s">
        <v>307</v>
      </c>
      <c r="F82" s="8" t="s">
        <v>308</v>
      </c>
      <c r="G82" s="11"/>
      <c r="H82" s="12" t="s">
        <v>330</v>
      </c>
      <c r="I82" s="8" t="s">
        <v>331</v>
      </c>
      <c r="J82" s="13" t="s">
        <v>39</v>
      </c>
      <c r="K82" s="14">
        <f>32.735*30.04%</f>
        <v>9.8335939999999997</v>
      </c>
      <c r="L82" s="14">
        <f>32.735*69.96%</f>
        <v>22.901405999999994</v>
      </c>
      <c r="M82" s="14"/>
      <c r="N82" s="15">
        <f t="shared" si="2"/>
        <v>32.734999999999992</v>
      </c>
      <c r="O82" s="16" t="s">
        <v>260</v>
      </c>
    </row>
    <row r="83" spans="1:15" x14ac:dyDescent="0.35">
      <c r="A83" s="7" t="s">
        <v>332</v>
      </c>
      <c r="B83" s="8" t="s">
        <v>305</v>
      </c>
      <c r="C83" s="9" t="s">
        <v>263</v>
      </c>
      <c r="D83" s="9" t="s">
        <v>306</v>
      </c>
      <c r="E83" s="10" t="s">
        <v>307</v>
      </c>
      <c r="F83" s="8" t="s">
        <v>308</v>
      </c>
      <c r="G83" s="11"/>
      <c r="H83" s="12" t="s">
        <v>333</v>
      </c>
      <c r="I83" s="8" t="s">
        <v>334</v>
      </c>
      <c r="J83" s="13" t="s">
        <v>39</v>
      </c>
      <c r="K83" s="14">
        <f>26.683*30.04%</f>
        <v>8.0155732000000004</v>
      </c>
      <c r="L83" s="14">
        <f>26.683*69.96%</f>
        <v>18.667426799999998</v>
      </c>
      <c r="M83" s="14"/>
      <c r="N83" s="15">
        <f t="shared" si="2"/>
        <v>26.683</v>
      </c>
      <c r="O83" s="16" t="s">
        <v>260</v>
      </c>
    </row>
    <row r="84" spans="1:15" x14ac:dyDescent="0.35">
      <c r="A84" s="7" t="s">
        <v>335</v>
      </c>
      <c r="B84" s="8" t="s">
        <v>305</v>
      </c>
      <c r="C84" s="9" t="s">
        <v>263</v>
      </c>
      <c r="D84" s="9" t="s">
        <v>306</v>
      </c>
      <c r="E84" s="10" t="s">
        <v>307</v>
      </c>
      <c r="F84" s="8" t="s">
        <v>319</v>
      </c>
      <c r="G84" s="11" t="s">
        <v>336</v>
      </c>
      <c r="H84" s="12" t="s">
        <v>337</v>
      </c>
      <c r="I84" s="8" t="s">
        <v>338</v>
      </c>
      <c r="J84" s="13" t="s">
        <v>39</v>
      </c>
      <c r="K84" s="14">
        <f>14.266*30.04%</f>
        <v>4.2855064</v>
      </c>
      <c r="L84" s="14">
        <f>14.266*69.96%</f>
        <v>9.9804935999999991</v>
      </c>
      <c r="M84" s="14"/>
      <c r="N84" s="15">
        <f t="shared" si="2"/>
        <v>14.265999999999998</v>
      </c>
      <c r="O84" s="16" t="s">
        <v>260</v>
      </c>
    </row>
    <row r="85" spans="1:15" x14ac:dyDescent="0.35">
      <c r="A85" s="7" t="s">
        <v>339</v>
      </c>
      <c r="B85" s="8" t="s">
        <v>305</v>
      </c>
      <c r="C85" s="9" t="s">
        <v>263</v>
      </c>
      <c r="D85" s="9" t="s">
        <v>306</v>
      </c>
      <c r="E85" s="10" t="s">
        <v>307</v>
      </c>
      <c r="F85" s="8" t="s">
        <v>308</v>
      </c>
      <c r="G85" s="11"/>
      <c r="H85" s="12" t="s">
        <v>340</v>
      </c>
      <c r="I85" s="8" t="s">
        <v>341</v>
      </c>
      <c r="J85" s="13" t="s">
        <v>39</v>
      </c>
      <c r="K85" s="14">
        <f>31.485*30.04%</f>
        <v>9.4580939999999991</v>
      </c>
      <c r="L85" s="14">
        <f>31.485*69.96%</f>
        <v>22.026905999999997</v>
      </c>
      <c r="M85" s="14"/>
      <c r="N85" s="15">
        <f t="shared" si="2"/>
        <v>31.484999999999996</v>
      </c>
      <c r="O85" s="16" t="s">
        <v>260</v>
      </c>
    </row>
    <row r="86" spans="1:15" x14ac:dyDescent="0.35">
      <c r="A86" s="7" t="s">
        <v>342</v>
      </c>
      <c r="B86" s="8" t="s">
        <v>305</v>
      </c>
      <c r="C86" s="9" t="s">
        <v>263</v>
      </c>
      <c r="D86" s="9" t="s">
        <v>306</v>
      </c>
      <c r="E86" s="10" t="s">
        <v>307</v>
      </c>
      <c r="F86" s="8" t="s">
        <v>319</v>
      </c>
      <c r="G86" s="11" t="s">
        <v>343</v>
      </c>
      <c r="H86" s="12" t="s">
        <v>344</v>
      </c>
      <c r="I86" s="8" t="s">
        <v>345</v>
      </c>
      <c r="J86" s="13" t="s">
        <v>39</v>
      </c>
      <c r="K86" s="14">
        <f>10.313*30.04%</f>
        <v>3.0980252000000004</v>
      </c>
      <c r="L86" s="14">
        <f>10.313*69.96%</f>
        <v>7.2149747999999994</v>
      </c>
      <c r="M86" s="14"/>
      <c r="N86" s="15">
        <f t="shared" si="2"/>
        <v>10.312999999999999</v>
      </c>
      <c r="O86" s="16" t="s">
        <v>260</v>
      </c>
    </row>
    <row r="87" spans="1:15" x14ac:dyDescent="0.35">
      <c r="A87" s="7" t="s">
        <v>346</v>
      </c>
      <c r="B87" s="8" t="s">
        <v>305</v>
      </c>
      <c r="C87" s="9" t="s">
        <v>263</v>
      </c>
      <c r="D87" s="9" t="s">
        <v>306</v>
      </c>
      <c r="E87" s="10" t="s">
        <v>307</v>
      </c>
      <c r="F87" s="8" t="s">
        <v>308</v>
      </c>
      <c r="G87" s="11"/>
      <c r="H87" s="12" t="s">
        <v>347</v>
      </c>
      <c r="I87" s="8" t="s">
        <v>348</v>
      </c>
      <c r="J87" s="13" t="s">
        <v>39</v>
      </c>
      <c r="K87" s="14">
        <f>7.307*30.04%</f>
        <v>2.1950228000000003</v>
      </c>
      <c r="L87" s="14">
        <f>7.307*69.96%</f>
        <v>5.1119771999999992</v>
      </c>
      <c r="M87" s="14"/>
      <c r="N87" s="15">
        <f t="shared" si="2"/>
        <v>7.3069999999999995</v>
      </c>
      <c r="O87" s="16" t="s">
        <v>260</v>
      </c>
    </row>
    <row r="88" spans="1:15" x14ac:dyDescent="0.35">
      <c r="A88" s="7" t="s">
        <v>349</v>
      </c>
      <c r="B88" s="8" t="s">
        <v>305</v>
      </c>
      <c r="C88" s="9" t="s">
        <v>263</v>
      </c>
      <c r="D88" s="9" t="s">
        <v>306</v>
      </c>
      <c r="E88" s="10" t="s">
        <v>307</v>
      </c>
      <c r="F88" s="8" t="s">
        <v>308</v>
      </c>
      <c r="G88" s="11"/>
      <c r="H88" s="12" t="s">
        <v>350</v>
      </c>
      <c r="I88" s="8" t="s">
        <v>351</v>
      </c>
      <c r="J88" s="13" t="s">
        <v>39</v>
      </c>
      <c r="K88" s="14">
        <f>10.281*30.04%</f>
        <v>3.0884124000000002</v>
      </c>
      <c r="L88" s="14">
        <f>10.281*69.96%</f>
        <v>7.1925875999999995</v>
      </c>
      <c r="M88" s="14"/>
      <c r="N88" s="15">
        <f t="shared" si="2"/>
        <v>10.280999999999999</v>
      </c>
      <c r="O88" s="16" t="s">
        <v>260</v>
      </c>
    </row>
    <row r="89" spans="1:15" x14ac:dyDescent="0.35">
      <c r="A89" s="7" t="s">
        <v>352</v>
      </c>
      <c r="B89" s="8" t="s">
        <v>305</v>
      </c>
      <c r="C89" s="9" t="s">
        <v>263</v>
      </c>
      <c r="D89" s="9" t="s">
        <v>306</v>
      </c>
      <c r="E89" s="10" t="s">
        <v>307</v>
      </c>
      <c r="F89" s="8" t="s">
        <v>353</v>
      </c>
      <c r="G89" s="11"/>
      <c r="H89" s="12" t="s">
        <v>354</v>
      </c>
      <c r="I89" s="8" t="s">
        <v>355</v>
      </c>
      <c r="J89" s="13" t="s">
        <v>39</v>
      </c>
      <c r="K89" s="14">
        <f>7.846*30.04%</f>
        <v>2.3569384000000002</v>
      </c>
      <c r="L89" s="14">
        <f>7.846*69.96%</f>
        <v>5.4890615999999994</v>
      </c>
      <c r="M89" s="14"/>
      <c r="N89" s="15">
        <f t="shared" si="2"/>
        <v>7.8460000000000001</v>
      </c>
      <c r="O89" s="16" t="s">
        <v>260</v>
      </c>
    </row>
    <row r="90" spans="1:15" x14ac:dyDescent="0.35">
      <c r="A90" s="7" t="s">
        <v>356</v>
      </c>
      <c r="B90" s="8" t="s">
        <v>305</v>
      </c>
      <c r="C90" s="9" t="s">
        <v>263</v>
      </c>
      <c r="D90" s="9" t="s">
        <v>306</v>
      </c>
      <c r="E90" s="10" t="s">
        <v>307</v>
      </c>
      <c r="F90" s="8" t="s">
        <v>308</v>
      </c>
      <c r="G90" s="11"/>
      <c r="H90" s="12" t="s">
        <v>357</v>
      </c>
      <c r="I90" s="8" t="s">
        <v>358</v>
      </c>
      <c r="J90" s="13" t="s">
        <v>39</v>
      </c>
      <c r="K90" s="14">
        <f>9.537*30.04%</f>
        <v>2.8649148000000002</v>
      </c>
      <c r="L90" s="14">
        <f>9.537*69.96%</f>
        <v>6.6720851999999997</v>
      </c>
      <c r="M90" s="14"/>
      <c r="N90" s="15">
        <f t="shared" si="2"/>
        <v>9.536999999999999</v>
      </c>
      <c r="O90" s="16" t="s">
        <v>260</v>
      </c>
    </row>
    <row r="91" spans="1:15" x14ac:dyDescent="0.35">
      <c r="A91" s="7" t="s">
        <v>359</v>
      </c>
      <c r="B91" s="8" t="s">
        <v>305</v>
      </c>
      <c r="C91" s="9" t="s">
        <v>263</v>
      </c>
      <c r="D91" s="9" t="s">
        <v>306</v>
      </c>
      <c r="E91" s="10" t="s">
        <v>307</v>
      </c>
      <c r="F91" s="8" t="s">
        <v>308</v>
      </c>
      <c r="G91" s="11"/>
      <c r="H91" s="12" t="s">
        <v>360</v>
      </c>
      <c r="I91" s="8" t="s">
        <v>361</v>
      </c>
      <c r="J91" s="13" t="s">
        <v>39</v>
      </c>
      <c r="K91" s="14">
        <f>10.249*30.04%</f>
        <v>3.0787996</v>
      </c>
      <c r="L91" s="14">
        <f>10.249*69.96%</f>
        <v>7.1702003999999988</v>
      </c>
      <c r="M91" s="14"/>
      <c r="N91" s="15">
        <f t="shared" si="2"/>
        <v>10.248999999999999</v>
      </c>
      <c r="O91" s="16" t="s">
        <v>260</v>
      </c>
    </row>
    <row r="92" spans="1:15" x14ac:dyDescent="0.35">
      <c r="A92" s="7" t="s">
        <v>362</v>
      </c>
      <c r="B92" s="8" t="s">
        <v>305</v>
      </c>
      <c r="C92" s="9" t="s">
        <v>263</v>
      </c>
      <c r="D92" s="9" t="s">
        <v>306</v>
      </c>
      <c r="E92" s="10" t="s">
        <v>307</v>
      </c>
      <c r="F92" s="8" t="s">
        <v>308</v>
      </c>
      <c r="G92" s="11"/>
      <c r="H92" s="12" t="s">
        <v>363</v>
      </c>
      <c r="I92" s="8" t="s">
        <v>364</v>
      </c>
      <c r="J92" s="13" t="s">
        <v>39</v>
      </c>
      <c r="K92" s="14">
        <f>12.174*30.04%</f>
        <v>3.6570695999999998</v>
      </c>
      <c r="L92" s="14">
        <f>12.174*69.96%</f>
        <v>8.5169303999999979</v>
      </c>
      <c r="M92" s="14"/>
      <c r="N92" s="15">
        <f t="shared" si="2"/>
        <v>12.173999999999998</v>
      </c>
      <c r="O92" s="16" t="s">
        <v>260</v>
      </c>
    </row>
    <row r="93" spans="1:15" x14ac:dyDescent="0.35">
      <c r="A93" s="7" t="s">
        <v>365</v>
      </c>
      <c r="B93" s="8" t="s">
        <v>305</v>
      </c>
      <c r="C93" s="9" t="s">
        <v>263</v>
      </c>
      <c r="D93" s="9" t="s">
        <v>306</v>
      </c>
      <c r="E93" s="10" t="s">
        <v>307</v>
      </c>
      <c r="F93" s="8" t="s">
        <v>308</v>
      </c>
      <c r="G93" s="11"/>
      <c r="H93" s="12" t="s">
        <v>366</v>
      </c>
      <c r="I93" s="8" t="s">
        <v>367</v>
      </c>
      <c r="J93" s="13" t="s">
        <v>39</v>
      </c>
      <c r="K93" s="14">
        <f>9.228*30.04%</f>
        <v>2.7720911999999998</v>
      </c>
      <c r="L93" s="14">
        <f>9.228*69.96%</f>
        <v>6.4559087999999987</v>
      </c>
      <c r="M93" s="14"/>
      <c r="N93" s="15">
        <f t="shared" si="2"/>
        <v>9.227999999999998</v>
      </c>
      <c r="O93" s="16" t="s">
        <v>260</v>
      </c>
    </row>
    <row r="94" spans="1:15" x14ac:dyDescent="0.35">
      <c r="A94" s="7" t="s">
        <v>368</v>
      </c>
      <c r="B94" s="8" t="s">
        <v>31</v>
      </c>
      <c r="C94" s="9" t="s">
        <v>32</v>
      </c>
      <c r="D94" s="9" t="s">
        <v>33</v>
      </c>
      <c r="E94" s="10" t="s">
        <v>34</v>
      </c>
      <c r="F94" s="8" t="s">
        <v>59</v>
      </c>
      <c r="G94" s="11" t="s">
        <v>220</v>
      </c>
      <c r="H94" s="12" t="s">
        <v>369</v>
      </c>
      <c r="I94" s="8" t="s">
        <v>370</v>
      </c>
      <c r="J94" s="13" t="s">
        <v>44</v>
      </c>
      <c r="K94" s="14">
        <v>0.41</v>
      </c>
      <c r="L94" s="14"/>
      <c r="M94" s="14"/>
      <c r="N94" s="15">
        <f t="shared" si="2"/>
        <v>0.41</v>
      </c>
      <c r="O94" s="16" t="s">
        <v>26</v>
      </c>
    </row>
    <row r="95" spans="1:15" x14ac:dyDescent="0.35">
      <c r="A95" s="7" t="s">
        <v>371</v>
      </c>
      <c r="B95" s="8" t="s">
        <v>31</v>
      </c>
      <c r="C95" s="9" t="s">
        <v>32</v>
      </c>
      <c r="D95" s="9" t="s">
        <v>33</v>
      </c>
      <c r="E95" s="10" t="s">
        <v>34</v>
      </c>
      <c r="F95" s="8" t="s">
        <v>59</v>
      </c>
      <c r="G95" s="11" t="s">
        <v>138</v>
      </c>
      <c r="H95" s="12" t="s">
        <v>372</v>
      </c>
      <c r="I95" s="8" t="s">
        <v>373</v>
      </c>
      <c r="J95" s="13" t="s">
        <v>44</v>
      </c>
      <c r="K95" s="14">
        <v>4.3999999999999997E-2</v>
      </c>
      <c r="L95" s="14"/>
      <c r="M95" s="14"/>
      <c r="N95" s="15">
        <f t="shared" si="2"/>
        <v>4.3999999999999997E-2</v>
      </c>
      <c r="O95" s="16" t="s">
        <v>26</v>
      </c>
    </row>
    <row r="96" spans="1:15" x14ac:dyDescent="0.35">
      <c r="A96" s="7" t="s">
        <v>374</v>
      </c>
      <c r="B96" s="8" t="s">
        <v>31</v>
      </c>
      <c r="C96" s="9" t="s">
        <v>32</v>
      </c>
      <c r="D96" s="9" t="s">
        <v>33</v>
      </c>
      <c r="E96" s="10" t="s">
        <v>34</v>
      </c>
      <c r="F96" s="8" t="s">
        <v>59</v>
      </c>
      <c r="G96" s="11" t="s">
        <v>224</v>
      </c>
      <c r="H96" s="12" t="s">
        <v>375</v>
      </c>
      <c r="I96" s="8" t="s">
        <v>376</v>
      </c>
      <c r="J96" s="13" t="s">
        <v>44</v>
      </c>
      <c r="K96" s="14">
        <v>0.434</v>
      </c>
      <c r="L96" s="14"/>
      <c r="M96" s="14"/>
      <c r="N96" s="15">
        <f t="shared" si="2"/>
        <v>0.434</v>
      </c>
      <c r="O96" s="16" t="s">
        <v>26</v>
      </c>
    </row>
    <row r="97" spans="1:15" x14ac:dyDescent="0.35">
      <c r="A97" s="7" t="s">
        <v>377</v>
      </c>
      <c r="B97" s="8" t="s">
        <v>31</v>
      </c>
      <c r="C97" s="9" t="s">
        <v>32</v>
      </c>
      <c r="D97" s="9" t="s">
        <v>33</v>
      </c>
      <c r="E97" s="10" t="s">
        <v>34</v>
      </c>
      <c r="F97" s="8" t="s">
        <v>59</v>
      </c>
      <c r="G97" s="11" t="s">
        <v>87</v>
      </c>
      <c r="H97" s="12" t="s">
        <v>378</v>
      </c>
      <c r="I97" s="8" t="s">
        <v>379</v>
      </c>
      <c r="J97" s="13" t="s">
        <v>44</v>
      </c>
      <c r="K97" s="14">
        <v>0.312</v>
      </c>
      <c r="L97" s="14"/>
      <c r="M97" s="14"/>
      <c r="N97" s="15">
        <f t="shared" si="2"/>
        <v>0.312</v>
      </c>
      <c r="O97" s="16" t="s">
        <v>26</v>
      </c>
    </row>
    <row r="98" spans="1:15" x14ac:dyDescent="0.35">
      <c r="A98" s="7" t="s">
        <v>380</v>
      </c>
      <c r="B98" s="8" t="s">
        <v>31</v>
      </c>
      <c r="C98" s="9" t="s">
        <v>32</v>
      </c>
      <c r="D98" s="9" t="s">
        <v>33</v>
      </c>
      <c r="E98" s="10" t="s">
        <v>34</v>
      </c>
      <c r="F98" s="8" t="s">
        <v>59</v>
      </c>
      <c r="G98" s="11" t="s">
        <v>194</v>
      </c>
      <c r="H98" s="12" t="s">
        <v>381</v>
      </c>
      <c r="I98" s="8" t="s">
        <v>382</v>
      </c>
      <c r="J98" s="13" t="s">
        <v>44</v>
      </c>
      <c r="K98" s="14">
        <v>0.52800000000000002</v>
      </c>
      <c r="L98" s="14"/>
      <c r="M98" s="14"/>
      <c r="N98" s="15">
        <f t="shared" si="2"/>
        <v>0.52800000000000002</v>
      </c>
      <c r="O98" s="16" t="s">
        <v>26</v>
      </c>
    </row>
    <row r="99" spans="1:15" x14ac:dyDescent="0.35">
      <c r="A99" s="7" t="s">
        <v>383</v>
      </c>
      <c r="B99" s="8" t="s">
        <v>31</v>
      </c>
      <c r="C99" s="9" t="s">
        <v>32</v>
      </c>
      <c r="D99" s="9" t="s">
        <v>33</v>
      </c>
      <c r="E99" s="10" t="s">
        <v>34</v>
      </c>
      <c r="F99" s="8" t="s">
        <v>59</v>
      </c>
      <c r="G99" s="11" t="s">
        <v>201</v>
      </c>
      <c r="H99" s="12" t="s">
        <v>384</v>
      </c>
      <c r="I99" s="8" t="s">
        <v>385</v>
      </c>
      <c r="J99" s="13" t="s">
        <v>44</v>
      </c>
      <c r="K99" s="14">
        <v>0.49199999999999999</v>
      </c>
      <c r="L99" s="14"/>
      <c r="M99" s="14"/>
      <c r="N99" s="15">
        <f t="shared" si="2"/>
        <v>0.49199999999999999</v>
      </c>
      <c r="O99" s="16" t="s">
        <v>26</v>
      </c>
    </row>
    <row r="100" spans="1:15" x14ac:dyDescent="0.35">
      <c r="A100" s="7" t="s">
        <v>386</v>
      </c>
      <c r="B100" s="8" t="s">
        <v>31</v>
      </c>
      <c r="C100" s="9" t="s">
        <v>32</v>
      </c>
      <c r="D100" s="9" t="s">
        <v>33</v>
      </c>
      <c r="E100" s="10" t="s">
        <v>34</v>
      </c>
      <c r="F100" s="8" t="s">
        <v>59</v>
      </c>
      <c r="G100" s="11" t="s">
        <v>95</v>
      </c>
      <c r="H100" s="12" t="s">
        <v>387</v>
      </c>
      <c r="I100" s="8" t="s">
        <v>388</v>
      </c>
      <c r="J100" s="13" t="s">
        <v>44</v>
      </c>
      <c r="K100" s="14">
        <v>0.45</v>
      </c>
      <c r="L100" s="14"/>
      <c r="M100" s="14"/>
      <c r="N100" s="15">
        <f t="shared" si="2"/>
        <v>0.45</v>
      </c>
      <c r="O100" s="16" t="s">
        <v>26</v>
      </c>
    </row>
    <row r="101" spans="1:15" x14ac:dyDescent="0.35">
      <c r="A101" s="7" t="s">
        <v>389</v>
      </c>
      <c r="B101" s="8" t="s">
        <v>31</v>
      </c>
      <c r="C101" s="9" t="s">
        <v>32</v>
      </c>
      <c r="D101" s="9" t="s">
        <v>33</v>
      </c>
      <c r="E101" s="10" t="s">
        <v>34</v>
      </c>
      <c r="F101" s="8" t="s">
        <v>59</v>
      </c>
      <c r="G101" s="11" t="s">
        <v>390</v>
      </c>
      <c r="H101" s="12" t="s">
        <v>391</v>
      </c>
      <c r="I101" s="8" t="s">
        <v>392</v>
      </c>
      <c r="J101" s="13" t="s">
        <v>44</v>
      </c>
      <c r="K101" s="14">
        <v>0.42199999999999999</v>
      </c>
      <c r="L101" s="14"/>
      <c r="M101" s="14"/>
      <c r="N101" s="15">
        <f t="shared" ref="N101:N132" si="3">K101+L101+M101</f>
        <v>0.42199999999999999</v>
      </c>
      <c r="O101" s="16" t="s">
        <v>26</v>
      </c>
    </row>
    <row r="102" spans="1:15" x14ac:dyDescent="0.35">
      <c r="A102" s="7" t="s">
        <v>393</v>
      </c>
      <c r="B102" s="8" t="s">
        <v>31</v>
      </c>
      <c r="C102" s="9" t="s">
        <v>32</v>
      </c>
      <c r="D102" s="9" t="s">
        <v>33</v>
      </c>
      <c r="E102" s="10" t="s">
        <v>34</v>
      </c>
      <c r="F102" s="8" t="s">
        <v>59</v>
      </c>
      <c r="G102" s="11" t="s">
        <v>394</v>
      </c>
      <c r="H102" s="12" t="s">
        <v>395</v>
      </c>
      <c r="I102" s="8" t="s">
        <v>396</v>
      </c>
      <c r="J102" s="13" t="s">
        <v>44</v>
      </c>
      <c r="K102" s="14">
        <v>0.36199999999999999</v>
      </c>
      <c r="L102" s="14"/>
      <c r="M102" s="14"/>
      <c r="N102" s="15">
        <f t="shared" si="3"/>
        <v>0.36199999999999999</v>
      </c>
      <c r="O102" s="16" t="s">
        <v>26</v>
      </c>
    </row>
    <row r="103" spans="1:15" x14ac:dyDescent="0.35">
      <c r="A103" s="7" t="s">
        <v>397</v>
      </c>
      <c r="B103" s="8" t="s">
        <v>31</v>
      </c>
      <c r="C103" s="9" t="s">
        <v>32</v>
      </c>
      <c r="D103" s="9" t="s">
        <v>33</v>
      </c>
      <c r="E103" s="10" t="s">
        <v>34</v>
      </c>
      <c r="F103" s="8" t="s">
        <v>59</v>
      </c>
      <c r="G103" s="11" t="s">
        <v>398</v>
      </c>
      <c r="H103" s="12" t="s">
        <v>399</v>
      </c>
      <c r="I103" s="8" t="s">
        <v>400</v>
      </c>
      <c r="J103" s="13" t="s">
        <v>44</v>
      </c>
      <c r="K103" s="14">
        <v>0.42799999999999999</v>
      </c>
      <c r="L103" s="14"/>
      <c r="M103" s="14"/>
      <c r="N103" s="15">
        <f t="shared" si="3"/>
        <v>0.42799999999999999</v>
      </c>
      <c r="O103" s="16" t="s">
        <v>26</v>
      </c>
    </row>
    <row r="104" spans="1:15" x14ac:dyDescent="0.35">
      <c r="A104" s="7" t="s">
        <v>401</v>
      </c>
      <c r="B104" s="8" t="s">
        <v>31</v>
      </c>
      <c r="C104" s="9" t="s">
        <v>32</v>
      </c>
      <c r="D104" s="9" t="s">
        <v>33</v>
      </c>
      <c r="E104" s="10" t="s">
        <v>34</v>
      </c>
      <c r="F104" s="8" t="s">
        <v>59</v>
      </c>
      <c r="G104" s="11" t="s">
        <v>402</v>
      </c>
      <c r="H104" s="12" t="s">
        <v>403</v>
      </c>
      <c r="I104" s="8" t="s">
        <v>404</v>
      </c>
      <c r="J104" s="13" t="s">
        <v>44</v>
      </c>
      <c r="K104" s="14">
        <v>0.59599999999999997</v>
      </c>
      <c r="L104" s="14"/>
      <c r="M104" s="14"/>
      <c r="N104" s="15">
        <f t="shared" si="3"/>
        <v>0.59599999999999997</v>
      </c>
      <c r="O104" s="16" t="s">
        <v>26</v>
      </c>
    </row>
    <row r="105" spans="1:15" x14ac:dyDescent="0.35">
      <c r="A105" s="7" t="s">
        <v>405</v>
      </c>
      <c r="B105" s="8" t="s">
        <v>31</v>
      </c>
      <c r="C105" s="9" t="s">
        <v>32</v>
      </c>
      <c r="D105" s="9" t="s">
        <v>33</v>
      </c>
      <c r="E105" s="10" t="s">
        <v>34</v>
      </c>
      <c r="F105" s="8" t="s">
        <v>59</v>
      </c>
      <c r="G105" s="11" t="s">
        <v>55</v>
      </c>
      <c r="H105" s="12" t="s">
        <v>406</v>
      </c>
      <c r="I105" s="8" t="s">
        <v>407</v>
      </c>
      <c r="J105" s="13" t="s">
        <v>44</v>
      </c>
      <c r="K105" s="14">
        <v>0.3</v>
      </c>
      <c r="L105" s="14"/>
      <c r="M105" s="14"/>
      <c r="N105" s="15">
        <f t="shared" si="3"/>
        <v>0.3</v>
      </c>
      <c r="O105" s="16" t="s">
        <v>26</v>
      </c>
    </row>
    <row r="106" spans="1:15" x14ac:dyDescent="0.35">
      <c r="A106" s="7" t="s">
        <v>408</v>
      </c>
      <c r="B106" s="8" t="s">
        <v>31</v>
      </c>
      <c r="C106" s="9" t="s">
        <v>32</v>
      </c>
      <c r="D106" s="9" t="s">
        <v>33</v>
      </c>
      <c r="E106" s="10" t="s">
        <v>34</v>
      </c>
      <c r="F106" s="8" t="s">
        <v>59</v>
      </c>
      <c r="G106" s="11" t="s">
        <v>83</v>
      </c>
      <c r="H106" s="12" t="s">
        <v>409</v>
      </c>
      <c r="I106" s="8" t="s">
        <v>410</v>
      </c>
      <c r="J106" s="13" t="s">
        <v>44</v>
      </c>
      <c r="K106" s="14">
        <v>0.52800000000000002</v>
      </c>
      <c r="L106" s="14"/>
      <c r="M106" s="14"/>
      <c r="N106" s="15">
        <f t="shared" si="3"/>
        <v>0.52800000000000002</v>
      </c>
      <c r="O106" s="16" t="s">
        <v>26</v>
      </c>
    </row>
    <row r="107" spans="1:15" x14ac:dyDescent="0.35">
      <c r="A107" s="7" t="s">
        <v>411</v>
      </c>
      <c r="B107" s="8" t="s">
        <v>31</v>
      </c>
      <c r="C107" s="9" t="s">
        <v>32</v>
      </c>
      <c r="D107" s="9" t="s">
        <v>33</v>
      </c>
      <c r="E107" s="10" t="s">
        <v>34</v>
      </c>
      <c r="F107" s="8" t="s">
        <v>59</v>
      </c>
      <c r="G107" s="11" t="s">
        <v>91</v>
      </c>
      <c r="H107" s="12" t="s">
        <v>412</v>
      </c>
      <c r="I107" s="8" t="s">
        <v>413</v>
      </c>
      <c r="J107" s="13" t="s">
        <v>44</v>
      </c>
      <c r="K107" s="14">
        <v>0.878</v>
      </c>
      <c r="L107" s="14"/>
      <c r="M107" s="14"/>
      <c r="N107" s="15">
        <f t="shared" si="3"/>
        <v>0.878</v>
      </c>
      <c r="O107" s="16" t="s">
        <v>26</v>
      </c>
    </row>
    <row r="108" spans="1:15" x14ac:dyDescent="0.35">
      <c r="A108" s="7" t="s">
        <v>414</v>
      </c>
      <c r="B108" s="8" t="s">
        <v>31</v>
      </c>
      <c r="C108" s="9" t="s">
        <v>32</v>
      </c>
      <c r="D108" s="9" t="s">
        <v>33</v>
      </c>
      <c r="E108" s="10" t="s">
        <v>34</v>
      </c>
      <c r="F108" s="8" t="s">
        <v>59</v>
      </c>
      <c r="G108" s="11" t="s">
        <v>158</v>
      </c>
      <c r="H108" s="12" t="s">
        <v>415</v>
      </c>
      <c r="I108" s="8" t="s">
        <v>416</v>
      </c>
      <c r="J108" s="13" t="s">
        <v>44</v>
      </c>
      <c r="K108" s="14">
        <v>0.434</v>
      </c>
      <c r="L108" s="14"/>
      <c r="M108" s="14"/>
      <c r="N108" s="15">
        <f t="shared" si="3"/>
        <v>0.434</v>
      </c>
      <c r="O108" s="16" t="s">
        <v>26</v>
      </c>
    </row>
    <row r="109" spans="1:15" x14ac:dyDescent="0.35">
      <c r="A109" s="7" t="s">
        <v>417</v>
      </c>
      <c r="B109" s="8" t="s">
        <v>31</v>
      </c>
      <c r="C109" s="9" t="s">
        <v>32</v>
      </c>
      <c r="D109" s="9" t="s">
        <v>33</v>
      </c>
      <c r="E109" s="10" t="s">
        <v>34</v>
      </c>
      <c r="F109" s="8" t="s">
        <v>59</v>
      </c>
      <c r="G109" s="11" t="s">
        <v>165</v>
      </c>
      <c r="H109" s="12" t="s">
        <v>418</v>
      </c>
      <c r="I109" s="8" t="s">
        <v>419</v>
      </c>
      <c r="J109" s="13" t="s">
        <v>44</v>
      </c>
      <c r="K109" s="14">
        <v>0.65</v>
      </c>
      <c r="L109" s="14"/>
      <c r="M109" s="14"/>
      <c r="N109" s="15">
        <f t="shared" si="3"/>
        <v>0.65</v>
      </c>
      <c r="O109" s="16" t="s">
        <v>26</v>
      </c>
    </row>
    <row r="110" spans="1:15" x14ac:dyDescent="0.35">
      <c r="A110" s="7" t="s">
        <v>420</v>
      </c>
      <c r="B110" s="8" t="s">
        <v>31</v>
      </c>
      <c r="C110" s="9" t="s">
        <v>32</v>
      </c>
      <c r="D110" s="9" t="s">
        <v>33</v>
      </c>
      <c r="E110" s="10" t="s">
        <v>34</v>
      </c>
      <c r="F110" s="8" t="s">
        <v>59</v>
      </c>
      <c r="G110" s="11" t="s">
        <v>107</v>
      </c>
      <c r="H110" s="12" t="s">
        <v>421</v>
      </c>
      <c r="I110" s="8" t="s">
        <v>422</v>
      </c>
      <c r="J110" s="13" t="s">
        <v>44</v>
      </c>
      <c r="K110" s="14">
        <v>0.5</v>
      </c>
      <c r="L110" s="14"/>
      <c r="M110" s="14"/>
      <c r="N110" s="15">
        <f t="shared" si="3"/>
        <v>0.5</v>
      </c>
      <c r="O110" s="16" t="s">
        <v>26</v>
      </c>
    </row>
    <row r="111" spans="1:15" x14ac:dyDescent="0.35">
      <c r="A111" s="7" t="s">
        <v>423</v>
      </c>
      <c r="B111" s="8" t="s">
        <v>31</v>
      </c>
      <c r="C111" s="9" t="s">
        <v>32</v>
      </c>
      <c r="D111" s="9" t="s">
        <v>33</v>
      </c>
      <c r="E111" s="10" t="s">
        <v>34</v>
      </c>
      <c r="F111" s="8" t="s">
        <v>35</v>
      </c>
      <c r="G111" s="11" t="s">
        <v>126</v>
      </c>
      <c r="H111" s="12" t="s">
        <v>424</v>
      </c>
      <c r="I111" s="8" t="s">
        <v>425</v>
      </c>
      <c r="J111" s="13" t="s">
        <v>44</v>
      </c>
      <c r="K111" s="14">
        <v>0.56000000000000005</v>
      </c>
      <c r="L111" s="14"/>
      <c r="M111" s="14"/>
      <c r="N111" s="15">
        <f t="shared" si="3"/>
        <v>0.56000000000000005</v>
      </c>
      <c r="O111" s="16" t="s">
        <v>26</v>
      </c>
    </row>
    <row r="112" spans="1:15" x14ac:dyDescent="0.35">
      <c r="A112" s="7" t="s">
        <v>426</v>
      </c>
      <c r="B112" s="8" t="s">
        <v>31</v>
      </c>
      <c r="C112" s="9" t="s">
        <v>32</v>
      </c>
      <c r="D112" s="9" t="s">
        <v>33</v>
      </c>
      <c r="E112" s="10" t="s">
        <v>34</v>
      </c>
      <c r="F112" s="8" t="s">
        <v>35</v>
      </c>
      <c r="G112" s="11" t="s">
        <v>130</v>
      </c>
      <c r="H112" s="12" t="s">
        <v>427</v>
      </c>
      <c r="I112" s="8" t="s">
        <v>428</v>
      </c>
      <c r="J112" s="13" t="s">
        <v>44</v>
      </c>
      <c r="K112" s="14">
        <v>0.6</v>
      </c>
      <c r="L112" s="14"/>
      <c r="M112" s="14"/>
      <c r="N112" s="15">
        <f t="shared" si="3"/>
        <v>0.6</v>
      </c>
      <c r="O112" s="16" t="s">
        <v>26</v>
      </c>
    </row>
    <row r="113" spans="1:15" x14ac:dyDescent="0.35">
      <c r="A113" s="7" t="s">
        <v>429</v>
      </c>
      <c r="B113" s="8" t="s">
        <v>31</v>
      </c>
      <c r="C113" s="9" t="s">
        <v>32</v>
      </c>
      <c r="D113" s="9" t="s">
        <v>33</v>
      </c>
      <c r="E113" s="10" t="s">
        <v>34</v>
      </c>
      <c r="F113" s="8" t="s">
        <v>35</v>
      </c>
      <c r="G113" s="11" t="s">
        <v>138</v>
      </c>
      <c r="H113" s="12" t="s">
        <v>430</v>
      </c>
      <c r="I113" s="8" t="s">
        <v>431</v>
      </c>
      <c r="J113" s="13" t="s">
        <v>44</v>
      </c>
      <c r="K113" s="14">
        <v>0.66200000000000003</v>
      </c>
      <c r="L113" s="14"/>
      <c r="M113" s="14"/>
      <c r="N113" s="15">
        <f t="shared" si="3"/>
        <v>0.66200000000000003</v>
      </c>
      <c r="O113" s="16" t="s">
        <v>26</v>
      </c>
    </row>
    <row r="114" spans="1:15" x14ac:dyDescent="0.35">
      <c r="A114" s="7" t="s">
        <v>432</v>
      </c>
      <c r="B114" s="8" t="s">
        <v>31</v>
      </c>
      <c r="C114" s="9" t="s">
        <v>32</v>
      </c>
      <c r="D114" s="9" t="s">
        <v>33</v>
      </c>
      <c r="E114" s="10" t="s">
        <v>34</v>
      </c>
      <c r="F114" s="8" t="s">
        <v>35</v>
      </c>
      <c r="G114" s="11" t="s">
        <v>87</v>
      </c>
      <c r="H114" s="12" t="s">
        <v>433</v>
      </c>
      <c r="I114" s="8" t="s">
        <v>434</v>
      </c>
      <c r="J114" s="13" t="s">
        <v>44</v>
      </c>
      <c r="K114" s="14">
        <v>0.624</v>
      </c>
      <c r="L114" s="14"/>
      <c r="M114" s="14"/>
      <c r="N114" s="15">
        <f t="shared" si="3"/>
        <v>0.624</v>
      </c>
      <c r="O114" s="16" t="s">
        <v>26</v>
      </c>
    </row>
    <row r="115" spans="1:15" x14ac:dyDescent="0.35">
      <c r="A115" s="7" t="s">
        <v>435</v>
      </c>
      <c r="B115" s="8" t="s">
        <v>31</v>
      </c>
      <c r="C115" s="9" t="s">
        <v>32</v>
      </c>
      <c r="D115" s="9" t="s">
        <v>33</v>
      </c>
      <c r="E115" s="10" t="s">
        <v>34</v>
      </c>
      <c r="F115" s="8" t="s">
        <v>35</v>
      </c>
      <c r="G115" s="11" t="s">
        <v>95</v>
      </c>
      <c r="H115" s="12" t="s">
        <v>436</v>
      </c>
      <c r="I115" s="8" t="s">
        <v>437</v>
      </c>
      <c r="J115" s="13" t="s">
        <v>44</v>
      </c>
      <c r="K115" s="14">
        <v>0.38400000000000001</v>
      </c>
      <c r="L115" s="14"/>
      <c r="M115" s="14"/>
      <c r="N115" s="15">
        <f t="shared" si="3"/>
        <v>0.38400000000000001</v>
      </c>
      <c r="O115" s="16" t="s">
        <v>26</v>
      </c>
    </row>
    <row r="116" spans="1:15" x14ac:dyDescent="0.35">
      <c r="A116" s="7" t="s">
        <v>438</v>
      </c>
      <c r="B116" s="8" t="s">
        <v>31</v>
      </c>
      <c r="C116" s="9" t="s">
        <v>32</v>
      </c>
      <c r="D116" s="9" t="s">
        <v>33</v>
      </c>
      <c r="E116" s="10" t="s">
        <v>34</v>
      </c>
      <c r="F116" s="8" t="s">
        <v>35</v>
      </c>
      <c r="G116" s="11" t="s">
        <v>103</v>
      </c>
      <c r="H116" s="12" t="s">
        <v>439</v>
      </c>
      <c r="I116" s="8" t="s">
        <v>440</v>
      </c>
      <c r="J116" s="13" t="s">
        <v>44</v>
      </c>
      <c r="K116" s="14">
        <v>0.51600000000000001</v>
      </c>
      <c r="L116" s="14"/>
      <c r="M116" s="14"/>
      <c r="N116" s="15">
        <f t="shared" si="3"/>
        <v>0.51600000000000001</v>
      </c>
      <c r="O116" s="16" t="s">
        <v>26</v>
      </c>
    </row>
    <row r="117" spans="1:15" x14ac:dyDescent="0.35">
      <c r="A117" s="7" t="s">
        <v>441</v>
      </c>
      <c r="B117" s="8" t="s">
        <v>31</v>
      </c>
      <c r="C117" s="9" t="s">
        <v>32</v>
      </c>
      <c r="D117" s="9" t="s">
        <v>33</v>
      </c>
      <c r="E117" s="10" t="s">
        <v>34</v>
      </c>
      <c r="F117" s="8" t="s">
        <v>35</v>
      </c>
      <c r="G117" s="11" t="s">
        <v>64</v>
      </c>
      <c r="H117" s="12" t="s">
        <v>442</v>
      </c>
      <c r="I117" s="8" t="s">
        <v>443</v>
      </c>
      <c r="J117" s="13" t="s">
        <v>44</v>
      </c>
      <c r="K117" s="14">
        <v>0.67800000000000005</v>
      </c>
      <c r="L117" s="14"/>
      <c r="M117" s="14"/>
      <c r="N117" s="15">
        <f t="shared" si="3"/>
        <v>0.67800000000000005</v>
      </c>
      <c r="O117" s="16" t="s">
        <v>26</v>
      </c>
    </row>
    <row r="118" spans="1:15" x14ac:dyDescent="0.35">
      <c r="A118" s="7" t="s">
        <v>444</v>
      </c>
      <c r="B118" s="8" t="s">
        <v>31</v>
      </c>
      <c r="C118" s="9" t="s">
        <v>32</v>
      </c>
      <c r="D118" s="9" t="s">
        <v>33</v>
      </c>
      <c r="E118" s="10" t="s">
        <v>34</v>
      </c>
      <c r="F118" s="8" t="s">
        <v>35</v>
      </c>
      <c r="G118" s="11" t="s">
        <v>114</v>
      </c>
      <c r="H118" s="12" t="s">
        <v>445</v>
      </c>
      <c r="I118" s="8" t="s">
        <v>446</v>
      </c>
      <c r="J118" s="13" t="s">
        <v>44</v>
      </c>
      <c r="K118" s="14">
        <v>0.878</v>
      </c>
      <c r="L118" s="14"/>
      <c r="M118" s="14"/>
      <c r="N118" s="15">
        <f t="shared" si="3"/>
        <v>0.878</v>
      </c>
      <c r="O118" s="16" t="s">
        <v>26</v>
      </c>
    </row>
    <row r="119" spans="1:15" x14ac:dyDescent="0.35">
      <c r="A119" s="7" t="s">
        <v>447</v>
      </c>
      <c r="B119" s="8" t="s">
        <v>31</v>
      </c>
      <c r="C119" s="9" t="s">
        <v>32</v>
      </c>
      <c r="D119" s="9" t="s">
        <v>33</v>
      </c>
      <c r="E119" s="10" t="s">
        <v>34</v>
      </c>
      <c r="F119" s="8" t="s">
        <v>51</v>
      </c>
      <c r="G119" s="11" t="s">
        <v>91</v>
      </c>
      <c r="H119" s="12" t="s">
        <v>448</v>
      </c>
      <c r="I119" s="8" t="s">
        <v>449</v>
      </c>
      <c r="J119" s="13" t="s">
        <v>44</v>
      </c>
      <c r="K119" s="14">
        <v>0.624</v>
      </c>
      <c r="L119" s="14"/>
      <c r="M119" s="14"/>
      <c r="N119" s="15">
        <f t="shared" si="3"/>
        <v>0.624</v>
      </c>
      <c r="O119" s="16" t="s">
        <v>26</v>
      </c>
    </row>
    <row r="120" spans="1:15" x14ac:dyDescent="0.35">
      <c r="A120" s="7" t="s">
        <v>450</v>
      </c>
      <c r="B120" s="8" t="s">
        <v>31</v>
      </c>
      <c r="C120" s="9" t="s">
        <v>32</v>
      </c>
      <c r="D120" s="9" t="s">
        <v>33</v>
      </c>
      <c r="E120" s="10" t="s">
        <v>34</v>
      </c>
      <c r="F120" s="8" t="s">
        <v>51</v>
      </c>
      <c r="G120" s="11" t="s">
        <v>99</v>
      </c>
      <c r="H120" s="12" t="s">
        <v>451</v>
      </c>
      <c r="I120" s="8" t="s">
        <v>452</v>
      </c>
      <c r="J120" s="13" t="s">
        <v>44</v>
      </c>
      <c r="K120" s="14">
        <v>0.378</v>
      </c>
      <c r="L120" s="14"/>
      <c r="M120" s="14"/>
      <c r="N120" s="15">
        <f t="shared" si="3"/>
        <v>0.378</v>
      </c>
      <c r="O120" s="16" t="s">
        <v>26</v>
      </c>
    </row>
    <row r="121" spans="1:15" x14ac:dyDescent="0.35">
      <c r="A121" s="7" t="s">
        <v>453</v>
      </c>
      <c r="B121" s="8" t="s">
        <v>31</v>
      </c>
      <c r="C121" s="9" t="s">
        <v>32</v>
      </c>
      <c r="D121" s="9" t="s">
        <v>33</v>
      </c>
      <c r="E121" s="10" t="s">
        <v>34</v>
      </c>
      <c r="F121" s="8" t="s">
        <v>51</v>
      </c>
      <c r="G121" s="11" t="s">
        <v>107</v>
      </c>
      <c r="H121" s="12" t="s">
        <v>454</v>
      </c>
      <c r="I121" s="8" t="s">
        <v>455</v>
      </c>
      <c r="J121" s="13" t="s">
        <v>44</v>
      </c>
      <c r="K121" s="14">
        <v>0.33</v>
      </c>
      <c r="L121" s="14"/>
      <c r="M121" s="14"/>
      <c r="N121" s="15">
        <f t="shared" si="3"/>
        <v>0.33</v>
      </c>
      <c r="O121" s="16" t="s">
        <v>26</v>
      </c>
    </row>
    <row r="122" spans="1:15" x14ac:dyDescent="0.35">
      <c r="A122" s="7" t="s">
        <v>456</v>
      </c>
      <c r="B122" s="8" t="s">
        <v>31</v>
      </c>
      <c r="C122" s="9" t="s">
        <v>32</v>
      </c>
      <c r="D122" s="9" t="s">
        <v>33</v>
      </c>
      <c r="E122" s="10" t="s">
        <v>34</v>
      </c>
      <c r="F122" s="8" t="s">
        <v>51</v>
      </c>
      <c r="G122" s="11" t="s">
        <v>60</v>
      </c>
      <c r="H122" s="12" t="s">
        <v>457</v>
      </c>
      <c r="I122" s="8" t="s">
        <v>458</v>
      </c>
      <c r="J122" s="13" t="s">
        <v>44</v>
      </c>
      <c r="K122" s="14">
        <v>0.52200000000000002</v>
      </c>
      <c r="L122" s="14"/>
      <c r="M122" s="14"/>
      <c r="N122" s="15">
        <f t="shared" si="3"/>
        <v>0.52200000000000002</v>
      </c>
      <c r="O122" s="16" t="s">
        <v>26</v>
      </c>
    </row>
    <row r="123" spans="1:15" x14ac:dyDescent="0.35">
      <c r="A123" s="7" t="s">
        <v>459</v>
      </c>
      <c r="B123" s="8" t="s">
        <v>31</v>
      </c>
      <c r="C123" s="9" t="s">
        <v>32</v>
      </c>
      <c r="D123" s="9" t="s">
        <v>33</v>
      </c>
      <c r="E123" s="10" t="s">
        <v>34</v>
      </c>
      <c r="F123" s="8" t="s">
        <v>51</v>
      </c>
      <c r="G123" s="11" t="s">
        <v>118</v>
      </c>
      <c r="H123" s="12" t="s">
        <v>460</v>
      </c>
      <c r="I123" s="8" t="s">
        <v>461</v>
      </c>
      <c r="J123" s="13" t="s">
        <v>44</v>
      </c>
      <c r="K123" s="14">
        <v>0.78</v>
      </c>
      <c r="L123" s="14"/>
      <c r="M123" s="14"/>
      <c r="N123" s="15">
        <f t="shared" si="3"/>
        <v>0.78</v>
      </c>
      <c r="O123" s="16" t="s">
        <v>26</v>
      </c>
    </row>
    <row r="124" spans="1:15" x14ac:dyDescent="0.35">
      <c r="A124" s="7" t="s">
        <v>462</v>
      </c>
      <c r="B124" s="8" t="s">
        <v>31</v>
      </c>
      <c r="C124" s="9" t="s">
        <v>32</v>
      </c>
      <c r="D124" s="9" t="s">
        <v>33</v>
      </c>
      <c r="E124" s="10" t="s">
        <v>34</v>
      </c>
      <c r="F124" s="8" t="s">
        <v>51</v>
      </c>
      <c r="G124" s="11" t="s">
        <v>122</v>
      </c>
      <c r="H124" s="12" t="s">
        <v>463</v>
      </c>
      <c r="I124" s="8" t="s">
        <v>464</v>
      </c>
      <c r="J124" s="13" t="s">
        <v>44</v>
      </c>
      <c r="K124" s="14">
        <v>0.66600000000000004</v>
      </c>
      <c r="L124" s="14"/>
      <c r="M124" s="14"/>
      <c r="N124" s="15">
        <f t="shared" si="3"/>
        <v>0.66600000000000004</v>
      </c>
      <c r="O124" s="16" t="s">
        <v>26</v>
      </c>
    </row>
    <row r="125" spans="1:15" x14ac:dyDescent="0.35">
      <c r="A125" s="7" t="s">
        <v>465</v>
      </c>
      <c r="B125" s="8" t="s">
        <v>31</v>
      </c>
      <c r="C125" s="9" t="s">
        <v>32</v>
      </c>
      <c r="D125" s="9" t="s">
        <v>33</v>
      </c>
      <c r="E125" s="10" t="s">
        <v>34</v>
      </c>
      <c r="F125" s="8" t="s">
        <v>51</v>
      </c>
      <c r="G125" s="11" t="s">
        <v>126</v>
      </c>
      <c r="H125" s="12" t="s">
        <v>466</v>
      </c>
      <c r="I125" s="8" t="s">
        <v>467</v>
      </c>
      <c r="J125" s="13" t="s">
        <v>44</v>
      </c>
      <c r="K125" s="14">
        <v>0.71399999999999997</v>
      </c>
      <c r="L125" s="14"/>
      <c r="M125" s="14"/>
      <c r="N125" s="15">
        <f t="shared" si="3"/>
        <v>0.71399999999999997</v>
      </c>
      <c r="O125" s="16" t="s">
        <v>26</v>
      </c>
    </row>
    <row r="126" spans="1:15" x14ac:dyDescent="0.35">
      <c r="A126" s="7" t="s">
        <v>468</v>
      </c>
      <c r="B126" s="8" t="s">
        <v>31</v>
      </c>
      <c r="C126" s="9" t="s">
        <v>32</v>
      </c>
      <c r="D126" s="9" t="s">
        <v>33</v>
      </c>
      <c r="E126" s="10" t="s">
        <v>34</v>
      </c>
      <c r="F126" s="8" t="s">
        <v>51</v>
      </c>
      <c r="G126" s="11" t="s">
        <v>130</v>
      </c>
      <c r="H126" s="12" t="s">
        <v>469</v>
      </c>
      <c r="I126" s="8" t="s">
        <v>470</v>
      </c>
      <c r="J126" s="13" t="s">
        <v>44</v>
      </c>
      <c r="K126" s="14">
        <v>0.56000000000000005</v>
      </c>
      <c r="L126" s="14"/>
      <c r="M126" s="14"/>
      <c r="N126" s="15">
        <f t="shared" si="3"/>
        <v>0.56000000000000005</v>
      </c>
      <c r="O126" s="16" t="s">
        <v>26</v>
      </c>
    </row>
    <row r="127" spans="1:15" x14ac:dyDescent="0.35">
      <c r="A127" s="7" t="s">
        <v>471</v>
      </c>
      <c r="B127" s="8" t="s">
        <v>31</v>
      </c>
      <c r="C127" s="9" t="s">
        <v>32</v>
      </c>
      <c r="D127" s="9" t="s">
        <v>33</v>
      </c>
      <c r="E127" s="10" t="s">
        <v>34</v>
      </c>
      <c r="F127" s="8" t="s">
        <v>51</v>
      </c>
      <c r="G127" s="11" t="s">
        <v>138</v>
      </c>
      <c r="H127" s="12" t="s">
        <v>472</v>
      </c>
      <c r="I127" s="8" t="s">
        <v>473</v>
      </c>
      <c r="J127" s="13" t="s">
        <v>44</v>
      </c>
      <c r="K127" s="14">
        <v>1.056</v>
      </c>
      <c r="L127" s="14"/>
      <c r="M127" s="14"/>
      <c r="N127" s="15">
        <f t="shared" si="3"/>
        <v>1.056</v>
      </c>
      <c r="O127" s="16" t="s">
        <v>26</v>
      </c>
    </row>
    <row r="128" spans="1:15" x14ac:dyDescent="0.35">
      <c r="A128" s="7" t="s">
        <v>474</v>
      </c>
      <c r="B128" s="8" t="s">
        <v>31</v>
      </c>
      <c r="C128" s="9" t="s">
        <v>32</v>
      </c>
      <c r="D128" s="9" t="s">
        <v>33</v>
      </c>
      <c r="E128" s="10" t="s">
        <v>34</v>
      </c>
      <c r="F128" s="8" t="s">
        <v>51</v>
      </c>
      <c r="G128" s="11" t="s">
        <v>87</v>
      </c>
      <c r="H128" s="12" t="s">
        <v>475</v>
      </c>
      <c r="I128" s="8" t="s">
        <v>476</v>
      </c>
      <c r="J128" s="13" t="s">
        <v>44</v>
      </c>
      <c r="K128" s="14">
        <v>0.73399999999999999</v>
      </c>
      <c r="L128" s="14"/>
      <c r="M128" s="14"/>
      <c r="N128" s="15">
        <f t="shared" si="3"/>
        <v>0.73399999999999999</v>
      </c>
      <c r="O128" s="16" t="s">
        <v>26</v>
      </c>
    </row>
    <row r="129" spans="1:15" x14ac:dyDescent="0.35">
      <c r="A129" s="7" t="s">
        <v>477</v>
      </c>
      <c r="B129" s="8" t="s">
        <v>31</v>
      </c>
      <c r="C129" s="9" t="s">
        <v>32</v>
      </c>
      <c r="D129" s="9" t="s">
        <v>33</v>
      </c>
      <c r="E129" s="10" t="s">
        <v>34</v>
      </c>
      <c r="F129" s="8" t="s">
        <v>51</v>
      </c>
      <c r="G129" s="11" t="s">
        <v>95</v>
      </c>
      <c r="H129" s="12" t="s">
        <v>478</v>
      </c>
      <c r="I129" s="8" t="s">
        <v>479</v>
      </c>
      <c r="J129" s="13" t="s">
        <v>44</v>
      </c>
      <c r="K129" s="14">
        <v>0.41</v>
      </c>
      <c r="L129" s="14"/>
      <c r="M129" s="14"/>
      <c r="N129" s="15">
        <f t="shared" si="3"/>
        <v>0.41</v>
      </c>
      <c r="O129" s="16" t="s">
        <v>26</v>
      </c>
    </row>
    <row r="130" spans="1:15" x14ac:dyDescent="0.35">
      <c r="A130" s="7" t="s">
        <v>480</v>
      </c>
      <c r="B130" s="8" t="s">
        <v>31</v>
      </c>
      <c r="C130" s="9" t="s">
        <v>32</v>
      </c>
      <c r="D130" s="9" t="s">
        <v>33</v>
      </c>
      <c r="E130" s="10" t="s">
        <v>34</v>
      </c>
      <c r="F130" s="8" t="s">
        <v>51</v>
      </c>
      <c r="G130" s="11" t="s">
        <v>103</v>
      </c>
      <c r="H130" s="12" t="s">
        <v>481</v>
      </c>
      <c r="I130" s="8" t="s">
        <v>482</v>
      </c>
      <c r="J130" s="13" t="s">
        <v>44</v>
      </c>
      <c r="K130" s="14">
        <v>0.61799999999999999</v>
      </c>
      <c r="L130" s="14"/>
      <c r="M130" s="14"/>
      <c r="N130" s="15">
        <f t="shared" si="3"/>
        <v>0.61799999999999999</v>
      </c>
      <c r="O130" s="16" t="s">
        <v>26</v>
      </c>
    </row>
    <row r="131" spans="1:15" x14ac:dyDescent="0.35">
      <c r="A131" s="7" t="s">
        <v>483</v>
      </c>
      <c r="B131" s="8" t="s">
        <v>31</v>
      </c>
      <c r="C131" s="9" t="s">
        <v>32</v>
      </c>
      <c r="D131" s="9" t="s">
        <v>33</v>
      </c>
      <c r="E131" s="10" t="s">
        <v>34</v>
      </c>
      <c r="F131" s="8" t="s">
        <v>51</v>
      </c>
      <c r="G131" s="11" t="s">
        <v>64</v>
      </c>
      <c r="H131" s="12" t="s">
        <v>484</v>
      </c>
      <c r="I131" s="8" t="s">
        <v>485</v>
      </c>
      <c r="J131" s="13" t="s">
        <v>44</v>
      </c>
      <c r="K131" s="14">
        <v>0.82199999999999995</v>
      </c>
      <c r="L131" s="14"/>
      <c r="M131" s="14"/>
      <c r="N131" s="15">
        <f t="shared" si="3"/>
        <v>0.82199999999999995</v>
      </c>
      <c r="O131" s="16" t="s">
        <v>26</v>
      </c>
    </row>
    <row r="132" spans="1:15" x14ac:dyDescent="0.35">
      <c r="A132" s="7" t="s">
        <v>486</v>
      </c>
      <c r="B132" s="8" t="s">
        <v>31</v>
      </c>
      <c r="C132" s="9" t="s">
        <v>32</v>
      </c>
      <c r="D132" s="9" t="s">
        <v>33</v>
      </c>
      <c r="E132" s="10" t="s">
        <v>34</v>
      </c>
      <c r="F132" s="8" t="s">
        <v>51</v>
      </c>
      <c r="G132" s="11" t="s">
        <v>114</v>
      </c>
      <c r="H132" s="12" t="s">
        <v>487</v>
      </c>
      <c r="I132" s="8" t="s">
        <v>488</v>
      </c>
      <c r="J132" s="13" t="s">
        <v>44</v>
      </c>
      <c r="K132" s="14">
        <v>0.68500000000000005</v>
      </c>
      <c r="L132" s="14"/>
      <c r="M132" s="14"/>
      <c r="N132" s="15">
        <f t="shared" si="3"/>
        <v>0.68500000000000005</v>
      </c>
      <c r="O132" s="16" t="s">
        <v>26</v>
      </c>
    </row>
    <row r="133" spans="1:15" x14ac:dyDescent="0.35">
      <c r="A133" s="7" t="s">
        <v>489</v>
      </c>
      <c r="B133" s="8" t="s">
        <v>31</v>
      </c>
      <c r="C133" s="9" t="s">
        <v>32</v>
      </c>
      <c r="D133" s="9" t="s">
        <v>33</v>
      </c>
      <c r="E133" s="10" t="s">
        <v>34</v>
      </c>
      <c r="F133" s="8" t="s">
        <v>51</v>
      </c>
      <c r="G133" s="11" t="s">
        <v>490</v>
      </c>
      <c r="H133" s="12" t="s">
        <v>491</v>
      </c>
      <c r="I133" s="8" t="s">
        <v>492</v>
      </c>
      <c r="J133" s="13" t="s">
        <v>44</v>
      </c>
      <c r="K133" s="14">
        <v>0.41</v>
      </c>
      <c r="L133" s="14"/>
      <c r="M133" s="14"/>
      <c r="N133" s="15">
        <f t="shared" ref="N133:N156" si="4">K133+L133+M133</f>
        <v>0.41</v>
      </c>
      <c r="O133" s="16" t="s">
        <v>26</v>
      </c>
    </row>
    <row r="134" spans="1:15" x14ac:dyDescent="0.35">
      <c r="A134" s="7" t="s">
        <v>493</v>
      </c>
      <c r="B134" s="8" t="s">
        <v>31</v>
      </c>
      <c r="C134" s="9" t="s">
        <v>32</v>
      </c>
      <c r="D134" s="9" t="s">
        <v>33</v>
      </c>
      <c r="E134" s="10" t="s">
        <v>34</v>
      </c>
      <c r="F134" s="8" t="s">
        <v>51</v>
      </c>
      <c r="G134" s="11" t="s">
        <v>494</v>
      </c>
      <c r="H134" s="12" t="s">
        <v>495</v>
      </c>
      <c r="I134" s="8" t="s">
        <v>496</v>
      </c>
      <c r="J134" s="13" t="s">
        <v>44</v>
      </c>
      <c r="K134" s="14">
        <v>0.95</v>
      </c>
      <c r="L134" s="14"/>
      <c r="M134" s="14"/>
      <c r="N134" s="15">
        <f t="shared" si="4"/>
        <v>0.95</v>
      </c>
      <c r="O134" s="16" t="s">
        <v>26</v>
      </c>
    </row>
    <row r="135" spans="1:15" x14ac:dyDescent="0.35">
      <c r="A135" s="7" t="s">
        <v>497</v>
      </c>
      <c r="B135" s="8" t="s">
        <v>31</v>
      </c>
      <c r="C135" s="9" t="s">
        <v>32</v>
      </c>
      <c r="D135" s="9" t="s">
        <v>33</v>
      </c>
      <c r="E135" s="10" t="s">
        <v>34</v>
      </c>
      <c r="F135" s="8" t="s">
        <v>51</v>
      </c>
      <c r="G135" s="11" t="s">
        <v>498</v>
      </c>
      <c r="H135" s="12" t="s">
        <v>499</v>
      </c>
      <c r="I135" s="8" t="s">
        <v>500</v>
      </c>
      <c r="J135" s="13" t="s">
        <v>44</v>
      </c>
      <c r="K135" s="14">
        <v>0.66600000000000004</v>
      </c>
      <c r="L135" s="14"/>
      <c r="M135" s="14"/>
      <c r="N135" s="15">
        <f t="shared" si="4"/>
        <v>0.66600000000000004</v>
      </c>
      <c r="O135" s="16" t="s">
        <v>26</v>
      </c>
    </row>
    <row r="136" spans="1:15" x14ac:dyDescent="0.35">
      <c r="A136" s="7" t="s">
        <v>501</v>
      </c>
      <c r="B136" s="8" t="s">
        <v>31</v>
      </c>
      <c r="C136" s="9" t="s">
        <v>32</v>
      </c>
      <c r="D136" s="9" t="s">
        <v>33</v>
      </c>
      <c r="E136" s="10" t="s">
        <v>34</v>
      </c>
      <c r="F136" s="8" t="s">
        <v>157</v>
      </c>
      <c r="G136" s="11" t="s">
        <v>134</v>
      </c>
      <c r="H136" s="12" t="s">
        <v>502</v>
      </c>
      <c r="I136" s="8" t="s">
        <v>503</v>
      </c>
      <c r="J136" s="13" t="s">
        <v>44</v>
      </c>
      <c r="K136" s="14">
        <v>0.57799999999999996</v>
      </c>
      <c r="L136" s="14"/>
      <c r="M136" s="14"/>
      <c r="N136" s="15">
        <f t="shared" si="4"/>
        <v>0.57799999999999996</v>
      </c>
      <c r="O136" s="16" t="s">
        <v>26</v>
      </c>
    </row>
    <row r="137" spans="1:15" x14ac:dyDescent="0.35">
      <c r="A137" s="7" t="s">
        <v>504</v>
      </c>
      <c r="B137" s="8" t="s">
        <v>31</v>
      </c>
      <c r="C137" s="9" t="s">
        <v>32</v>
      </c>
      <c r="D137" s="9" t="s">
        <v>33</v>
      </c>
      <c r="E137" s="10" t="s">
        <v>34</v>
      </c>
      <c r="F137" s="8" t="s">
        <v>35</v>
      </c>
      <c r="G137" s="11" t="s">
        <v>55</v>
      </c>
      <c r="H137" s="12" t="s">
        <v>505</v>
      </c>
      <c r="I137" s="8" t="s">
        <v>506</v>
      </c>
      <c r="J137" s="13" t="s">
        <v>44</v>
      </c>
      <c r="K137" s="14">
        <v>0.26</v>
      </c>
      <c r="L137" s="14"/>
      <c r="M137" s="14"/>
      <c r="N137" s="15">
        <f t="shared" si="4"/>
        <v>0.26</v>
      </c>
      <c r="O137" s="16" t="s">
        <v>26</v>
      </c>
    </row>
    <row r="138" spans="1:15" x14ac:dyDescent="0.35">
      <c r="A138" s="7" t="s">
        <v>507</v>
      </c>
      <c r="B138" s="8" t="s">
        <v>31</v>
      </c>
      <c r="C138" s="9" t="s">
        <v>32</v>
      </c>
      <c r="D138" s="9" t="s">
        <v>33</v>
      </c>
      <c r="E138" s="10" t="s">
        <v>34</v>
      </c>
      <c r="F138" s="8" t="s">
        <v>157</v>
      </c>
      <c r="G138" s="11" t="s">
        <v>390</v>
      </c>
      <c r="H138" s="12" t="s">
        <v>508</v>
      </c>
      <c r="I138" s="8" t="s">
        <v>509</v>
      </c>
      <c r="J138" s="13" t="s">
        <v>44</v>
      </c>
      <c r="K138" s="14">
        <v>0.434</v>
      </c>
      <c r="L138" s="14"/>
      <c r="M138" s="14"/>
      <c r="N138" s="15">
        <f t="shared" si="4"/>
        <v>0.434</v>
      </c>
      <c r="O138" s="16" t="s">
        <v>26</v>
      </c>
    </row>
    <row r="139" spans="1:15" x14ac:dyDescent="0.35">
      <c r="A139" s="7" t="s">
        <v>510</v>
      </c>
      <c r="B139" s="8" t="s">
        <v>31</v>
      </c>
      <c r="C139" s="9" t="s">
        <v>32</v>
      </c>
      <c r="D139" s="9" t="s">
        <v>33</v>
      </c>
      <c r="E139" s="10" t="s">
        <v>34</v>
      </c>
      <c r="F139" s="8" t="s">
        <v>35</v>
      </c>
      <c r="G139" s="11" t="s">
        <v>83</v>
      </c>
      <c r="H139" s="12" t="s">
        <v>511</v>
      </c>
      <c r="I139" s="8" t="s">
        <v>512</v>
      </c>
      <c r="J139" s="13" t="s">
        <v>44</v>
      </c>
      <c r="K139" s="14">
        <v>0.63800000000000001</v>
      </c>
      <c r="L139" s="14"/>
      <c r="M139" s="14"/>
      <c r="N139" s="15">
        <f t="shared" si="4"/>
        <v>0.63800000000000001</v>
      </c>
      <c r="O139" s="16" t="s">
        <v>26</v>
      </c>
    </row>
    <row r="140" spans="1:15" x14ac:dyDescent="0.35">
      <c r="A140" s="7" t="s">
        <v>513</v>
      </c>
      <c r="B140" s="8" t="s">
        <v>31</v>
      </c>
      <c r="C140" s="9" t="s">
        <v>32</v>
      </c>
      <c r="D140" s="9" t="s">
        <v>33</v>
      </c>
      <c r="E140" s="10" t="s">
        <v>34</v>
      </c>
      <c r="F140" s="8" t="s">
        <v>157</v>
      </c>
      <c r="G140" s="11" t="s">
        <v>394</v>
      </c>
      <c r="H140" s="12" t="s">
        <v>514</v>
      </c>
      <c r="I140" s="8" t="s">
        <v>515</v>
      </c>
      <c r="J140" s="13" t="s">
        <v>44</v>
      </c>
      <c r="K140" s="14">
        <v>0.434</v>
      </c>
      <c r="L140" s="14"/>
      <c r="M140" s="14"/>
      <c r="N140" s="15">
        <f t="shared" si="4"/>
        <v>0.434</v>
      </c>
      <c r="O140" s="16" t="s">
        <v>26</v>
      </c>
    </row>
    <row r="141" spans="1:15" x14ac:dyDescent="0.35">
      <c r="A141" s="7" t="s">
        <v>516</v>
      </c>
      <c r="B141" s="8" t="s">
        <v>31</v>
      </c>
      <c r="C141" s="9" t="s">
        <v>32</v>
      </c>
      <c r="D141" s="9" t="s">
        <v>33</v>
      </c>
      <c r="E141" s="10" t="s">
        <v>34</v>
      </c>
      <c r="F141" s="8" t="s">
        <v>35</v>
      </c>
      <c r="G141" s="11" t="s">
        <v>91</v>
      </c>
      <c r="H141" s="12" t="s">
        <v>517</v>
      </c>
      <c r="I141" s="8" t="s">
        <v>518</v>
      </c>
      <c r="J141" s="13" t="s">
        <v>44</v>
      </c>
      <c r="K141" s="14">
        <v>0.86599999999999999</v>
      </c>
      <c r="L141" s="14"/>
      <c r="M141" s="14"/>
      <c r="N141" s="15">
        <f t="shared" si="4"/>
        <v>0.86599999999999999</v>
      </c>
      <c r="O141" s="16" t="s">
        <v>26</v>
      </c>
    </row>
    <row r="142" spans="1:15" x14ac:dyDescent="0.35">
      <c r="A142" s="7" t="s">
        <v>519</v>
      </c>
      <c r="B142" s="8" t="s">
        <v>31</v>
      </c>
      <c r="C142" s="9" t="s">
        <v>32</v>
      </c>
      <c r="D142" s="9" t="s">
        <v>33</v>
      </c>
      <c r="E142" s="10" t="s">
        <v>34</v>
      </c>
      <c r="F142" s="8" t="s">
        <v>157</v>
      </c>
      <c r="G142" s="11" t="s">
        <v>398</v>
      </c>
      <c r="H142" s="12" t="s">
        <v>520</v>
      </c>
      <c r="I142" s="8" t="s">
        <v>521</v>
      </c>
      <c r="J142" s="13" t="s">
        <v>44</v>
      </c>
      <c r="K142" s="14">
        <v>0.61199999999999999</v>
      </c>
      <c r="L142" s="14"/>
      <c r="M142" s="14"/>
      <c r="N142" s="15">
        <f t="shared" si="4"/>
        <v>0.61199999999999999</v>
      </c>
      <c r="O142" s="16" t="s">
        <v>26</v>
      </c>
    </row>
    <row r="143" spans="1:15" x14ac:dyDescent="0.35">
      <c r="A143" s="7" t="s">
        <v>522</v>
      </c>
      <c r="B143" s="8" t="s">
        <v>31</v>
      </c>
      <c r="C143" s="9" t="s">
        <v>32</v>
      </c>
      <c r="D143" s="9" t="s">
        <v>33</v>
      </c>
      <c r="E143" s="10" t="s">
        <v>34</v>
      </c>
      <c r="F143" s="8" t="s">
        <v>35</v>
      </c>
      <c r="G143" s="11" t="s">
        <v>99</v>
      </c>
      <c r="H143" s="12" t="s">
        <v>523</v>
      </c>
      <c r="I143" s="8" t="s">
        <v>524</v>
      </c>
      <c r="J143" s="13" t="s">
        <v>44</v>
      </c>
      <c r="K143" s="14">
        <v>0.81799999999999995</v>
      </c>
      <c r="L143" s="14"/>
      <c r="M143" s="14"/>
      <c r="N143" s="15">
        <f t="shared" si="4"/>
        <v>0.81799999999999995</v>
      </c>
      <c r="O143" s="16" t="s">
        <v>26</v>
      </c>
    </row>
    <row r="144" spans="1:15" x14ac:dyDescent="0.35">
      <c r="A144" s="7" t="s">
        <v>525</v>
      </c>
      <c r="B144" s="8" t="s">
        <v>31</v>
      </c>
      <c r="C144" s="9" t="s">
        <v>32</v>
      </c>
      <c r="D144" s="9" t="s">
        <v>33</v>
      </c>
      <c r="E144" s="10" t="s">
        <v>34</v>
      </c>
      <c r="F144" s="8" t="s">
        <v>157</v>
      </c>
      <c r="G144" s="11" t="s">
        <v>91</v>
      </c>
      <c r="H144" s="12" t="s">
        <v>526</v>
      </c>
      <c r="I144" s="8" t="s">
        <v>527</v>
      </c>
      <c r="J144" s="13" t="s">
        <v>44</v>
      </c>
      <c r="K144" s="14">
        <v>0.41</v>
      </c>
      <c r="L144" s="14"/>
      <c r="M144" s="14"/>
      <c r="N144" s="15">
        <f t="shared" si="4"/>
        <v>0.41</v>
      </c>
      <c r="O144" s="16" t="s">
        <v>26</v>
      </c>
    </row>
    <row r="145" spans="1:15" x14ac:dyDescent="0.35">
      <c r="A145" s="7" t="s">
        <v>528</v>
      </c>
      <c r="B145" s="8" t="s">
        <v>31</v>
      </c>
      <c r="C145" s="9" t="s">
        <v>32</v>
      </c>
      <c r="D145" s="9" t="s">
        <v>33</v>
      </c>
      <c r="E145" s="10" t="s">
        <v>34</v>
      </c>
      <c r="F145" s="8" t="s">
        <v>157</v>
      </c>
      <c r="G145" s="11" t="s">
        <v>402</v>
      </c>
      <c r="H145" s="12" t="s">
        <v>529</v>
      </c>
      <c r="I145" s="8" t="s">
        <v>530</v>
      </c>
      <c r="J145" s="13" t="s">
        <v>44</v>
      </c>
      <c r="K145" s="14">
        <v>0.49199999999999999</v>
      </c>
      <c r="L145" s="14"/>
      <c r="M145" s="14"/>
      <c r="N145" s="15">
        <f t="shared" si="4"/>
        <v>0.49199999999999999</v>
      </c>
      <c r="O145" s="16" t="s">
        <v>26</v>
      </c>
    </row>
    <row r="146" spans="1:15" x14ac:dyDescent="0.35">
      <c r="A146" s="7" t="s">
        <v>531</v>
      </c>
      <c r="B146" s="8" t="s">
        <v>31</v>
      </c>
      <c r="C146" s="9" t="s">
        <v>32</v>
      </c>
      <c r="D146" s="9" t="s">
        <v>33</v>
      </c>
      <c r="E146" s="10" t="s">
        <v>34</v>
      </c>
      <c r="F146" s="8" t="s">
        <v>35</v>
      </c>
      <c r="G146" s="11" t="s">
        <v>107</v>
      </c>
      <c r="H146" s="12" t="s">
        <v>532</v>
      </c>
      <c r="I146" s="8" t="s">
        <v>533</v>
      </c>
      <c r="J146" s="13" t="s">
        <v>44</v>
      </c>
      <c r="K146" s="14">
        <v>0.30599999999999999</v>
      </c>
      <c r="L146" s="14"/>
      <c r="M146" s="14"/>
      <c r="N146" s="15">
        <f t="shared" si="4"/>
        <v>0.30599999999999999</v>
      </c>
      <c r="O146" s="16" t="s">
        <v>26</v>
      </c>
    </row>
    <row r="147" spans="1:15" x14ac:dyDescent="0.35">
      <c r="A147" s="7" t="s">
        <v>534</v>
      </c>
      <c r="B147" s="8" t="s">
        <v>31</v>
      </c>
      <c r="C147" s="9" t="s">
        <v>32</v>
      </c>
      <c r="D147" s="9" t="s">
        <v>33</v>
      </c>
      <c r="E147" s="10" t="s">
        <v>34</v>
      </c>
      <c r="F147" s="8" t="s">
        <v>157</v>
      </c>
      <c r="G147" s="11" t="s">
        <v>99</v>
      </c>
      <c r="H147" s="12" t="s">
        <v>535</v>
      </c>
      <c r="I147" s="8" t="s">
        <v>536</v>
      </c>
      <c r="J147" s="13" t="s">
        <v>44</v>
      </c>
      <c r="K147" s="14">
        <v>0.56000000000000005</v>
      </c>
      <c r="L147" s="14"/>
      <c r="M147" s="14"/>
      <c r="N147" s="15">
        <f t="shared" si="4"/>
        <v>0.56000000000000005</v>
      </c>
      <c r="O147" s="16" t="s">
        <v>26</v>
      </c>
    </row>
    <row r="148" spans="1:15" x14ac:dyDescent="0.35">
      <c r="A148" s="7" t="s">
        <v>537</v>
      </c>
      <c r="B148" s="8" t="s">
        <v>31</v>
      </c>
      <c r="C148" s="9" t="s">
        <v>32</v>
      </c>
      <c r="D148" s="9" t="s">
        <v>33</v>
      </c>
      <c r="E148" s="10" t="s">
        <v>34</v>
      </c>
      <c r="F148" s="8" t="s">
        <v>157</v>
      </c>
      <c r="G148" s="11" t="s">
        <v>122</v>
      </c>
      <c r="H148" s="12" t="s">
        <v>538</v>
      </c>
      <c r="I148" s="8" t="s">
        <v>539</v>
      </c>
      <c r="J148" s="13" t="s">
        <v>44</v>
      </c>
      <c r="K148" s="14">
        <v>0.434</v>
      </c>
      <c r="L148" s="14"/>
      <c r="M148" s="14"/>
      <c r="N148" s="15">
        <f t="shared" si="4"/>
        <v>0.434</v>
      </c>
      <c r="O148" s="16" t="s">
        <v>26</v>
      </c>
    </row>
    <row r="149" spans="1:15" x14ac:dyDescent="0.35">
      <c r="A149" s="7" t="s">
        <v>540</v>
      </c>
      <c r="B149" s="8" t="s">
        <v>31</v>
      </c>
      <c r="C149" s="9" t="s">
        <v>32</v>
      </c>
      <c r="D149" s="9" t="s">
        <v>33</v>
      </c>
      <c r="E149" s="10" t="s">
        <v>34</v>
      </c>
      <c r="F149" s="8" t="s">
        <v>46</v>
      </c>
      <c r="G149" s="11" t="s">
        <v>64</v>
      </c>
      <c r="H149" s="12" t="s">
        <v>541</v>
      </c>
      <c r="I149" s="8" t="s">
        <v>542</v>
      </c>
      <c r="J149" s="13" t="s">
        <v>44</v>
      </c>
      <c r="K149" s="14">
        <v>0.40200000000000002</v>
      </c>
      <c r="L149" s="14"/>
      <c r="M149" s="14"/>
      <c r="N149" s="15">
        <f t="shared" si="4"/>
        <v>0.40200000000000002</v>
      </c>
      <c r="O149" s="16" t="s">
        <v>26</v>
      </c>
    </row>
    <row r="150" spans="1:15" ht="29" x14ac:dyDescent="0.35">
      <c r="A150" s="7" t="s">
        <v>543</v>
      </c>
      <c r="B150" s="8" t="s">
        <v>544</v>
      </c>
      <c r="C150" s="9" t="s">
        <v>545</v>
      </c>
      <c r="D150" s="9" t="s">
        <v>546</v>
      </c>
      <c r="E150" s="10" t="s">
        <v>545</v>
      </c>
      <c r="F150" s="8"/>
      <c r="G150" s="11"/>
      <c r="H150" s="12" t="s">
        <v>547</v>
      </c>
      <c r="I150" s="8" t="s">
        <v>548</v>
      </c>
      <c r="J150" s="13" t="s">
        <v>259</v>
      </c>
      <c r="K150" s="14">
        <f>400*19.11%</f>
        <v>76.44</v>
      </c>
      <c r="L150" s="14">
        <f>400*10.68%</f>
        <v>42.72</v>
      </c>
      <c r="M150" s="14">
        <f>400*70.21%</f>
        <v>280.83999999999997</v>
      </c>
      <c r="N150" s="15">
        <f t="shared" si="4"/>
        <v>400</v>
      </c>
      <c r="O150" s="28" t="s">
        <v>549</v>
      </c>
    </row>
    <row r="151" spans="1:15" ht="29" x14ac:dyDescent="0.35">
      <c r="A151" s="7" t="s">
        <v>550</v>
      </c>
      <c r="B151" s="8" t="s">
        <v>544</v>
      </c>
      <c r="C151" s="9" t="s">
        <v>545</v>
      </c>
      <c r="D151" s="9" t="s">
        <v>546</v>
      </c>
      <c r="E151" s="10" t="s">
        <v>545</v>
      </c>
      <c r="F151" s="8"/>
      <c r="G151" s="11"/>
      <c r="H151" s="12" t="s">
        <v>551</v>
      </c>
      <c r="I151" s="8" t="s">
        <v>552</v>
      </c>
      <c r="J151" s="13" t="s">
        <v>259</v>
      </c>
      <c r="K151" s="14">
        <f>300*19.11%</f>
        <v>57.33</v>
      </c>
      <c r="L151" s="14">
        <f>300*10.68%</f>
        <v>32.04</v>
      </c>
      <c r="M151" s="14">
        <f>300*70.21%</f>
        <v>210.63</v>
      </c>
      <c r="N151" s="15">
        <f t="shared" si="4"/>
        <v>300</v>
      </c>
      <c r="O151" s="28" t="s">
        <v>549</v>
      </c>
    </row>
    <row r="152" spans="1:15" x14ac:dyDescent="0.35">
      <c r="A152" s="7" t="s">
        <v>553</v>
      </c>
      <c r="B152" s="8" t="s">
        <v>31</v>
      </c>
      <c r="C152" s="9" t="s">
        <v>32</v>
      </c>
      <c r="D152" s="9" t="s">
        <v>33</v>
      </c>
      <c r="E152" s="10" t="s">
        <v>34</v>
      </c>
      <c r="F152" s="8" t="s">
        <v>59</v>
      </c>
      <c r="G152" s="11" t="s">
        <v>99</v>
      </c>
      <c r="H152" s="12" t="s">
        <v>554</v>
      </c>
      <c r="I152" s="8" t="s">
        <v>555</v>
      </c>
      <c r="J152" s="13" t="s">
        <v>44</v>
      </c>
      <c r="K152" s="14">
        <v>0.6</v>
      </c>
      <c r="L152" s="14"/>
      <c r="M152" s="14"/>
      <c r="N152" s="15">
        <f t="shared" si="4"/>
        <v>0.6</v>
      </c>
      <c r="O152" s="28" t="s">
        <v>26</v>
      </c>
    </row>
    <row r="153" spans="1:15" x14ac:dyDescent="0.35">
      <c r="A153" s="7" t="s">
        <v>556</v>
      </c>
      <c r="B153" s="8" t="s">
        <v>557</v>
      </c>
      <c r="C153" s="9" t="s">
        <v>271</v>
      </c>
      <c r="D153" s="9" t="s">
        <v>558</v>
      </c>
      <c r="E153" s="10" t="s">
        <v>559</v>
      </c>
      <c r="F153" s="8" t="s">
        <v>560</v>
      </c>
      <c r="G153" s="11"/>
      <c r="H153" s="12" t="s">
        <v>561</v>
      </c>
      <c r="I153" s="8" t="s">
        <v>562</v>
      </c>
      <c r="J153" s="13" t="s">
        <v>39</v>
      </c>
      <c r="K153" s="14">
        <f>146*30.04%</f>
        <v>43.858400000000003</v>
      </c>
      <c r="L153" s="14">
        <f>146*69.96%</f>
        <v>102.14159999999998</v>
      </c>
      <c r="M153" s="14"/>
      <c r="N153" s="15">
        <f t="shared" si="4"/>
        <v>146</v>
      </c>
      <c r="O153" s="28" t="s">
        <v>260</v>
      </c>
    </row>
    <row r="154" spans="1:15" x14ac:dyDescent="0.35">
      <c r="A154" s="7" t="s">
        <v>563</v>
      </c>
      <c r="B154" s="8" t="s">
        <v>557</v>
      </c>
      <c r="C154" s="9" t="s">
        <v>271</v>
      </c>
      <c r="D154" s="9" t="s">
        <v>558</v>
      </c>
      <c r="E154" s="10" t="s">
        <v>559</v>
      </c>
      <c r="F154" s="8" t="s">
        <v>560</v>
      </c>
      <c r="G154" s="11"/>
      <c r="H154" s="12" t="s">
        <v>564</v>
      </c>
      <c r="I154" s="8" t="s">
        <v>565</v>
      </c>
      <c r="J154" s="13" t="s">
        <v>566</v>
      </c>
      <c r="K154" s="14">
        <f>50*29.02%</f>
        <v>14.510000000000002</v>
      </c>
      <c r="L154" s="14">
        <f>50*70.98%</f>
        <v>35.49</v>
      </c>
      <c r="M154" s="14"/>
      <c r="N154" s="15">
        <f t="shared" si="4"/>
        <v>50</v>
      </c>
      <c r="O154" s="28" t="s">
        <v>260</v>
      </c>
    </row>
    <row r="155" spans="1:15" s="22" customFormat="1" ht="43.5" x14ac:dyDescent="0.35">
      <c r="A155" s="7" t="s">
        <v>567</v>
      </c>
      <c r="B155" s="10" t="s">
        <v>568</v>
      </c>
      <c r="C155" s="9" t="s">
        <v>271</v>
      </c>
      <c r="D155" s="9" t="s">
        <v>286</v>
      </c>
      <c r="E155" s="10" t="s">
        <v>287</v>
      </c>
      <c r="F155" s="10" t="s">
        <v>569</v>
      </c>
      <c r="G155" s="9"/>
      <c r="H155" s="10" t="s">
        <v>570</v>
      </c>
      <c r="I155" s="23" t="s">
        <v>571</v>
      </c>
      <c r="J155" s="18" t="s">
        <v>259</v>
      </c>
      <c r="K155" s="19">
        <f>999.99*19.11%</f>
        <v>191.09808899999999</v>
      </c>
      <c r="L155" s="19">
        <f>999.99*10.68%</f>
        <v>106.79893199999999</v>
      </c>
      <c r="M155" s="19">
        <f>999.99*70.21%</f>
        <v>702.0929789999999</v>
      </c>
      <c r="N155" s="20">
        <f t="shared" si="4"/>
        <v>999.9899999999999</v>
      </c>
      <c r="O155" s="29" t="s">
        <v>572</v>
      </c>
    </row>
    <row r="156" spans="1:15" s="22" customFormat="1" ht="43.5" x14ac:dyDescent="0.35">
      <c r="A156" s="7" t="s">
        <v>573</v>
      </c>
      <c r="B156" s="10" t="s">
        <v>568</v>
      </c>
      <c r="C156" s="9" t="s">
        <v>271</v>
      </c>
      <c r="D156" s="9" t="s">
        <v>286</v>
      </c>
      <c r="E156" s="10" t="s">
        <v>287</v>
      </c>
      <c r="F156" s="10" t="s">
        <v>569</v>
      </c>
      <c r="G156" s="9"/>
      <c r="H156" s="10" t="s">
        <v>574</v>
      </c>
      <c r="I156" s="23" t="s">
        <v>575</v>
      </c>
      <c r="J156" s="18" t="s">
        <v>259</v>
      </c>
      <c r="K156" s="19">
        <f>2000*19.11%</f>
        <v>382.2</v>
      </c>
      <c r="L156" s="19">
        <f>2000*10.68%</f>
        <v>213.6</v>
      </c>
      <c r="M156" s="19">
        <f>2000*70.21%</f>
        <v>1404.1999999999998</v>
      </c>
      <c r="N156" s="20">
        <f t="shared" si="4"/>
        <v>1999.9999999999998</v>
      </c>
      <c r="O156" s="29" t="s">
        <v>572</v>
      </c>
    </row>
    <row r="157" spans="1:15" x14ac:dyDescent="0.35">
      <c r="M157" s="25" t="s">
        <v>576</v>
      </c>
      <c r="N157" s="26">
        <f>SUM(N5:N156)</f>
        <v>12400.617</v>
      </c>
    </row>
  </sheetData>
  <mergeCells count="6">
    <mergeCell ref="O3:O4"/>
    <mergeCell ref="B3:B4"/>
    <mergeCell ref="C3:G3"/>
    <mergeCell ref="I3:I4"/>
    <mergeCell ref="J3:J4"/>
    <mergeCell ref="K3:N3"/>
  </mergeCells>
  <dataValidations count="3">
    <dataValidation type="textLength" operator="lessThanOrEqual" allowBlank="1" showInputMessage="1" showErrorMessage="1" errorTitle="Przekroczono limit znaków" error="Przekroczono maksymalną liczbę 7 znaków w numerze. Proszę skrócić numer!" promptTitle="Limit znaków" prompt="Długość numeru nie może przekraczać 7 znaków" sqref="F5:G156" xr:uid="{00000000-0002-0000-0000-000000000000}">
      <formula1>7</formula1>
    </dataValidation>
    <dataValidation type="list" allowBlank="1" showInputMessage="1" showErrorMessage="1" sqref="J5:J156" xr:uid="{00000000-0002-0000-0000-000001000000}">
      <formula1>taryfy</formula1>
    </dataValidation>
    <dataValidation type="list" allowBlank="1" showInputMessage="1" showErrorMessage="1" sqref="O5:O156" xr:uid="{00000000-0002-0000-0000-000002000000}">
      <formula1>osd</formula1>
    </dataValidation>
  </dataValidations>
  <pageMargins left="0.25" right="0.25" top="0.75" bottom="0.75" header="0.3" footer="0.3"/>
  <pageSetup paperSize="9" scale="69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505E-D24E-48BA-AF78-ED04602B89FE}">
  <sheetPr>
    <pageSetUpPr fitToPage="1"/>
  </sheetPr>
  <dimension ref="A1:M25"/>
  <sheetViews>
    <sheetView topLeftCell="B17" zoomScale="70" zoomScaleNormal="70" workbookViewId="0">
      <selection activeCell="H26" sqref="H26"/>
    </sheetView>
  </sheetViews>
  <sheetFormatPr defaultRowHeight="14.5" x14ac:dyDescent="0.35"/>
  <cols>
    <col min="1" max="1" width="5.54296875" customWidth="1"/>
    <col min="2" max="2" width="32.08984375" customWidth="1"/>
    <col min="3" max="3" width="25.81640625" customWidth="1"/>
    <col min="4" max="4" width="18.26953125" customWidth="1"/>
    <col min="5" max="5" width="33.26953125" customWidth="1"/>
    <col min="6" max="6" width="35.1796875" customWidth="1"/>
    <col min="7" max="7" width="18.54296875" customWidth="1"/>
    <col min="8" max="8" width="20.36328125" customWidth="1"/>
    <col min="9" max="9" width="28.26953125" customWidth="1"/>
    <col min="10" max="10" width="24.7265625" customWidth="1"/>
    <col min="11" max="11" width="12.81640625" customWidth="1"/>
    <col min="12" max="12" width="25.90625" customWidth="1"/>
    <col min="13" max="13" width="17.1796875" customWidth="1"/>
  </cols>
  <sheetData>
    <row r="1" spans="1:13" x14ac:dyDescent="0.35">
      <c r="A1" t="s">
        <v>577</v>
      </c>
    </row>
    <row r="2" spans="1:13" x14ac:dyDescent="0.35">
      <c r="A2" t="s">
        <v>743</v>
      </c>
    </row>
    <row r="3" spans="1:13" ht="50" x14ac:dyDescent="0.35">
      <c r="A3" s="46" t="s">
        <v>641</v>
      </c>
      <c r="B3" s="32" t="s">
        <v>642</v>
      </c>
      <c r="C3" s="31" t="s">
        <v>643</v>
      </c>
      <c r="D3" s="31" t="s">
        <v>644</v>
      </c>
      <c r="E3" s="31" t="s">
        <v>580</v>
      </c>
      <c r="F3" s="31" t="s">
        <v>581</v>
      </c>
      <c r="G3" s="32" t="s">
        <v>12</v>
      </c>
      <c r="H3" s="31" t="s">
        <v>582</v>
      </c>
      <c r="I3" s="33" t="s">
        <v>583</v>
      </c>
      <c r="J3" s="31" t="s">
        <v>584</v>
      </c>
      <c r="K3" s="34" t="s">
        <v>585</v>
      </c>
      <c r="L3" s="33" t="s">
        <v>586</v>
      </c>
      <c r="M3" s="33" t="s">
        <v>587</v>
      </c>
    </row>
    <row r="4" spans="1:13" ht="37.5" x14ac:dyDescent="0.35">
      <c r="A4" s="54">
        <v>1</v>
      </c>
      <c r="B4" s="35" t="s">
        <v>645</v>
      </c>
      <c r="C4" s="35" t="s">
        <v>646</v>
      </c>
      <c r="D4" s="35" t="s">
        <v>646</v>
      </c>
      <c r="E4" s="35" t="s">
        <v>647</v>
      </c>
      <c r="F4" s="47">
        <v>5.903224291E+17</v>
      </c>
      <c r="G4" s="35">
        <v>96482949</v>
      </c>
      <c r="H4" s="36" t="s">
        <v>648</v>
      </c>
      <c r="I4" s="37" t="s">
        <v>649</v>
      </c>
      <c r="J4" s="38">
        <v>420</v>
      </c>
      <c r="K4" s="35" t="s">
        <v>615</v>
      </c>
      <c r="L4" s="39"/>
      <c r="M4" s="37" t="s">
        <v>650</v>
      </c>
    </row>
    <row r="5" spans="1:13" ht="50" x14ac:dyDescent="0.35">
      <c r="A5" s="54">
        <v>2</v>
      </c>
      <c r="B5" s="35" t="s">
        <v>651</v>
      </c>
      <c r="C5" s="35" t="s">
        <v>652</v>
      </c>
      <c r="D5" s="35" t="s">
        <v>653</v>
      </c>
      <c r="E5" s="35" t="s">
        <v>654</v>
      </c>
      <c r="F5" s="35" t="s">
        <v>655</v>
      </c>
      <c r="G5" s="35">
        <v>4143689</v>
      </c>
      <c r="H5" s="36" t="s">
        <v>656</v>
      </c>
      <c r="I5" s="37" t="s">
        <v>657</v>
      </c>
      <c r="J5" s="38">
        <v>89.34</v>
      </c>
      <c r="K5" s="35" t="s">
        <v>623</v>
      </c>
      <c r="L5" s="39"/>
      <c r="M5" s="39" t="s">
        <v>658</v>
      </c>
    </row>
    <row r="6" spans="1:13" ht="50" x14ac:dyDescent="0.35">
      <c r="A6" s="54">
        <v>3</v>
      </c>
      <c r="B6" s="35" t="s">
        <v>651</v>
      </c>
      <c r="C6" s="35" t="s">
        <v>652</v>
      </c>
      <c r="D6" s="35" t="s">
        <v>653</v>
      </c>
      <c r="E6" s="35" t="s">
        <v>654</v>
      </c>
      <c r="F6" s="35" t="s">
        <v>659</v>
      </c>
      <c r="G6" s="35">
        <v>10008371</v>
      </c>
      <c r="H6" s="36" t="s">
        <v>656</v>
      </c>
      <c r="I6" s="37" t="s">
        <v>657</v>
      </c>
      <c r="J6" s="38">
        <v>1.65</v>
      </c>
      <c r="K6" s="36" t="s">
        <v>44</v>
      </c>
      <c r="L6" s="39"/>
      <c r="M6" s="39" t="s">
        <v>658</v>
      </c>
    </row>
    <row r="7" spans="1:13" ht="37.5" x14ac:dyDescent="0.35">
      <c r="A7" s="54">
        <v>4</v>
      </c>
      <c r="B7" s="35" t="s">
        <v>660</v>
      </c>
      <c r="C7" s="35" t="s">
        <v>661</v>
      </c>
      <c r="D7" s="35" t="s">
        <v>661</v>
      </c>
      <c r="E7" s="35" t="s">
        <v>662</v>
      </c>
      <c r="F7" s="35" t="s">
        <v>663</v>
      </c>
      <c r="G7" s="35">
        <v>95308023</v>
      </c>
      <c r="H7" s="36" t="s">
        <v>664</v>
      </c>
      <c r="I7" s="37" t="s">
        <v>665</v>
      </c>
      <c r="J7" s="38">
        <v>66</v>
      </c>
      <c r="K7" s="35" t="s">
        <v>666</v>
      </c>
      <c r="L7" s="39"/>
      <c r="M7" s="37" t="s">
        <v>667</v>
      </c>
    </row>
    <row r="8" spans="1:13" ht="37.5" x14ac:dyDescent="0.35">
      <c r="A8" s="54">
        <v>5</v>
      </c>
      <c r="B8" s="35" t="s">
        <v>660</v>
      </c>
      <c r="C8" s="35" t="s">
        <v>661</v>
      </c>
      <c r="D8" s="35" t="s">
        <v>661</v>
      </c>
      <c r="E8" s="35" t="s">
        <v>668</v>
      </c>
      <c r="F8" s="35" t="s">
        <v>669</v>
      </c>
      <c r="G8" s="35">
        <v>97723331</v>
      </c>
      <c r="H8" s="36" t="s">
        <v>664</v>
      </c>
      <c r="I8" s="37" t="s">
        <v>665</v>
      </c>
      <c r="J8" s="38">
        <v>15</v>
      </c>
      <c r="K8" s="35" t="s">
        <v>666</v>
      </c>
      <c r="L8" s="41"/>
      <c r="M8" s="37" t="s">
        <v>667</v>
      </c>
    </row>
    <row r="9" spans="1:13" ht="50" x14ac:dyDescent="0.35">
      <c r="A9" s="54">
        <v>6</v>
      </c>
      <c r="B9" s="35" t="s">
        <v>670</v>
      </c>
      <c r="C9" s="35" t="s">
        <v>671</v>
      </c>
      <c r="D9" s="35" t="s">
        <v>672</v>
      </c>
      <c r="E9" s="35" t="s">
        <v>670</v>
      </c>
      <c r="F9" s="35" t="s">
        <v>673</v>
      </c>
      <c r="G9" s="35">
        <v>56292808</v>
      </c>
      <c r="H9" s="36" t="s">
        <v>674</v>
      </c>
      <c r="I9" s="48" t="s">
        <v>675</v>
      </c>
      <c r="J9" s="38">
        <v>47.55</v>
      </c>
      <c r="K9" s="35" t="s">
        <v>44</v>
      </c>
      <c r="L9" s="39"/>
      <c r="M9" s="37" t="s">
        <v>676</v>
      </c>
    </row>
    <row r="10" spans="1:13" ht="50" x14ac:dyDescent="0.35">
      <c r="A10" s="54">
        <v>7</v>
      </c>
      <c r="B10" s="35" t="s">
        <v>677</v>
      </c>
      <c r="C10" s="35" t="s">
        <v>678</v>
      </c>
      <c r="D10" s="35" t="s">
        <v>679</v>
      </c>
      <c r="E10" s="35" t="s">
        <v>677</v>
      </c>
      <c r="F10" s="35" t="s">
        <v>680</v>
      </c>
      <c r="G10" s="35">
        <v>62371333</v>
      </c>
      <c r="H10" s="36" t="s">
        <v>674</v>
      </c>
      <c r="I10" s="37" t="s">
        <v>681</v>
      </c>
      <c r="J10" s="38">
        <v>101.6</v>
      </c>
      <c r="K10" s="35" t="s">
        <v>44</v>
      </c>
      <c r="L10" s="39"/>
      <c r="M10" s="37" t="s">
        <v>676</v>
      </c>
    </row>
    <row r="11" spans="1:13" ht="50" x14ac:dyDescent="0.35">
      <c r="A11" s="54">
        <v>8</v>
      </c>
      <c r="B11" s="35" t="s">
        <v>677</v>
      </c>
      <c r="C11" s="35" t="s">
        <v>678</v>
      </c>
      <c r="D11" s="35" t="s">
        <v>679</v>
      </c>
      <c r="E11" s="35" t="s">
        <v>682</v>
      </c>
      <c r="F11" s="35" t="s">
        <v>683</v>
      </c>
      <c r="G11" s="35">
        <v>51160117</v>
      </c>
      <c r="H11" s="36" t="s">
        <v>674</v>
      </c>
      <c r="I11" s="37" t="s">
        <v>681</v>
      </c>
      <c r="J11" s="38">
        <v>3.75</v>
      </c>
      <c r="K11" s="35" t="s">
        <v>44</v>
      </c>
      <c r="L11" s="41"/>
      <c r="M11" s="37" t="s">
        <v>676</v>
      </c>
    </row>
    <row r="12" spans="1:13" ht="25" x14ac:dyDescent="0.35">
      <c r="A12" s="54">
        <v>9</v>
      </c>
      <c r="B12" s="35" t="s">
        <v>684</v>
      </c>
      <c r="C12" s="35" t="s">
        <v>685</v>
      </c>
      <c r="D12" s="35" t="s">
        <v>686</v>
      </c>
      <c r="E12" s="35" t="s">
        <v>687</v>
      </c>
      <c r="F12" s="35" t="s">
        <v>688</v>
      </c>
      <c r="G12" s="35" t="s">
        <v>689</v>
      </c>
      <c r="H12" s="35" t="s">
        <v>690</v>
      </c>
      <c r="I12" s="35" t="s">
        <v>691</v>
      </c>
      <c r="J12" s="38">
        <v>50</v>
      </c>
      <c r="K12" s="35" t="s">
        <v>44</v>
      </c>
      <c r="L12" s="39"/>
      <c r="M12" s="37" t="s">
        <v>692</v>
      </c>
    </row>
    <row r="13" spans="1:13" ht="50" x14ac:dyDescent="0.35">
      <c r="A13" s="54">
        <v>10</v>
      </c>
      <c r="B13" s="35" t="s">
        <v>693</v>
      </c>
      <c r="C13" s="35" t="s">
        <v>694</v>
      </c>
      <c r="D13" s="35" t="s">
        <v>694</v>
      </c>
      <c r="E13" s="35" t="s">
        <v>695</v>
      </c>
      <c r="F13" s="35" t="s">
        <v>696</v>
      </c>
      <c r="G13" s="35">
        <v>56428213</v>
      </c>
      <c r="H13" s="36" t="s">
        <v>697</v>
      </c>
      <c r="I13" s="37" t="s">
        <v>698</v>
      </c>
      <c r="J13" s="38">
        <f>(327+352+578+527+582+692+642+619+709+639+597+269)/1000</f>
        <v>6.5330000000000004</v>
      </c>
      <c r="K13" s="35" t="s">
        <v>623</v>
      </c>
      <c r="L13" s="36">
        <v>3</v>
      </c>
      <c r="M13" s="37" t="s">
        <v>699</v>
      </c>
    </row>
    <row r="14" spans="1:13" ht="50" x14ac:dyDescent="0.35">
      <c r="A14" s="54">
        <v>11</v>
      </c>
      <c r="B14" s="35" t="s">
        <v>693</v>
      </c>
      <c r="C14" s="35" t="s">
        <v>694</v>
      </c>
      <c r="D14" s="35" t="s">
        <v>694</v>
      </c>
      <c r="E14" s="35" t="s">
        <v>695</v>
      </c>
      <c r="F14" s="35" t="s">
        <v>700</v>
      </c>
      <c r="G14" s="35">
        <v>56428236</v>
      </c>
      <c r="H14" s="36" t="s">
        <v>697</v>
      </c>
      <c r="I14" s="37" t="s">
        <v>698</v>
      </c>
      <c r="J14" s="38">
        <f>(257+229+822+862+501+524+519+86+321+472+475+189)/1000</f>
        <v>5.2569999999999997</v>
      </c>
      <c r="K14" s="35" t="s">
        <v>44</v>
      </c>
      <c r="L14" s="36">
        <v>3</v>
      </c>
      <c r="M14" s="37" t="s">
        <v>699</v>
      </c>
    </row>
    <row r="15" spans="1:13" ht="50" x14ac:dyDescent="0.35">
      <c r="A15" s="54">
        <v>12</v>
      </c>
      <c r="B15" s="35" t="s">
        <v>693</v>
      </c>
      <c r="C15" s="35" t="s">
        <v>694</v>
      </c>
      <c r="D15" s="35" t="s">
        <v>694</v>
      </c>
      <c r="E15" s="35" t="s">
        <v>695</v>
      </c>
      <c r="F15" s="35" t="s">
        <v>701</v>
      </c>
      <c r="G15" s="35">
        <v>56428225</v>
      </c>
      <c r="H15" s="36" t="s">
        <v>697</v>
      </c>
      <c r="I15" s="37" t="s">
        <v>698</v>
      </c>
      <c r="J15" s="38">
        <f>(4122+3696+4865+4955+4269+4647+4716+4687+4227+4696+4832+2366)/1000</f>
        <v>52.078000000000003</v>
      </c>
      <c r="K15" s="36" t="s">
        <v>44</v>
      </c>
      <c r="L15" s="36">
        <v>3</v>
      </c>
      <c r="M15" s="37" t="s">
        <v>699</v>
      </c>
    </row>
    <row r="16" spans="1:13" ht="50" x14ac:dyDescent="0.35">
      <c r="A16" s="54">
        <v>13</v>
      </c>
      <c r="B16" s="35" t="s">
        <v>693</v>
      </c>
      <c r="C16" s="35" t="s">
        <v>694</v>
      </c>
      <c r="D16" s="35" t="s">
        <v>694</v>
      </c>
      <c r="E16" s="35" t="s">
        <v>695</v>
      </c>
      <c r="F16" s="35" t="s">
        <v>702</v>
      </c>
      <c r="G16" s="35">
        <v>90604914</v>
      </c>
      <c r="H16" s="36" t="s">
        <v>697</v>
      </c>
      <c r="I16" s="37" t="s">
        <v>698</v>
      </c>
      <c r="J16" s="38">
        <f>(476+475+396+367+394+576)/1000</f>
        <v>2.6840000000000002</v>
      </c>
      <c r="K16" s="35" t="s">
        <v>44</v>
      </c>
      <c r="L16" s="36">
        <v>3</v>
      </c>
      <c r="M16" s="37" t="s">
        <v>699</v>
      </c>
    </row>
    <row r="17" spans="1:13" ht="50" x14ac:dyDescent="0.35">
      <c r="A17" s="54">
        <v>14</v>
      </c>
      <c r="B17" s="35" t="s">
        <v>703</v>
      </c>
      <c r="C17" s="35" t="s">
        <v>704</v>
      </c>
      <c r="D17" s="35" t="s">
        <v>705</v>
      </c>
      <c r="E17" s="35" t="s">
        <v>706</v>
      </c>
      <c r="F17" s="42" t="s">
        <v>707</v>
      </c>
      <c r="G17" s="35">
        <v>96862512</v>
      </c>
      <c r="H17" s="36" t="s">
        <v>708</v>
      </c>
      <c r="I17" s="37" t="s">
        <v>698</v>
      </c>
      <c r="J17" s="38">
        <f>(6579+7203+9113+10335+11422+12630+14433+16796+8983+9066+7624+2681)/1000</f>
        <v>116.86499999999999</v>
      </c>
      <c r="K17" s="35" t="s">
        <v>628</v>
      </c>
      <c r="L17" s="41"/>
      <c r="M17" s="37" t="s">
        <v>699</v>
      </c>
    </row>
    <row r="18" spans="1:13" ht="50" x14ac:dyDescent="0.35">
      <c r="A18" s="54">
        <v>15</v>
      </c>
      <c r="B18" s="35" t="s">
        <v>703</v>
      </c>
      <c r="C18" s="35" t="s">
        <v>704</v>
      </c>
      <c r="D18" s="35" t="s">
        <v>705</v>
      </c>
      <c r="E18" s="35" t="s">
        <v>709</v>
      </c>
      <c r="F18" s="42" t="s">
        <v>710</v>
      </c>
      <c r="G18" s="35">
        <v>96862502</v>
      </c>
      <c r="H18" s="36" t="s">
        <v>708</v>
      </c>
      <c r="I18" s="37" t="s">
        <v>698</v>
      </c>
      <c r="J18" s="38">
        <f>(21362+19999+24988+24006+24081+23435+23623+23678+23107+24774+24010+16618)/1000</f>
        <v>273.68099999999998</v>
      </c>
      <c r="K18" s="36" t="s">
        <v>628</v>
      </c>
      <c r="L18" s="41"/>
      <c r="M18" s="37" t="s">
        <v>699</v>
      </c>
    </row>
    <row r="19" spans="1:13" ht="50" x14ac:dyDescent="0.35">
      <c r="A19" s="54">
        <v>16</v>
      </c>
      <c r="B19" s="35" t="s">
        <v>703</v>
      </c>
      <c r="C19" s="35" t="s">
        <v>704</v>
      </c>
      <c r="D19" s="35" t="s">
        <v>705</v>
      </c>
      <c r="E19" s="35" t="s">
        <v>711</v>
      </c>
      <c r="F19" s="42" t="s">
        <v>712</v>
      </c>
      <c r="G19" s="35">
        <v>10861414</v>
      </c>
      <c r="H19" s="36" t="s">
        <v>708</v>
      </c>
      <c r="I19" s="37" t="s">
        <v>698</v>
      </c>
      <c r="J19" s="38">
        <f>(288+1479+2508+1394+461+516+481)/1000</f>
        <v>7.1269999999999998</v>
      </c>
      <c r="K19" s="35" t="s">
        <v>44</v>
      </c>
      <c r="L19" s="39"/>
      <c r="M19" s="37" t="s">
        <v>699</v>
      </c>
    </row>
    <row r="20" spans="1:13" ht="50" x14ac:dyDescent="0.35">
      <c r="A20" s="54">
        <v>17</v>
      </c>
      <c r="B20" s="35" t="s">
        <v>713</v>
      </c>
      <c r="C20" s="35" t="s">
        <v>714</v>
      </c>
      <c r="D20" s="35" t="s">
        <v>715</v>
      </c>
      <c r="E20" s="35" t="s">
        <v>716</v>
      </c>
      <c r="F20" s="35" t="s">
        <v>717</v>
      </c>
      <c r="G20" s="35">
        <v>94056048</v>
      </c>
      <c r="H20" s="36" t="s">
        <v>718</v>
      </c>
      <c r="I20" s="37" t="s">
        <v>698</v>
      </c>
      <c r="J20" s="38">
        <v>95.96</v>
      </c>
      <c r="K20" s="35" t="s">
        <v>74</v>
      </c>
      <c r="L20" s="39"/>
      <c r="M20" s="37" t="s">
        <v>719</v>
      </c>
    </row>
    <row r="21" spans="1:13" ht="50" x14ac:dyDescent="0.35">
      <c r="A21" s="54">
        <v>18</v>
      </c>
      <c r="B21" s="35" t="s">
        <v>720</v>
      </c>
      <c r="C21" s="35" t="s">
        <v>721</v>
      </c>
      <c r="D21" s="35" t="s">
        <v>721</v>
      </c>
      <c r="E21" s="35" t="s">
        <v>722</v>
      </c>
      <c r="F21" s="42" t="s">
        <v>723</v>
      </c>
      <c r="G21" s="49" t="s">
        <v>724</v>
      </c>
      <c r="H21" s="36" t="s">
        <v>648</v>
      </c>
      <c r="I21" s="37" t="s">
        <v>725</v>
      </c>
      <c r="J21" s="50">
        <v>62.295000000000002</v>
      </c>
      <c r="K21" s="35" t="s">
        <v>44</v>
      </c>
      <c r="L21" s="39">
        <v>2</v>
      </c>
      <c r="M21" s="37" t="s">
        <v>726</v>
      </c>
    </row>
    <row r="22" spans="1:13" ht="50" x14ac:dyDescent="0.35">
      <c r="A22" s="54">
        <v>19</v>
      </c>
      <c r="B22" s="35" t="s">
        <v>720</v>
      </c>
      <c r="C22" s="35" t="s">
        <v>721</v>
      </c>
      <c r="D22" s="35" t="s">
        <v>721</v>
      </c>
      <c r="E22" s="35" t="s">
        <v>720</v>
      </c>
      <c r="F22" s="42" t="s">
        <v>727</v>
      </c>
      <c r="G22" s="43" t="s">
        <v>728</v>
      </c>
      <c r="H22" s="36" t="s">
        <v>648</v>
      </c>
      <c r="I22" s="37" t="s">
        <v>725</v>
      </c>
      <c r="J22" s="51">
        <v>112.98099999999999</v>
      </c>
      <c r="K22" s="35" t="s">
        <v>74</v>
      </c>
      <c r="L22" s="39">
        <v>2</v>
      </c>
      <c r="M22" s="37" t="s">
        <v>726</v>
      </c>
    </row>
    <row r="23" spans="1:13" ht="37.5" x14ac:dyDescent="0.35">
      <c r="A23" s="54">
        <v>20</v>
      </c>
      <c r="B23" s="35" t="s">
        <v>729</v>
      </c>
      <c r="C23" s="35" t="s">
        <v>730</v>
      </c>
      <c r="D23" s="35" t="s">
        <v>730</v>
      </c>
      <c r="E23" s="35" t="s">
        <v>731</v>
      </c>
      <c r="F23" s="52" t="s">
        <v>732</v>
      </c>
      <c r="G23" s="53" t="s">
        <v>733</v>
      </c>
      <c r="H23" s="36" t="s">
        <v>734</v>
      </c>
      <c r="I23" s="37" t="s">
        <v>735</v>
      </c>
      <c r="J23" s="38">
        <v>8.7390000000000008</v>
      </c>
      <c r="K23" s="37" t="s">
        <v>736</v>
      </c>
      <c r="L23" s="39"/>
      <c r="M23" s="37" t="s">
        <v>737</v>
      </c>
    </row>
    <row r="24" spans="1:13" ht="37.5" x14ac:dyDescent="0.35">
      <c r="A24" s="54">
        <v>21</v>
      </c>
      <c r="B24" s="35" t="s">
        <v>729</v>
      </c>
      <c r="C24" s="35" t="s">
        <v>730</v>
      </c>
      <c r="D24" s="35" t="s">
        <v>730</v>
      </c>
      <c r="E24" s="35" t="s">
        <v>738</v>
      </c>
      <c r="F24" s="52" t="s">
        <v>739</v>
      </c>
      <c r="G24" s="53" t="s">
        <v>740</v>
      </c>
      <c r="H24" s="36" t="s">
        <v>734</v>
      </c>
      <c r="I24" s="37" t="s">
        <v>735</v>
      </c>
      <c r="J24" s="38">
        <v>86.917000000000002</v>
      </c>
      <c r="K24" s="37" t="s">
        <v>741</v>
      </c>
      <c r="L24" s="39"/>
      <c r="M24" s="37" t="s">
        <v>737</v>
      </c>
    </row>
    <row r="25" spans="1:13" x14ac:dyDescent="0.35">
      <c r="I25" s="63" t="s">
        <v>761</v>
      </c>
      <c r="J25" s="59">
        <f>SUM(J4:J24)</f>
        <v>1626.0069999999998</v>
      </c>
    </row>
  </sheetData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35CA4-003B-4036-895F-49B12A471A34}">
  <sheetPr>
    <pageSetUpPr fitToPage="1"/>
  </sheetPr>
  <dimension ref="A1:P11"/>
  <sheetViews>
    <sheetView zoomScale="80" zoomScaleNormal="80" workbookViewId="0">
      <selection activeCell="J17" sqref="J17"/>
    </sheetView>
  </sheetViews>
  <sheetFormatPr defaultRowHeight="14.5" x14ac:dyDescent="0.35"/>
  <cols>
    <col min="2" max="2" width="32.81640625" bestFit="1" customWidth="1"/>
    <col min="3" max="3" width="8.36328125" customWidth="1"/>
    <col min="4" max="4" width="15.54296875" customWidth="1"/>
    <col min="6" max="6" width="18.453125" customWidth="1"/>
    <col min="7" max="7" width="9.6328125" customWidth="1"/>
    <col min="8" max="8" width="9.1796875" customWidth="1"/>
    <col min="9" max="9" width="12.81640625" bestFit="1" customWidth="1"/>
    <col min="10" max="10" width="19.26953125" bestFit="1" customWidth="1"/>
    <col min="11" max="11" width="11.453125" bestFit="1" customWidth="1"/>
    <col min="12" max="14" width="8.54296875" style="24" bestFit="1" customWidth="1"/>
    <col min="15" max="15" width="9.7265625" style="24" customWidth="1"/>
    <col min="16" max="16" width="41.54296875" customWidth="1"/>
  </cols>
  <sheetData>
    <row r="1" spans="1:16" x14ac:dyDescent="0.35">
      <c r="A1" t="s">
        <v>577</v>
      </c>
    </row>
    <row r="2" spans="1:16" x14ac:dyDescent="0.35">
      <c r="A2" t="s">
        <v>758</v>
      </c>
    </row>
    <row r="3" spans="1:16" x14ac:dyDescent="0.35">
      <c r="B3" s="64" t="s">
        <v>0</v>
      </c>
      <c r="C3" s="61"/>
      <c r="D3" s="65" t="s">
        <v>1</v>
      </c>
      <c r="E3" s="65"/>
      <c r="F3" s="65"/>
      <c r="G3" s="65"/>
      <c r="H3" s="65"/>
      <c r="I3" s="2"/>
      <c r="J3" s="64" t="s">
        <v>2</v>
      </c>
      <c r="K3" s="64" t="s">
        <v>3</v>
      </c>
      <c r="L3" s="66" t="s">
        <v>4</v>
      </c>
      <c r="M3" s="66"/>
      <c r="N3" s="66"/>
      <c r="O3" s="66"/>
      <c r="P3" s="64" t="s">
        <v>5</v>
      </c>
    </row>
    <row r="4" spans="1:16" s="6" customFormat="1" ht="34.5" x14ac:dyDescent="0.35">
      <c r="A4" s="4" t="s">
        <v>6</v>
      </c>
      <c r="B4" s="64"/>
      <c r="C4" s="1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64"/>
      <c r="K4" s="64"/>
      <c r="L4" s="3" t="s">
        <v>13</v>
      </c>
      <c r="M4" s="3" t="s">
        <v>14</v>
      </c>
      <c r="N4" s="3" t="s">
        <v>15</v>
      </c>
      <c r="O4" s="5" t="s">
        <v>16</v>
      </c>
      <c r="P4" s="64"/>
    </row>
    <row r="5" spans="1:16" x14ac:dyDescent="0.35">
      <c r="A5" s="7" t="s">
        <v>17</v>
      </c>
      <c r="B5" s="55" t="s">
        <v>744</v>
      </c>
      <c r="C5" s="55" t="s">
        <v>759</v>
      </c>
      <c r="D5" s="9" t="s">
        <v>745</v>
      </c>
      <c r="E5" s="45" t="s">
        <v>746</v>
      </c>
      <c r="F5" s="45" t="s">
        <v>747</v>
      </c>
      <c r="G5" s="45" t="s">
        <v>748</v>
      </c>
      <c r="H5" s="11"/>
      <c r="I5" s="56">
        <v>32606782</v>
      </c>
      <c r="J5" s="10" t="s">
        <v>749</v>
      </c>
      <c r="K5" s="57" t="s">
        <v>259</v>
      </c>
      <c r="L5" s="18">
        <v>214.666</v>
      </c>
      <c r="M5" s="18">
        <v>214.666</v>
      </c>
      <c r="N5" s="18">
        <v>214.667</v>
      </c>
      <c r="O5" s="15">
        <f>L5+M5+N5</f>
        <v>643.99900000000002</v>
      </c>
      <c r="P5" s="58" t="s">
        <v>750</v>
      </c>
    </row>
    <row r="6" spans="1:16" x14ac:dyDescent="0.35">
      <c r="A6" s="7" t="s">
        <v>27</v>
      </c>
      <c r="B6" s="55" t="s">
        <v>751</v>
      </c>
      <c r="C6" s="55" t="s">
        <v>759</v>
      </c>
      <c r="D6" s="9" t="s">
        <v>752</v>
      </c>
      <c r="E6" s="45" t="s">
        <v>753</v>
      </c>
      <c r="F6" s="45" t="s">
        <v>754</v>
      </c>
      <c r="G6" s="45" t="s">
        <v>755</v>
      </c>
      <c r="H6" s="11"/>
      <c r="I6" s="56">
        <v>94085367</v>
      </c>
      <c r="J6" s="10" t="s">
        <v>756</v>
      </c>
      <c r="K6" s="57" t="s">
        <v>311</v>
      </c>
      <c r="L6" s="18">
        <v>12.003</v>
      </c>
      <c r="M6" s="18">
        <v>12.003</v>
      </c>
      <c r="N6" s="18">
        <v>12.004</v>
      </c>
      <c r="O6" s="15">
        <f>L6+M6+N6</f>
        <v>36.01</v>
      </c>
      <c r="P6" s="58" t="s">
        <v>750</v>
      </c>
    </row>
    <row r="7" spans="1:16" x14ac:dyDescent="0.35">
      <c r="A7" s="7" t="s">
        <v>30</v>
      </c>
      <c r="B7" s="55" t="s">
        <v>751</v>
      </c>
      <c r="C7" s="55" t="s">
        <v>759</v>
      </c>
      <c r="D7" s="9" t="s">
        <v>752</v>
      </c>
      <c r="E7" s="45" t="s">
        <v>753</v>
      </c>
      <c r="F7" s="45" t="s">
        <v>754</v>
      </c>
      <c r="G7" s="45" t="s">
        <v>755</v>
      </c>
      <c r="H7" s="11"/>
      <c r="I7" s="56">
        <v>74783729</v>
      </c>
      <c r="J7" s="10" t="s">
        <v>757</v>
      </c>
      <c r="K7" s="57" t="s">
        <v>44</v>
      </c>
      <c r="L7" s="18">
        <v>29.27</v>
      </c>
      <c r="M7" s="18"/>
      <c r="N7" s="18"/>
      <c r="O7" s="15">
        <f>L7+M7+N7</f>
        <v>29.27</v>
      </c>
      <c r="P7" s="58" t="s">
        <v>750</v>
      </c>
    </row>
    <row r="8" spans="1:16" x14ac:dyDescent="0.35">
      <c r="A8" s="60" t="s">
        <v>40</v>
      </c>
      <c r="B8" s="45" t="s">
        <v>634</v>
      </c>
      <c r="C8" s="45" t="s">
        <v>760</v>
      </c>
      <c r="D8" s="9" t="s">
        <v>635</v>
      </c>
      <c r="E8" s="9" t="s">
        <v>636</v>
      </c>
      <c r="F8" s="10" t="s">
        <v>637</v>
      </c>
      <c r="G8" s="8" t="s">
        <v>107</v>
      </c>
      <c r="H8" s="11"/>
      <c r="I8" s="12" t="s">
        <v>638</v>
      </c>
      <c r="J8" s="8" t="s">
        <v>639</v>
      </c>
      <c r="K8" s="13" t="s">
        <v>74</v>
      </c>
      <c r="L8" s="14">
        <v>360</v>
      </c>
      <c r="M8" s="14"/>
      <c r="N8" s="14"/>
      <c r="O8" s="15">
        <v>360</v>
      </c>
      <c r="P8" s="16" t="s">
        <v>640</v>
      </c>
    </row>
    <row r="11" spans="1:16" x14ac:dyDescent="0.35">
      <c r="N11" s="24" t="s">
        <v>761</v>
      </c>
      <c r="O11" s="24">
        <f>SUM(O5:O8)</f>
        <v>1069.279</v>
      </c>
    </row>
  </sheetData>
  <mergeCells count="6">
    <mergeCell ref="P3:P4"/>
    <mergeCell ref="B3:B4"/>
    <mergeCell ref="D3:H3"/>
    <mergeCell ref="J3:J4"/>
    <mergeCell ref="K3:K4"/>
    <mergeCell ref="L3:O3"/>
  </mergeCells>
  <dataValidations count="3">
    <dataValidation type="list" allowBlank="1" showInputMessage="1" showErrorMessage="1" sqref="P5:P8" xr:uid="{7DDD33CF-B09D-464E-9849-6124ACC3A17C}">
      <formula1>osd</formula1>
    </dataValidation>
    <dataValidation type="list" allowBlank="1" showInputMessage="1" showErrorMessage="1" sqref="K5:K8" xr:uid="{2A59EA18-0A1F-4ADF-9991-64926F5D3482}">
      <formula1>taryfy</formula1>
    </dataValidation>
    <dataValidation type="textLength" operator="lessThanOrEqual" allowBlank="1" showInputMessage="1" showErrorMessage="1" errorTitle="Przekroczono limit znaków" error="Przekroczono maksymalną liczbę 7 znaków w numerze. Proszę skrócić numer!" promptTitle="Limit znaków" prompt="Długość numeru nie może przekraczać 7 znaków" sqref="G5:H8" xr:uid="{56D9CFDA-DC6C-4BFB-80E7-D777CA460100}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topLeftCell="A10" zoomScale="70" zoomScaleNormal="70" workbookViewId="0">
      <selection activeCell="I18" sqref="I18"/>
    </sheetView>
  </sheetViews>
  <sheetFormatPr defaultRowHeight="14.5" x14ac:dyDescent="0.35"/>
  <cols>
    <col min="1" max="1" width="5.54296875" customWidth="1"/>
    <col min="2" max="2" width="56.54296875" customWidth="1"/>
    <col min="3" max="3" width="26.36328125" customWidth="1"/>
    <col min="4" max="4" width="18" customWidth="1"/>
    <col min="5" max="5" width="34.54296875" customWidth="1"/>
    <col min="6" max="6" width="35.08984375" customWidth="1"/>
    <col min="7" max="7" width="17.90625" customWidth="1"/>
    <col min="9" max="9" width="17.453125" customWidth="1"/>
    <col min="10" max="10" width="17.6328125" customWidth="1"/>
  </cols>
  <sheetData>
    <row r="1" spans="1:10" x14ac:dyDescent="0.35">
      <c r="A1" s="27" t="s">
        <v>577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35">
      <c r="A2" s="27" t="s">
        <v>579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50" x14ac:dyDescent="0.35">
      <c r="A3" s="30" t="s">
        <v>6</v>
      </c>
      <c r="B3" s="31" t="s">
        <v>580</v>
      </c>
      <c r="C3" s="31" t="s">
        <v>581</v>
      </c>
      <c r="D3" s="32" t="s">
        <v>12</v>
      </c>
      <c r="E3" s="31" t="s">
        <v>582</v>
      </c>
      <c r="F3" s="33" t="s">
        <v>583</v>
      </c>
      <c r="G3" s="31" t="s">
        <v>584</v>
      </c>
      <c r="H3" s="34" t="s">
        <v>585</v>
      </c>
      <c r="I3" s="33" t="s">
        <v>586</v>
      </c>
      <c r="J3" s="33" t="s">
        <v>587</v>
      </c>
    </row>
    <row r="4" spans="1:10" ht="37.5" x14ac:dyDescent="0.35">
      <c r="A4" s="30">
        <v>1</v>
      </c>
      <c r="B4" s="35" t="s">
        <v>588</v>
      </c>
      <c r="C4" s="35" t="s">
        <v>589</v>
      </c>
      <c r="D4" s="35" t="s">
        <v>590</v>
      </c>
      <c r="E4" s="36" t="s">
        <v>591</v>
      </c>
      <c r="F4" s="37" t="s">
        <v>592</v>
      </c>
      <c r="G4" s="38">
        <v>20</v>
      </c>
      <c r="H4" s="35" t="s">
        <v>25</v>
      </c>
      <c r="I4" s="39"/>
      <c r="J4" s="40" t="s">
        <v>593</v>
      </c>
    </row>
    <row r="5" spans="1:10" ht="25" x14ac:dyDescent="0.35">
      <c r="A5" s="30">
        <v>2</v>
      </c>
      <c r="B5" s="35" t="s">
        <v>594</v>
      </c>
      <c r="C5" s="35" t="s">
        <v>595</v>
      </c>
      <c r="D5" s="35">
        <v>84145035</v>
      </c>
      <c r="E5" s="36" t="s">
        <v>742</v>
      </c>
      <c r="F5" s="37" t="s">
        <v>592</v>
      </c>
      <c r="G5" s="38">
        <v>290</v>
      </c>
      <c r="H5" s="35" t="s">
        <v>311</v>
      </c>
      <c r="I5" s="41"/>
      <c r="J5" s="40" t="s">
        <v>593</v>
      </c>
    </row>
    <row r="6" spans="1:10" ht="25" x14ac:dyDescent="0.35">
      <c r="A6" s="30">
        <v>3</v>
      </c>
      <c r="B6" s="35" t="s">
        <v>596</v>
      </c>
      <c r="C6" s="35" t="s">
        <v>597</v>
      </c>
      <c r="D6" s="42" t="s">
        <v>598</v>
      </c>
      <c r="E6" s="36" t="s">
        <v>599</v>
      </c>
      <c r="F6" s="37" t="s">
        <v>592</v>
      </c>
      <c r="G6" s="67">
        <v>390</v>
      </c>
      <c r="H6" s="35" t="s">
        <v>74</v>
      </c>
      <c r="I6" s="41"/>
      <c r="J6" s="40" t="s">
        <v>593</v>
      </c>
    </row>
    <row r="7" spans="1:10" ht="25" x14ac:dyDescent="0.35">
      <c r="A7" s="30">
        <v>4</v>
      </c>
      <c r="B7" s="35" t="s">
        <v>600</v>
      </c>
      <c r="C7" s="35" t="s">
        <v>601</v>
      </c>
      <c r="D7" s="42" t="s">
        <v>602</v>
      </c>
      <c r="E7" s="36" t="s">
        <v>599</v>
      </c>
      <c r="F7" s="37" t="s">
        <v>592</v>
      </c>
      <c r="G7" s="68"/>
      <c r="H7" s="35" t="s">
        <v>44</v>
      </c>
      <c r="I7" s="39"/>
      <c r="J7" s="40" t="s">
        <v>593</v>
      </c>
    </row>
    <row r="8" spans="1:10" ht="25" x14ac:dyDescent="0.35">
      <c r="A8" s="30">
        <v>5</v>
      </c>
      <c r="B8" s="35" t="s">
        <v>603</v>
      </c>
      <c r="C8" s="35" t="s">
        <v>604</v>
      </c>
      <c r="D8" s="42" t="s">
        <v>605</v>
      </c>
      <c r="E8" s="36" t="s">
        <v>599</v>
      </c>
      <c r="F8" s="37" t="s">
        <v>592</v>
      </c>
      <c r="G8" s="69"/>
      <c r="H8" s="35" t="s">
        <v>44</v>
      </c>
      <c r="I8" s="41"/>
      <c r="J8" s="40" t="s">
        <v>593</v>
      </c>
    </row>
    <row r="9" spans="1:10" ht="50" x14ac:dyDescent="0.35">
      <c r="A9" s="30">
        <v>6</v>
      </c>
      <c r="B9" s="35" t="s">
        <v>606</v>
      </c>
      <c r="C9" s="35" t="s">
        <v>607</v>
      </c>
      <c r="D9" s="43" t="s">
        <v>608</v>
      </c>
      <c r="E9" s="36" t="s">
        <v>300</v>
      </c>
      <c r="F9" s="37" t="s">
        <v>609</v>
      </c>
      <c r="G9" s="67">
        <v>850</v>
      </c>
      <c r="H9" s="35" t="s">
        <v>259</v>
      </c>
      <c r="I9" s="36"/>
      <c r="J9" s="40" t="s">
        <v>593</v>
      </c>
    </row>
    <row r="10" spans="1:10" ht="50" x14ac:dyDescent="0.35">
      <c r="A10" s="30">
        <v>7</v>
      </c>
      <c r="B10" s="35" t="s">
        <v>606</v>
      </c>
      <c r="C10" s="35" t="s">
        <v>610</v>
      </c>
      <c r="D10" s="44" t="s">
        <v>611</v>
      </c>
      <c r="E10" s="36" t="s">
        <v>300</v>
      </c>
      <c r="F10" s="37" t="s">
        <v>609</v>
      </c>
      <c r="G10" s="69"/>
      <c r="H10" s="35" t="s">
        <v>74</v>
      </c>
      <c r="I10" s="36"/>
      <c r="J10" s="40" t="s">
        <v>593</v>
      </c>
    </row>
    <row r="11" spans="1:10" ht="50" x14ac:dyDescent="0.35">
      <c r="A11" s="30">
        <v>8</v>
      </c>
      <c r="B11" s="35" t="s">
        <v>612</v>
      </c>
      <c r="C11" s="42" t="s">
        <v>613</v>
      </c>
      <c r="D11" s="42" t="s">
        <v>614</v>
      </c>
      <c r="E11" s="36" t="s">
        <v>300</v>
      </c>
      <c r="F11" s="37" t="s">
        <v>609</v>
      </c>
      <c r="G11" s="67">
        <v>128</v>
      </c>
      <c r="H11" s="35" t="s">
        <v>615</v>
      </c>
      <c r="I11" s="36"/>
      <c r="J11" s="40" t="s">
        <v>593</v>
      </c>
    </row>
    <row r="12" spans="1:10" ht="50" x14ac:dyDescent="0.35">
      <c r="A12" s="30">
        <v>9</v>
      </c>
      <c r="B12" s="35" t="s">
        <v>616</v>
      </c>
      <c r="C12" s="42" t="s">
        <v>617</v>
      </c>
      <c r="D12" s="42" t="s">
        <v>618</v>
      </c>
      <c r="E12" s="36" t="s">
        <v>300</v>
      </c>
      <c r="F12" s="37" t="s">
        <v>609</v>
      </c>
      <c r="G12" s="68"/>
      <c r="H12" s="35" t="s">
        <v>44</v>
      </c>
      <c r="I12" s="36"/>
      <c r="J12" s="40" t="s">
        <v>593</v>
      </c>
    </row>
    <row r="13" spans="1:10" ht="50" x14ac:dyDescent="0.35">
      <c r="A13" s="30">
        <v>10</v>
      </c>
      <c r="B13" s="35" t="s">
        <v>619</v>
      </c>
      <c r="C13" s="36" t="s">
        <v>620</v>
      </c>
      <c r="D13" s="42" t="s">
        <v>621</v>
      </c>
      <c r="E13" s="36" t="s">
        <v>300</v>
      </c>
      <c r="F13" s="37" t="s">
        <v>622</v>
      </c>
      <c r="G13" s="69"/>
      <c r="H13" s="35" t="s">
        <v>623</v>
      </c>
      <c r="I13" s="36"/>
      <c r="J13" s="40" t="s">
        <v>593</v>
      </c>
    </row>
    <row r="14" spans="1:10" ht="50" x14ac:dyDescent="0.35">
      <c r="A14" s="30">
        <v>11</v>
      </c>
      <c r="B14" s="35" t="s">
        <v>624</v>
      </c>
      <c r="C14" s="36" t="s">
        <v>625</v>
      </c>
      <c r="D14" s="42" t="s">
        <v>626</v>
      </c>
      <c r="E14" s="36" t="s">
        <v>627</v>
      </c>
      <c r="F14" s="37" t="s">
        <v>609</v>
      </c>
      <c r="G14" s="38">
        <v>720</v>
      </c>
      <c r="H14" s="35" t="s">
        <v>628</v>
      </c>
      <c r="I14" s="36"/>
      <c r="J14" s="40" t="s">
        <v>593</v>
      </c>
    </row>
    <row r="15" spans="1:10" ht="50" x14ac:dyDescent="0.35">
      <c r="A15" s="30">
        <v>12</v>
      </c>
      <c r="B15" s="35" t="s">
        <v>629</v>
      </c>
      <c r="C15" s="35" t="s">
        <v>630</v>
      </c>
      <c r="D15" s="35">
        <v>99664202</v>
      </c>
      <c r="E15" s="36" t="s">
        <v>300</v>
      </c>
      <c r="F15" s="37" t="s">
        <v>609</v>
      </c>
      <c r="G15" s="38">
        <v>89</v>
      </c>
      <c r="H15" s="35" t="s">
        <v>259</v>
      </c>
      <c r="I15" s="36"/>
      <c r="J15" s="40" t="s">
        <v>593</v>
      </c>
    </row>
    <row r="16" spans="1:10" ht="50" x14ac:dyDescent="0.35">
      <c r="A16" s="30">
        <v>13</v>
      </c>
      <c r="B16" s="35" t="s">
        <v>631</v>
      </c>
      <c r="C16" s="35" t="s">
        <v>632</v>
      </c>
      <c r="D16" s="42" t="s">
        <v>633</v>
      </c>
      <c r="E16" s="36" t="s">
        <v>300</v>
      </c>
      <c r="F16" s="37" t="s">
        <v>609</v>
      </c>
      <c r="G16" s="38">
        <v>15</v>
      </c>
      <c r="H16" s="35" t="s">
        <v>615</v>
      </c>
      <c r="I16" s="36"/>
      <c r="J16" s="40" t="s">
        <v>593</v>
      </c>
    </row>
    <row r="19" spans="6:7" x14ac:dyDescent="0.35">
      <c r="F19" s="62" t="s">
        <v>761</v>
      </c>
      <c r="G19" s="59">
        <f>SUM(G4:G16)</f>
        <v>2502</v>
      </c>
    </row>
  </sheetData>
  <mergeCells count="3">
    <mergeCell ref="G6:G8"/>
    <mergeCell ref="G9:G10"/>
    <mergeCell ref="G11:G13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PHH</vt:lpstr>
      <vt:lpstr>PHH HOTELE</vt:lpstr>
      <vt:lpstr>WPUT +GAT</vt:lpstr>
      <vt:lpstr>Elbest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Laskowski</dc:creator>
  <cp:lastModifiedBy>Marcin Prokopiuk</cp:lastModifiedBy>
  <cp:lastPrinted>2023-07-19T10:13:42Z</cp:lastPrinted>
  <dcterms:created xsi:type="dcterms:W3CDTF">2023-06-26T08:58:23Z</dcterms:created>
  <dcterms:modified xsi:type="dcterms:W3CDTF">2023-07-19T10:14:09Z</dcterms:modified>
</cp:coreProperties>
</file>