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91" activeTab="0"/>
  </bookViews>
  <sheets>
    <sheet name="formularz_cenowy_092018" sheetId="1" r:id="rId1"/>
  </sheets>
  <externalReferences>
    <externalReference r:id="rId4"/>
  </externalReferences>
  <definedNames>
    <definedName name="Excel_BuiltIn_Print_Area_2_1">#REF!</definedName>
    <definedName name="spr_2016">#REF!</definedName>
  </definedNames>
  <calcPr fullCalcOnLoad="1"/>
</workbook>
</file>

<file path=xl/sharedStrings.xml><?xml version="1.0" encoding="utf-8"?>
<sst xmlns="http://schemas.openxmlformats.org/spreadsheetml/2006/main" count="1072" uniqueCount="284">
  <si>
    <t>Formularz cenowy Część nr 1</t>
  </si>
  <si>
    <t>l.p.</t>
  </si>
  <si>
    <t>Nazwa międzynarodowa, postać</t>
  </si>
  <si>
    <r>
      <t>Dawka</t>
    </r>
    <r>
      <rPr>
        <vertAlign val="superscript"/>
        <sz val="10"/>
        <rFont val="Arial CE"/>
        <family val="2"/>
      </rPr>
      <t>1</t>
    </r>
  </si>
  <si>
    <t>Maksymalna wielkość opak.</t>
  </si>
  <si>
    <r>
      <t xml:space="preserve">Ilość </t>
    </r>
    <r>
      <rPr>
        <sz val="10"/>
        <rFont val="Segoe UI"/>
        <family val="0"/>
      </rPr>
      <t>µ</t>
    </r>
    <r>
      <rPr>
        <sz val="10"/>
        <rFont val="Arial CE"/>
        <family val="2"/>
      </rPr>
      <t>g</t>
    </r>
  </si>
  <si>
    <t>Ilość op.</t>
  </si>
  <si>
    <t>Producent / Nazwa handlowa</t>
  </si>
  <si>
    <t>kod EAN lub inny kod odpowiadający kodowi EAN</t>
  </si>
  <si>
    <r>
      <t>Wielkość oferowanego opakowania</t>
    </r>
    <r>
      <rPr>
        <vertAlign val="superscript"/>
        <sz val="9"/>
        <rFont val="Arial CE"/>
        <family val="2"/>
      </rPr>
      <t>2</t>
    </r>
  </si>
  <si>
    <r>
      <t>Ilość oferowanych opakowań koniecznych do wykonania zamówienia</t>
    </r>
    <r>
      <rPr>
        <vertAlign val="superscript"/>
        <sz val="9"/>
        <rFont val="Arial CE"/>
        <family val="2"/>
      </rPr>
      <t>3</t>
    </r>
  </si>
  <si>
    <t>cena op. netto [zł]</t>
  </si>
  <si>
    <t>VAT (%)</t>
  </si>
  <si>
    <t>cena op. brutto [zł]</t>
  </si>
  <si>
    <t>wartość  netto [zł]</t>
  </si>
  <si>
    <t>wartość  brutto [zł]</t>
  </si>
  <si>
    <t>Peginterferon Alfa-2a</t>
  </si>
  <si>
    <t>180µg/ 0,5,ml</t>
  </si>
  <si>
    <t>op. / 1 szt.</t>
  </si>
  <si>
    <r>
      <t xml:space="preserve">90 </t>
    </r>
    <r>
      <rPr>
        <sz val="10"/>
        <rFont val="Segoe UI"/>
        <family val="0"/>
      </rPr>
      <t>µ</t>
    </r>
    <r>
      <rPr>
        <sz val="10"/>
        <rFont val="Arial CE"/>
        <family val="2"/>
      </rPr>
      <t>g/0,5 ml</t>
    </r>
  </si>
  <si>
    <t>wartość razem</t>
  </si>
  <si>
    <t>Formularz cenowy Część nr 2</t>
  </si>
  <si>
    <t>Ilość j.m.</t>
  </si>
  <si>
    <t>Pegfilgrastimum -  roztwór do wstrzykiwań</t>
  </si>
  <si>
    <t xml:space="preserve"> 6 mg/0,6 ml</t>
  </si>
  <si>
    <t>Formularz cenowy Część nr 3</t>
  </si>
  <si>
    <t>Ilość mg</t>
  </si>
  <si>
    <t>Anagrelidum - kaps. twarde</t>
  </si>
  <si>
    <t>0,5 mg</t>
  </si>
  <si>
    <t>op. / 100 szt.</t>
  </si>
  <si>
    <t>1 mg</t>
  </si>
  <si>
    <t>Acidum zoledronicum - koncentrat do sporządzania roztworu do infuzji</t>
  </si>
  <si>
    <t xml:space="preserve"> 4 mg / 5 ml</t>
  </si>
  <si>
    <t>Ramucirumab - koncentrat do sporządzania roztworu do infuzji</t>
  </si>
  <si>
    <t>100 mg</t>
  </si>
  <si>
    <t>op. / 2 szt.</t>
  </si>
  <si>
    <t>Ipilimumabum - koncentrat do sporządzania roztworu do infuzji</t>
  </si>
  <si>
    <t>50 mg / 10 ml</t>
  </si>
  <si>
    <t>Sacituzumabum govitecanum - proszek do sporządzania koncentratu roztworu do infuzji</t>
  </si>
  <si>
    <t>200 mg</t>
  </si>
  <si>
    <t>Alpelisibum – tabl.powl.</t>
  </si>
  <si>
    <t>150 mg</t>
  </si>
  <si>
    <t>op./ 56 szt.</t>
  </si>
  <si>
    <t>op./ 28szt.</t>
  </si>
  <si>
    <t>Nivolumab –  koncentrat do sporządzania roztworu do infuzji</t>
  </si>
  <si>
    <t>40 mg</t>
  </si>
  <si>
    <t>Lapatynib – tabl. powl.</t>
  </si>
  <si>
    <t>250 mg</t>
  </si>
  <si>
    <t>op. / 70 szt.</t>
  </si>
  <si>
    <t>Formularz cenowy Część nr 4</t>
  </si>
  <si>
    <t>Rituximabum - koncentrat do sporządzania roztworu do infuzji,</t>
  </si>
  <si>
    <t>100 mg/ 10 ml</t>
  </si>
  <si>
    <t>500 mg/ 50 ml</t>
  </si>
  <si>
    <t>Formularz cenowy Część nr 5</t>
  </si>
  <si>
    <t>Trastuzumab emtansine –  proszek do sporządzenia roztworu do wstrzykiwań</t>
  </si>
  <si>
    <t>160 mg</t>
  </si>
  <si>
    <t>Polatuzumab Vedotin</t>
  </si>
  <si>
    <t>140 mg</t>
  </si>
  <si>
    <t>30 mg</t>
  </si>
  <si>
    <t>Pertuzumabum - koncentrat do sporządzania roztworu do infuzji</t>
  </si>
  <si>
    <t>420 mg /14 ml</t>
  </si>
  <si>
    <t>Atezolizumabum- koncentrat do sporządzania roztworu do infuzji</t>
  </si>
  <si>
    <t>1200 mg/20 ml</t>
  </si>
  <si>
    <t>Obinutuzumab - koncentrat do sporządzania roztworu do infuzji</t>
  </si>
  <si>
    <t>1000 mg / 40 ml</t>
  </si>
  <si>
    <t>Trastuzumabum - roztwór do wstrzykiwań</t>
  </si>
  <si>
    <t>600 mg / 5 ml</t>
  </si>
  <si>
    <t>Formularz cenowy Część nr 6</t>
  </si>
  <si>
    <t>Osimertinib- tab. powl</t>
  </si>
  <si>
    <t>op. / 30 szt.</t>
  </si>
  <si>
    <t>80 mg</t>
  </si>
  <si>
    <t>Formularz cenowy Część nr 7</t>
  </si>
  <si>
    <t xml:space="preserve">Ilość mg </t>
  </si>
  <si>
    <t>Oxaliplatinum - koncentrat płynny do przygotowywania roztworu do wlewu</t>
  </si>
  <si>
    <t>Vincristine sulphate - roztwór do inj.</t>
  </si>
  <si>
    <t>Bendamustine hydrochloricum - inj. substancja do przygotowywania koncentratu</t>
  </si>
  <si>
    <t>op. / 5 szt.</t>
  </si>
  <si>
    <t>25 mg</t>
  </si>
  <si>
    <t>Filgrastim - roztwór do wstrzykiwań lub infuzji w amp.-strzyk.</t>
  </si>
  <si>
    <t>48 mln jedn.( 0,48 mg)</t>
  </si>
  <si>
    <t>30 mln jedn.(0,3 mg)</t>
  </si>
  <si>
    <t>Doxorubicinum - roztwór chlorowodorku w  liposomach nie pegylowanych ***</t>
  </si>
  <si>
    <t>50 mg</t>
  </si>
  <si>
    <t>Temozolomide - kaps. twarde w saszetkach</t>
  </si>
  <si>
    <t>180 mg</t>
  </si>
  <si>
    <t>op. /5 szt.</t>
  </si>
  <si>
    <t>20 mg</t>
  </si>
  <si>
    <t>5 mg</t>
  </si>
  <si>
    <t>Capecitabine - tabl. powl. w blistrach</t>
  </si>
  <si>
    <t>op. / 60 szt.</t>
  </si>
  <si>
    <t>500 mg</t>
  </si>
  <si>
    <t xml:space="preserve">op. /120 szt. </t>
  </si>
  <si>
    <t>Chlorambucilum - tabl.</t>
  </si>
  <si>
    <t>2 mg</t>
  </si>
  <si>
    <t>op. / 25 szt.</t>
  </si>
  <si>
    <t>Topotecanum - koncentrat do sporządzania roztworu do infuzji, 1 mg/ml</t>
  </si>
  <si>
    <t xml:space="preserve"> 1 mg/ml</t>
  </si>
  <si>
    <t>Ondansetron - inj.</t>
  </si>
  <si>
    <t>8 mg / 4 ml</t>
  </si>
  <si>
    <t>Formularz cenowy Część nr 8</t>
  </si>
  <si>
    <t>Abirateroni acetas - tabl.</t>
  </si>
  <si>
    <t xml:space="preserve">op. /60 szt. </t>
  </si>
  <si>
    <t>Formularz cenowy Część nr 9</t>
  </si>
  <si>
    <t xml:space="preserve">Denosumab – roztwór do wstrzykiwań </t>
  </si>
  <si>
    <t>120 mg/1,7 ml</t>
  </si>
  <si>
    <t>op. / 3 szt</t>
  </si>
  <si>
    <t>Darbepoetyna alfa - roztwór do wstrzykiwań w amp.-strz.</t>
  </si>
  <si>
    <r>
      <t xml:space="preserve">500 </t>
    </r>
    <r>
      <rPr>
        <sz val="10"/>
        <rFont val="Arial"/>
        <family val="2"/>
      </rPr>
      <t>μg</t>
    </r>
  </si>
  <si>
    <t>op. / 1 amp.-strz.1 ml</t>
  </si>
  <si>
    <t>Panitumumabum - koncentrat do sporządzania roztworu do infuzj - fiol.</t>
  </si>
  <si>
    <t>100 mg / 5 ml</t>
  </si>
  <si>
    <t>400 mg / 20 ml</t>
  </si>
  <si>
    <t>Karfilzomib -  substancja do sporządzania roztworu do infuzji</t>
  </si>
  <si>
    <t>60 mg</t>
  </si>
  <si>
    <t>Formularz cenowy Część nr 10</t>
  </si>
  <si>
    <t>Apalutamide - tabl. powl.</t>
  </si>
  <si>
    <t>op./ 120 szt.</t>
  </si>
  <si>
    <t>Ibrutinib - kaps. twarda</t>
  </si>
  <si>
    <t>op. / 90 szt.</t>
  </si>
  <si>
    <t>420 mg</t>
  </si>
  <si>
    <t>Daratumumabum -  roztwór do wstrzykiwań s.c</t>
  </si>
  <si>
    <t>1800 mg/15 ml</t>
  </si>
  <si>
    <t xml:space="preserve"> op. / 1 szt.</t>
  </si>
  <si>
    <t>Formularz cenowy Część nr 11</t>
  </si>
  <si>
    <t>Pomalidone- kaps. Twarde</t>
  </si>
  <si>
    <t>op. / 21 szt.</t>
  </si>
  <si>
    <t>3 mg</t>
  </si>
  <si>
    <t>4 mg</t>
  </si>
  <si>
    <t>Paclitaxelum albuminatum - proszek do
sporządzania zawiesiny do infuzji</t>
  </si>
  <si>
    <t>Formularz cenowy Część nr 12</t>
  </si>
  <si>
    <t>Cabazitaxelum -koncentrat do sporządzania roztworu do infuzji</t>
  </si>
  <si>
    <t>45 mg</t>
  </si>
  <si>
    <t xml:space="preserve">Methotrexatum - inj. roztwór                    stężenie 100mg / 1 ml </t>
  </si>
  <si>
    <t>50 ml</t>
  </si>
  <si>
    <t xml:space="preserve">Cisplatinum - koncentrat do sporządzania roztworu do infuzji, 1 mg/ml </t>
  </si>
  <si>
    <t>100 mg / 100 ml</t>
  </si>
  <si>
    <t xml:space="preserve"> 50 mg / 50 ml</t>
  </si>
  <si>
    <t>Epirubicin hydrochloride – koncentrat/ roztwór  do sporządzania roztworu do infuzji</t>
  </si>
  <si>
    <t xml:space="preserve"> Do 100 mg</t>
  </si>
  <si>
    <t>Etoposide - koncentrat do sporządzania roztworu do infuzji, 20 mg/ml</t>
  </si>
  <si>
    <t xml:space="preserve">100 mg / 5 ml </t>
  </si>
  <si>
    <t>Doxorubicinum - koncentrat do sporządzania roztworu do infuzji,</t>
  </si>
  <si>
    <t xml:space="preserve"> 50 mg </t>
  </si>
  <si>
    <t>Formularz cenowy Część nr 13</t>
  </si>
  <si>
    <t>Dacarbazinum - proszek do sporządzania roztworu do wstrzykiwań lub infuzji</t>
  </si>
  <si>
    <t>10 szt.</t>
  </si>
  <si>
    <t>1 szt.</t>
  </si>
  <si>
    <t>Bleomycinum - proszek do przgotowania roztworu</t>
  </si>
  <si>
    <t>15 mg</t>
  </si>
  <si>
    <t>Carboplatinum - koncentrat do sporządzania roztworu do infuzji</t>
  </si>
  <si>
    <t>600 mg</t>
  </si>
  <si>
    <t>450 mg</t>
  </si>
  <si>
    <t>Fluorouracil -  koncentrat do sporządzania roztworu do infuzji,możliwość łączenia  z acidum levofolicum  w jednym roztworze</t>
  </si>
  <si>
    <t>1000 mg</t>
  </si>
  <si>
    <t>Fluorouracil -  koncentrat do sporządzania roztworu do infuzji</t>
  </si>
  <si>
    <t>5000 mg</t>
  </si>
  <si>
    <t>Acidum levofolicum - roztwór do wstrzykiwań i infuzji, wymóg : możliwość łączenia z fluorouracilem w jednym roztworze</t>
  </si>
  <si>
    <t>Hydroxycarbamidum – kaps</t>
  </si>
  <si>
    <t>op./ 100 szt.</t>
  </si>
  <si>
    <t>Formularz cenowy Część nr 14</t>
  </si>
  <si>
    <t>Lorlatinibum – tabl.powl</t>
  </si>
  <si>
    <t>op./ 30 szt</t>
  </si>
  <si>
    <t>Talazoparibum – kaps.tward</t>
  </si>
  <si>
    <t>0,25 mg</t>
  </si>
  <si>
    <t>Formularz cenowy Część nr 15</t>
  </si>
  <si>
    <t>Cladribine - roztwór do infuzji</t>
  </si>
  <si>
    <t>10 mg / 10 ml</t>
  </si>
  <si>
    <t>Formularz cenowy Część nr 16</t>
  </si>
  <si>
    <t xml:space="preserve">Fulvestrant - roztwór do wstrzykiwań, </t>
  </si>
  <si>
    <t>250 mg / 5 ml</t>
  </si>
  <si>
    <r>
      <t xml:space="preserve">op. / 2 amp.-strz. </t>
    </r>
    <r>
      <rPr>
        <sz val="10"/>
        <rFont val="Calibri"/>
        <family val="2"/>
      </rPr>
      <t>à</t>
    </r>
    <r>
      <rPr>
        <sz val="10"/>
        <rFont val="Arial CE"/>
        <family val="2"/>
      </rPr>
      <t xml:space="preserve"> 5 ml</t>
    </r>
  </si>
  <si>
    <t>Formularz cenowy Część nr 17</t>
  </si>
  <si>
    <t>Cytarabinum -roztwór do wstrzykiwań</t>
  </si>
  <si>
    <t>Cytarabinum -koncentrat / roztwór do wstrzykiwań</t>
  </si>
  <si>
    <t>Cytarabinum -koncentrat /roztwór do wstrzykiwań</t>
  </si>
  <si>
    <t>Formularz cenowy Część nr 18</t>
  </si>
  <si>
    <t>Cabozantinib – tabl.powl.</t>
  </si>
  <si>
    <t>Formularz cenowy Część nr 19</t>
  </si>
  <si>
    <t>Fludarabine phosphate - tabletki powlekane</t>
  </si>
  <si>
    <t>10 mg</t>
  </si>
  <si>
    <t xml:space="preserve"> Op. / 20 szt.</t>
  </si>
  <si>
    <t>Rasburykaza - proszek i rozpuszczalnik do przygotowania koncentratu do sporządzania roztworu do infuzji, 1,5 mg/ml</t>
  </si>
  <si>
    <t>1,5 mg</t>
  </si>
  <si>
    <r>
      <t xml:space="preserve">op. / 3 fiol. </t>
    </r>
    <r>
      <rPr>
        <sz val="10"/>
        <rFont val="Calibri"/>
        <family val="2"/>
      </rPr>
      <t>à</t>
    </r>
    <r>
      <rPr>
        <sz val="10"/>
        <rFont val="Arial CE"/>
        <family val="2"/>
      </rPr>
      <t xml:space="preserve"> 1,5 mg (+ 3 amp. rozp.)</t>
    </r>
  </si>
  <si>
    <t>Formularz cenowy Część nr 20</t>
  </si>
  <si>
    <t>Irinotecan hydrochloride - koncentrat do przygowywania roztworu do wlewu dożylnego,</t>
  </si>
  <si>
    <t xml:space="preserve">300 mg </t>
  </si>
  <si>
    <t>Formularz cenowy Część nr 21</t>
  </si>
  <si>
    <t>Cetuximab - roztwór do infuzji, 5 mg/ml</t>
  </si>
  <si>
    <t>500 mg / 100 ml</t>
  </si>
  <si>
    <t xml:space="preserve"> 100 mg / 20 ml</t>
  </si>
  <si>
    <t>Formularz cenowy Część nr 22</t>
  </si>
  <si>
    <t xml:space="preserve">Vinorelbine kaps. </t>
  </si>
  <si>
    <t>Formularz cenowy Część nr 23</t>
  </si>
  <si>
    <t>Palbociclibum – tabl. powl.</t>
  </si>
  <si>
    <t>75 mg</t>
  </si>
  <si>
    <t>125 mg</t>
  </si>
  <si>
    <t>Formularz cenowy Część nr 24</t>
  </si>
  <si>
    <t>Olaparibum – tabl.powl</t>
  </si>
  <si>
    <t>op. / 56 szt.</t>
  </si>
  <si>
    <t>Acalabrutinib – kaps.</t>
  </si>
  <si>
    <t>Durvalumabum- koncentrat do sporządzania roztworu do infuzji</t>
  </si>
  <si>
    <t>Formularz cenowy Część nr 25</t>
  </si>
  <si>
    <t>Ifosfamidum - inj. proszek do sporządzenia roztworu do wstrzykiwań</t>
  </si>
  <si>
    <t xml:space="preserve">2000 mg </t>
  </si>
  <si>
    <t>Cyclophosphamide - proszek do sporządzenia roztworu do wstrzykiwań</t>
  </si>
  <si>
    <t>Cyclophosphamide - p.o.</t>
  </si>
  <si>
    <t>op. / 50 szt.</t>
  </si>
  <si>
    <t>Mesnum - roztwór do wstrzykiwań</t>
  </si>
  <si>
    <t>400 mg / 4 ml</t>
  </si>
  <si>
    <t>op. / 15 szt.</t>
  </si>
  <si>
    <t>Doxorubicinum - koncentrat do sporządzania roztworu do infuzji, 2 mg/ml  w pegylowanych liposomach</t>
  </si>
  <si>
    <t>20 mg / 10 ml</t>
  </si>
  <si>
    <t>Formularz cenowy Część nr 26</t>
  </si>
  <si>
    <t>Sorafenib (w postaci tozylanu) - tabl. powl.</t>
  </si>
  <si>
    <t>op. / 112 szt.</t>
  </si>
  <si>
    <t>Formularz cenowy Część nr 27</t>
  </si>
  <si>
    <t>Trastuzumab - proszek do przygotowywania roztworu</t>
  </si>
  <si>
    <t xml:space="preserve">150 mg </t>
  </si>
  <si>
    <t>Formularz cenowy Część nr 28</t>
  </si>
  <si>
    <t>Abemaciclibum</t>
  </si>
  <si>
    <t>Formularz cenowy Część nr 29</t>
  </si>
  <si>
    <t>Ropeginterferonum alfa-2b -  roztwór do wstrzykiwań we wstrzykiwaczu,</t>
  </si>
  <si>
    <t>250 µg/0,5 ml</t>
  </si>
  <si>
    <t>op. /1 wstrzyk.po 0,5 ml</t>
  </si>
  <si>
    <t>Anagrelidum - kaps. twarde***</t>
  </si>
  <si>
    <t>*** Preparat z dopuszczeniem do stosowania u chorych z umiarkowaną niewydolnością nerek (dopuszczenie zawarte w ChPL).</t>
  </si>
  <si>
    <t>Formularz cenowy Część nr 30</t>
  </si>
  <si>
    <t>Wielkość oferowanego opakowania</t>
  </si>
  <si>
    <t>Pemetreksed -  koncentrat do sporządzania roztworu do infuzji</t>
  </si>
  <si>
    <t>Bortezomib - proszek do sporządzania roztworu do wstrzykiwań</t>
  </si>
  <si>
    <t>3,5 mg</t>
  </si>
  <si>
    <t>Imatinibum - kaps. Twarde / tabl.powl.</t>
  </si>
  <si>
    <t>400 mg</t>
  </si>
  <si>
    <t>Netupitantum + Palonosetronum – kaps. twarde</t>
  </si>
  <si>
    <t>300 mg + 0,5 mg</t>
  </si>
  <si>
    <t>123000+ 205 mg</t>
  </si>
  <si>
    <t>Formularz cenowy Część nr 31</t>
  </si>
  <si>
    <t xml:space="preserve">Venetoclaxum – tabl.powl </t>
  </si>
  <si>
    <t>op. / 14 szt.</t>
  </si>
  <si>
    <t>op. / 7 szt</t>
  </si>
  <si>
    <t>op. / 7 szt.</t>
  </si>
  <si>
    <t>Formularz cenowy Część nr 32</t>
  </si>
  <si>
    <t>Trifluridinum + Tipiracilum</t>
  </si>
  <si>
    <t>20 mg + 8,19 mg</t>
  </si>
  <si>
    <t>Op, / 60 szt.</t>
  </si>
  <si>
    <t>20400 +    8 353,80</t>
  </si>
  <si>
    <t>15 mg + 6,14 mg</t>
  </si>
  <si>
    <t>16200+ 6631,20</t>
  </si>
  <si>
    <t>Pixantrone -  substancja do sporządzania roztworu do infuzji</t>
  </si>
  <si>
    <t>29 mg</t>
  </si>
  <si>
    <t>Formularz cenowy Część nr 33</t>
  </si>
  <si>
    <t>Darolutamidum - tabl. powl.</t>
  </si>
  <si>
    <t>300 mg</t>
  </si>
  <si>
    <t>op./ 112 szt.</t>
  </si>
  <si>
    <t>Formularz cenowy Część nr 34</t>
  </si>
  <si>
    <t>Brentuximabum vedotinum - proszek do
sporządzania koncentratu
roztworu do infuzji</t>
  </si>
  <si>
    <t>Formularz cenowy Część nr 35</t>
  </si>
  <si>
    <t>Docetaxelum - koncentrat do sporządzania roztworu do infuzji,</t>
  </si>
  <si>
    <t>-</t>
  </si>
  <si>
    <t>Formularz cenowy Część nr 36</t>
  </si>
  <si>
    <t>Pembrolizumab -   koncentrat do sporządzania roztworu do infuzji</t>
  </si>
  <si>
    <t>100 mg / 4 ml</t>
  </si>
  <si>
    <t>Formularz cenowy Część nr 37</t>
  </si>
  <si>
    <t>Ribociclibum- tabl.powl.</t>
  </si>
  <si>
    <t>op. / 63 szt.</t>
  </si>
  <si>
    <t>Formularz cenowy Część nr 38</t>
  </si>
  <si>
    <t>Enzalutamide – tabl.powl</t>
  </si>
  <si>
    <t>Formularz cenowy Część nr 39</t>
  </si>
  <si>
    <t>Alectinib – kaps.tward.</t>
  </si>
  <si>
    <t>op. / 224 szt</t>
  </si>
  <si>
    <t>Formularz cenowy Część nr 40</t>
  </si>
  <si>
    <t>Niraparib – kaps.</t>
  </si>
  <si>
    <t>Formularz cenowy Część nr 41</t>
  </si>
  <si>
    <t>Gemcitabinum - koncentrat do sporządzania roztworu do infuzji</t>
  </si>
  <si>
    <t xml:space="preserve"> 2000 mg </t>
  </si>
  <si>
    <t xml:space="preserve">1000 mg </t>
  </si>
  <si>
    <t xml:space="preserve">Paclitaxel - koncentrat do sporządzania roztworu do wlewu. </t>
  </si>
  <si>
    <t>DOTYCZY WSZYSTKICH CZĘŚCI:</t>
  </si>
  <si>
    <t>1. Zakup poszczególnych dawek będzie uzależniony od zapotrzebowania.</t>
  </si>
  <si>
    <t>2. Wykonawca może zaoferować leki w opakowaniach o wielkości innej niż sugerowana, pod warunkiem, że proponowany preparat w ofeorwanym opakowaniu znajduje się w aktualnym obwieszczeniu MZ i jest refundowany przez NFZ.</t>
  </si>
  <si>
    <t>3. Wykonawca podaje ilość oferowanych opakowań jednostkowych jaką musi dostarczyć w celu wykonania zamówienia. Ilość opakowań należy zaokrąglić do dwóch miejsc po przecinku.</t>
  </si>
  <si>
    <t>Potwierdzenie spełniania wymagań Zamawiającego co do trwałości, przechowywania i ochrony przed światłem muszą znajdować potwierdzenie w ChPL (Charakterystyka Produktu Leczniczego).</t>
  </si>
  <si>
    <t>Preparaty zawierające tę samą substancje czynną oraz bedące w tej samej postaci farmaceutycznej muszą pochodzić od jednego producenta.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</si>
</sst>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  <numFmt numFmtId="165" formatCode="#,##0.0"/>
  </numFmts>
  <fonts count="4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vertAlign val="superscript"/>
      <sz val="10"/>
      <name val="Arial CE"/>
      <family val="2"/>
    </font>
    <font>
      <sz val="10"/>
      <name val="Segoe UI"/>
      <family val="0"/>
    </font>
    <font>
      <sz val="8"/>
      <name val="Arial CE"/>
      <family val="2"/>
    </font>
    <font>
      <vertAlign val="superscript"/>
      <sz val="9"/>
      <name val="Arial CE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53"/>
      <name val="Arial CE"/>
      <family val="2"/>
    </font>
    <font>
      <sz val="10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Border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3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9" fontId="9" fillId="0" borderId="11" xfId="44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 vertical="center"/>
    </xf>
    <xf numFmtId="9" fontId="0" fillId="0" borderId="10" xfId="53" applyFont="1" applyFill="1" applyBorder="1" applyAlignment="1" applyProtection="1">
      <alignment horizontal="center" vertical="center"/>
      <protection/>
    </xf>
    <xf numFmtId="0" fontId="10" fillId="0" borderId="11" xfId="44" applyNumberFormat="1" applyFont="1" applyFill="1" applyBorder="1" applyAlignment="1" applyProtection="1">
      <alignment horizontal="center" vertical="center" wrapText="1"/>
      <protection/>
    </xf>
    <xf numFmtId="164" fontId="1" fillId="0" borderId="11" xfId="44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9" fontId="0" fillId="0" borderId="0" xfId="53" applyFont="1" applyFill="1" applyBorder="1" applyAlignment="1" applyProtection="1">
      <alignment horizontal="center" vertical="center"/>
      <protection/>
    </xf>
    <xf numFmtId="164" fontId="1" fillId="0" borderId="0" xfId="44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10" fillId="0" borderId="11" xfId="44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9" fontId="0" fillId="0" borderId="11" xfId="53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9" fontId="10" fillId="0" borderId="0" xfId="44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9" fontId="9" fillId="0" borderId="0" xfId="44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4" fontId="1" fillId="0" borderId="11" xfId="44" applyNumberFormat="1" applyFont="1" applyFill="1" applyBorder="1" applyAlignment="1" applyProtection="1">
      <alignment horizontal="center" vertical="center" wrapText="1"/>
      <protection/>
    </xf>
    <xf numFmtId="4" fontId="1" fillId="0" borderId="0" xfId="44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49" fontId="1" fillId="0" borderId="0" xfId="44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49" fontId="1" fillId="0" borderId="11" xfId="44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1" xfId="44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49" fontId="14" fillId="0" borderId="0" xfId="44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1" fillId="0" borderId="11" xfId="44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49" fontId="10" fillId="0" borderId="0" xfId="44" applyNumberFormat="1" applyFont="1" applyFill="1" applyBorder="1" applyAlignment="1" applyProtection="1">
      <alignment horizontal="center" vertical="center" wrapText="1"/>
      <protection/>
    </xf>
    <xf numFmtId="49" fontId="10" fillId="0" borderId="11" xfId="44" applyNumberFormat="1" applyFont="1" applyFill="1" applyBorder="1" applyAlignment="1" applyProtection="1">
      <alignment horizontal="center" vertical="center" wrapText="1"/>
      <protection/>
    </xf>
    <xf numFmtId="49" fontId="1" fillId="0" borderId="0" xfId="44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9" fontId="10" fillId="0" borderId="11" xfId="4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oje%20dokumenty\Downloads\Kopia%20propozycja%202018%20onkolog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_2017"/>
      <sheetName val="szacowanie_201809"/>
      <sheetName val="spr_2017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7"/>
  <sheetViews>
    <sheetView tabSelected="1" zoomScale="85" zoomScaleNormal="85" zoomScalePageLayoutView="0" workbookViewId="0" topLeftCell="A1">
      <selection activeCell="M316" sqref="M316"/>
    </sheetView>
  </sheetViews>
  <sheetFormatPr defaultColWidth="0.875" defaultRowHeight="12.75"/>
  <cols>
    <col min="1" max="1" width="4.125" style="1" customWidth="1"/>
    <col min="2" max="2" width="27.25390625" style="1" customWidth="1"/>
    <col min="3" max="3" width="10.75390625" style="1" customWidth="1"/>
    <col min="4" max="4" width="11.25390625" style="1" customWidth="1"/>
    <col min="5" max="6" width="10.375" style="1" customWidth="1"/>
    <col min="7" max="7" width="10.125" style="1" customWidth="1"/>
    <col min="8" max="8" width="10.25390625" style="1" customWidth="1"/>
    <col min="9" max="9" width="10.125" style="1" customWidth="1"/>
    <col min="10" max="10" width="11.375" style="1" customWidth="1"/>
    <col min="11" max="11" width="9.75390625" style="2" customWidth="1"/>
    <col min="12" max="12" width="5.25390625" style="1" customWidth="1"/>
    <col min="13" max="13" width="11.75390625" style="3" customWidth="1"/>
    <col min="14" max="14" width="13.00390625" style="3" customWidth="1"/>
    <col min="15" max="15" width="13.00390625" style="2" customWidth="1"/>
    <col min="16" max="16" width="0.875" style="1" customWidth="1"/>
    <col min="17" max="17" width="3.125" style="4" customWidth="1"/>
    <col min="18" max="18" width="0" style="4" hidden="1" customWidth="1"/>
    <col min="19" max="19" width="17.25390625" style="4" customWidth="1"/>
    <col min="20" max="20" width="10.25390625" style="4" customWidth="1"/>
    <col min="21" max="22" width="10.375" style="4" customWidth="1"/>
    <col min="23" max="24" width="0" style="4" hidden="1" customWidth="1"/>
    <col min="25" max="25" width="10.125" style="4" customWidth="1"/>
    <col min="26" max="26" width="10.625" style="4" customWidth="1"/>
    <col min="27" max="27" width="9.75390625" style="4" customWidth="1"/>
    <col min="28" max="28" width="4.625" style="4" customWidth="1"/>
    <col min="29" max="29" width="11.75390625" style="4" customWidth="1"/>
    <col min="30" max="30" width="13.00390625" style="4" customWidth="1"/>
    <col min="31" max="31" width="0.875" style="4" customWidth="1"/>
    <col min="32" max="32" width="3.125" style="4" customWidth="1"/>
    <col min="33" max="33" width="0" style="4" hidden="1" customWidth="1"/>
    <col min="34" max="34" width="10.75390625" style="4" customWidth="1"/>
    <col min="35" max="35" width="10.25390625" style="4" customWidth="1"/>
    <col min="36" max="37" width="10.375" style="4" customWidth="1"/>
    <col min="38" max="39" width="0" style="4" hidden="1" customWidth="1"/>
    <col min="40" max="40" width="10.125" style="4" customWidth="1"/>
    <col min="41" max="41" width="10.625" style="4" customWidth="1"/>
    <col min="42" max="42" width="9.75390625" style="4" customWidth="1"/>
    <col min="43" max="43" width="4.625" style="4" customWidth="1"/>
    <col min="44" max="44" width="11.75390625" style="4" customWidth="1"/>
    <col min="45" max="45" width="13.00390625" style="4" customWidth="1"/>
    <col min="46" max="239" width="9.125" style="4" customWidth="1"/>
    <col min="240" max="241" width="11.625" style="4" customWidth="1"/>
    <col min="242" max="242" width="3.125" style="4" customWidth="1"/>
    <col min="243" max="243" width="22.875" style="4" customWidth="1"/>
    <col min="244" max="244" width="10.75390625" style="4" customWidth="1"/>
    <col min="245" max="245" width="10.25390625" style="4" customWidth="1"/>
    <col min="246" max="248" width="10.375" style="4" customWidth="1"/>
    <col min="249" max="250" width="10.125" style="4" customWidth="1"/>
    <col min="251" max="251" width="10.625" style="4" customWidth="1"/>
    <col min="252" max="252" width="9.75390625" style="4" customWidth="1"/>
    <col min="253" max="253" width="4.625" style="4" customWidth="1"/>
    <col min="254" max="254" width="11.75390625" style="4" customWidth="1"/>
    <col min="255" max="255" width="13.00390625" style="4" customWidth="1"/>
    <col min="256" max="16384" width="0.875" style="4" customWidth="1"/>
  </cols>
  <sheetData>
    <row r="1" ht="12.75">
      <c r="A1" s="5" t="s">
        <v>0</v>
      </c>
    </row>
    <row r="2" spans="1:15" ht="85.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6" t="s">
        <v>9</v>
      </c>
      <c r="J2" s="6" t="s">
        <v>10</v>
      </c>
      <c r="K2" s="9" t="s">
        <v>11</v>
      </c>
      <c r="L2" s="7" t="s">
        <v>12</v>
      </c>
      <c r="M2" s="10" t="s">
        <v>13</v>
      </c>
      <c r="N2" s="9" t="s">
        <v>14</v>
      </c>
      <c r="O2" s="9" t="s">
        <v>15</v>
      </c>
    </row>
    <row r="3" spans="1:15" ht="25.5" customHeight="1">
      <c r="A3" s="11">
        <v>1</v>
      </c>
      <c r="B3" s="86" t="s">
        <v>16</v>
      </c>
      <c r="C3" s="13" t="s">
        <v>17</v>
      </c>
      <c r="D3" s="11" t="s">
        <v>18</v>
      </c>
      <c r="E3" s="84">
        <v>1080</v>
      </c>
      <c r="F3" s="11">
        <v>3</v>
      </c>
      <c r="G3" s="11"/>
      <c r="H3" s="11"/>
      <c r="I3" s="11"/>
      <c r="J3" s="14"/>
      <c r="K3" s="15">
        <f>M3*0.92</f>
        <v>0</v>
      </c>
      <c r="L3" s="16">
        <v>0.08</v>
      </c>
      <c r="M3" s="17"/>
      <c r="N3" s="18">
        <f>K3*F3</f>
        <v>0</v>
      </c>
      <c r="O3" s="15">
        <f>ROUND(F3*M3,0)</f>
        <v>0</v>
      </c>
    </row>
    <row r="4" spans="1:15" ht="30" customHeight="1">
      <c r="A4" s="11">
        <f>A3+1</f>
        <v>2</v>
      </c>
      <c r="B4" s="86"/>
      <c r="C4" s="12" t="s">
        <v>19</v>
      </c>
      <c r="D4" s="11" t="s">
        <v>18</v>
      </c>
      <c r="E4" s="84">
        <v>540</v>
      </c>
      <c r="F4" s="11">
        <v>6</v>
      </c>
      <c r="G4" s="11"/>
      <c r="H4" s="11"/>
      <c r="I4" s="11"/>
      <c r="J4" s="14"/>
      <c r="K4" s="15">
        <f>M4*0.92</f>
        <v>0</v>
      </c>
      <c r="L4" s="16">
        <v>0.08</v>
      </c>
      <c r="M4" s="17"/>
      <c r="N4" s="18">
        <f>K4*F4</f>
        <v>0</v>
      </c>
      <c r="O4" s="15">
        <f>ROUND(F4*M4,2)</f>
        <v>0</v>
      </c>
    </row>
    <row r="5" spans="1:15" ht="21" customHeight="1">
      <c r="A5" s="84" t="s">
        <v>20</v>
      </c>
      <c r="B5" s="84"/>
      <c r="C5" s="84"/>
      <c r="D5" s="84"/>
      <c r="E5" s="84"/>
      <c r="F5" s="84"/>
      <c r="G5" s="84"/>
      <c r="H5" s="84"/>
      <c r="I5" s="84"/>
      <c r="J5" s="84"/>
      <c r="K5" s="15"/>
      <c r="L5" s="11"/>
      <c r="M5" s="15"/>
      <c r="N5" s="15">
        <f>SUM(N3:N4)</f>
        <v>0</v>
      </c>
      <c r="O5" s="15">
        <f>SUM(O3:O4)</f>
        <v>0</v>
      </c>
    </row>
    <row r="6" spans="1:15" ht="30" customHeight="1">
      <c r="A6" s="19"/>
      <c r="B6" s="20"/>
      <c r="C6" s="19"/>
      <c r="D6" s="19"/>
      <c r="E6" s="19"/>
      <c r="F6" s="19"/>
      <c r="G6" s="19"/>
      <c r="H6" s="19"/>
      <c r="I6" s="19"/>
      <c r="J6" s="19"/>
      <c r="K6" s="21"/>
      <c r="L6" s="22"/>
      <c r="M6" s="23"/>
      <c r="N6" s="23"/>
      <c r="O6" s="21"/>
    </row>
    <row r="8" spans="1:16" s="28" customFormat="1" ht="12.75">
      <c r="A8" s="24" t="s">
        <v>21</v>
      </c>
      <c r="B8" s="25"/>
      <c r="C8" s="25"/>
      <c r="D8" s="25"/>
      <c r="E8" s="25"/>
      <c r="F8" s="25"/>
      <c r="G8" s="25"/>
      <c r="H8" s="25"/>
      <c r="I8" s="25"/>
      <c r="J8" s="25"/>
      <c r="K8" s="26"/>
      <c r="L8" s="25"/>
      <c r="M8" s="27"/>
      <c r="N8" s="27"/>
      <c r="O8" s="26"/>
      <c r="P8" s="25"/>
    </row>
    <row r="9" spans="1:16" s="28" customFormat="1" ht="85.5">
      <c r="A9" s="29" t="s">
        <v>1</v>
      </c>
      <c r="B9" s="30" t="s">
        <v>2</v>
      </c>
      <c r="C9" s="30" t="s">
        <v>3</v>
      </c>
      <c r="D9" s="30" t="s">
        <v>4</v>
      </c>
      <c r="E9" s="30" t="s">
        <v>22</v>
      </c>
      <c r="F9" s="30" t="s">
        <v>6</v>
      </c>
      <c r="G9" s="30" t="s">
        <v>7</v>
      </c>
      <c r="H9" s="29" t="s">
        <v>8</v>
      </c>
      <c r="I9" s="6" t="s">
        <v>9</v>
      </c>
      <c r="J9" s="6" t="s">
        <v>10</v>
      </c>
      <c r="K9" s="31" t="s">
        <v>11</v>
      </c>
      <c r="L9" s="30" t="s">
        <v>12</v>
      </c>
      <c r="M9" s="32" t="s">
        <v>13</v>
      </c>
      <c r="N9" s="9" t="s">
        <v>14</v>
      </c>
      <c r="O9" s="31" t="s">
        <v>15</v>
      </c>
      <c r="P9" s="25"/>
    </row>
    <row r="10" spans="1:15" ht="25.5">
      <c r="A10" s="33">
        <v>1</v>
      </c>
      <c r="B10" s="34" t="s">
        <v>23</v>
      </c>
      <c r="C10" s="35" t="s">
        <v>24</v>
      </c>
      <c r="D10" s="35" t="s">
        <v>18</v>
      </c>
      <c r="E10" s="36">
        <f>F10*6</f>
        <v>6000</v>
      </c>
      <c r="F10" s="37">
        <v>1000</v>
      </c>
      <c r="G10" s="36"/>
      <c r="H10" s="36"/>
      <c r="I10" s="36"/>
      <c r="J10" s="14"/>
      <c r="K10" s="38">
        <f>M10*0.92</f>
        <v>0</v>
      </c>
      <c r="L10" s="39">
        <v>0.08</v>
      </c>
      <c r="M10" s="40"/>
      <c r="N10" s="18">
        <f>K10*F10</f>
        <v>0</v>
      </c>
      <c r="O10" s="38">
        <f>ROUND(F10*M10,2)</f>
        <v>0</v>
      </c>
    </row>
    <row r="11" spans="1:15" ht="12.75">
      <c r="A11" s="41"/>
      <c r="B11" s="42"/>
      <c r="C11"/>
      <c r="D11"/>
      <c r="E11" s="43"/>
      <c r="F11" s="44"/>
      <c r="G11" s="41"/>
      <c r="H11" s="41"/>
      <c r="I11" s="41"/>
      <c r="J11" s="41"/>
      <c r="K11" s="21"/>
      <c r="L11" s="22"/>
      <c r="M11" s="45"/>
      <c r="N11" s="23"/>
      <c r="O11" s="21"/>
    </row>
    <row r="12" spans="1:15" ht="12.75">
      <c r="A12" s="41"/>
      <c r="B12" s="42"/>
      <c r="C12"/>
      <c r="D12"/>
      <c r="E12" s="43"/>
      <c r="F12" s="44"/>
      <c r="G12" s="41"/>
      <c r="H12" s="41"/>
      <c r="I12" s="41"/>
      <c r="J12" s="41"/>
      <c r="K12" s="21"/>
      <c r="L12" s="22"/>
      <c r="M12" s="45"/>
      <c r="N12" s="23"/>
      <c r="O12" s="21"/>
    </row>
    <row r="13" spans="1:16" s="28" customFormat="1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5"/>
      <c r="M13" s="27"/>
      <c r="N13" s="27"/>
      <c r="O13" s="26"/>
      <c r="P13" s="25"/>
    </row>
    <row r="14" spans="1:16" s="28" customFormat="1" ht="12.75">
      <c r="A14" s="24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5"/>
      <c r="M14" s="27"/>
      <c r="N14" s="27"/>
      <c r="O14" s="26"/>
      <c r="P14" s="25"/>
    </row>
    <row r="15" spans="1:16" s="28" customFormat="1" ht="85.5">
      <c r="A15" s="29" t="s">
        <v>1</v>
      </c>
      <c r="B15" s="30" t="s">
        <v>2</v>
      </c>
      <c r="C15" s="30" t="s">
        <v>3</v>
      </c>
      <c r="D15" s="30" t="s">
        <v>4</v>
      </c>
      <c r="E15" s="30" t="s">
        <v>26</v>
      </c>
      <c r="F15" s="30" t="s">
        <v>6</v>
      </c>
      <c r="G15" s="30" t="s">
        <v>7</v>
      </c>
      <c r="H15" s="29" t="s">
        <v>8</v>
      </c>
      <c r="I15" s="6" t="s">
        <v>9</v>
      </c>
      <c r="J15" s="6" t="s">
        <v>10</v>
      </c>
      <c r="K15" s="31" t="s">
        <v>11</v>
      </c>
      <c r="L15" s="30" t="s">
        <v>12</v>
      </c>
      <c r="M15" s="32" t="s">
        <v>13</v>
      </c>
      <c r="N15" s="9" t="s">
        <v>14</v>
      </c>
      <c r="O15" s="31" t="s">
        <v>15</v>
      </c>
      <c r="P15" s="25"/>
    </row>
    <row r="16" spans="1:15" ht="20.25" customHeight="1">
      <c r="A16" s="11">
        <v>1</v>
      </c>
      <c r="B16" s="97" t="s">
        <v>27</v>
      </c>
      <c r="C16" s="11" t="s">
        <v>28</v>
      </c>
      <c r="D16" s="11" t="s">
        <v>29</v>
      </c>
      <c r="E16" s="84">
        <v>9250</v>
      </c>
      <c r="F16" s="11">
        <v>5</v>
      </c>
      <c r="G16" s="11"/>
      <c r="H16" s="11"/>
      <c r="I16" s="11"/>
      <c r="J16" s="46"/>
      <c r="K16" s="15">
        <f aca="true" t="shared" si="0" ref="K16:K26">M16*0.92</f>
        <v>0</v>
      </c>
      <c r="L16" s="16">
        <v>0.08</v>
      </c>
      <c r="M16" s="15"/>
      <c r="N16" s="18">
        <f aca="true" t="shared" si="1" ref="N16:N26">K16*F16</f>
        <v>0</v>
      </c>
      <c r="O16" s="15">
        <f aca="true" t="shared" si="2" ref="O16:O26">ROUND(F16*M16,2)</f>
        <v>0</v>
      </c>
    </row>
    <row r="17" spans="1:15" ht="32.25" customHeight="1">
      <c r="A17" s="11">
        <f>A16+1</f>
        <v>2</v>
      </c>
      <c r="B17" s="97"/>
      <c r="C17" s="11" t="s">
        <v>30</v>
      </c>
      <c r="D17" s="11" t="s">
        <v>29</v>
      </c>
      <c r="E17" s="84"/>
      <c r="F17" s="11">
        <v>90</v>
      </c>
      <c r="G17" s="11"/>
      <c r="H17" s="11"/>
      <c r="I17" s="11"/>
      <c r="J17" s="11"/>
      <c r="K17" s="15">
        <f t="shared" si="0"/>
        <v>0</v>
      </c>
      <c r="L17" s="16">
        <v>0.08</v>
      </c>
      <c r="M17" s="15"/>
      <c r="N17" s="18">
        <f t="shared" si="1"/>
        <v>0</v>
      </c>
      <c r="O17" s="15">
        <f t="shared" si="2"/>
        <v>0</v>
      </c>
    </row>
    <row r="18" spans="1:16" s="28" customFormat="1" ht="38.25">
      <c r="A18" s="33">
        <f>A17+1</f>
        <v>3</v>
      </c>
      <c r="B18" s="30" t="s">
        <v>31</v>
      </c>
      <c r="C18" s="30" t="s">
        <v>32</v>
      </c>
      <c r="D18" s="30" t="s">
        <v>18</v>
      </c>
      <c r="E18" s="33">
        <f>F18*4</f>
        <v>2080</v>
      </c>
      <c r="F18" s="30">
        <v>520</v>
      </c>
      <c r="G18" s="33"/>
      <c r="H18" s="33"/>
      <c r="I18" s="33"/>
      <c r="J18" s="33"/>
      <c r="K18" s="15">
        <f t="shared" si="0"/>
        <v>0</v>
      </c>
      <c r="L18" s="16">
        <v>0.08</v>
      </c>
      <c r="M18" s="47"/>
      <c r="N18" s="18">
        <f t="shared" si="1"/>
        <v>0</v>
      </c>
      <c r="O18" s="15">
        <f t="shared" si="2"/>
        <v>0</v>
      </c>
      <c r="P18" s="25"/>
    </row>
    <row r="19" spans="1:16" s="28" customFormat="1" ht="28.5" customHeight="1">
      <c r="A19" s="33">
        <f>A18+1</f>
        <v>4</v>
      </c>
      <c r="B19" s="48" t="s">
        <v>33</v>
      </c>
      <c r="C19" s="30" t="s">
        <v>34</v>
      </c>
      <c r="D19" s="33" t="s">
        <v>35</v>
      </c>
      <c r="E19" s="33">
        <f>F19*100*2</f>
        <v>11200</v>
      </c>
      <c r="F19" s="33">
        <v>56</v>
      </c>
      <c r="G19" s="33"/>
      <c r="H19" s="33"/>
      <c r="I19" s="33"/>
      <c r="J19" s="14"/>
      <c r="K19" s="15">
        <f t="shared" si="0"/>
        <v>0</v>
      </c>
      <c r="L19" s="16">
        <v>0.08</v>
      </c>
      <c r="M19" s="18"/>
      <c r="N19" s="18">
        <f t="shared" si="1"/>
        <v>0</v>
      </c>
      <c r="O19" s="15">
        <f t="shared" si="2"/>
        <v>0</v>
      </c>
      <c r="P19" s="25"/>
    </row>
    <row r="20" spans="1:16" s="28" customFormat="1" ht="38.25">
      <c r="A20" s="33">
        <f>A19+1</f>
        <v>5</v>
      </c>
      <c r="B20" s="34" t="s">
        <v>36</v>
      </c>
      <c r="C20" s="30" t="s">
        <v>37</v>
      </c>
      <c r="D20" s="33" t="s">
        <v>18</v>
      </c>
      <c r="E20" s="33">
        <v>1000</v>
      </c>
      <c r="F20" s="33">
        <v>20</v>
      </c>
      <c r="G20" s="33"/>
      <c r="H20" s="33"/>
      <c r="I20" s="33"/>
      <c r="J20" s="14"/>
      <c r="K20" s="15">
        <f t="shared" si="0"/>
        <v>0</v>
      </c>
      <c r="L20" s="16">
        <v>0.08</v>
      </c>
      <c r="M20" s="18"/>
      <c r="N20" s="18">
        <f t="shared" si="1"/>
        <v>0</v>
      </c>
      <c r="O20" s="15">
        <f t="shared" si="2"/>
        <v>0</v>
      </c>
      <c r="P20" s="25"/>
    </row>
    <row r="21" spans="1:16" s="28" customFormat="1" ht="38.25">
      <c r="A21" s="33">
        <f>A20+1</f>
        <v>6</v>
      </c>
      <c r="B21" s="42" t="s">
        <v>38</v>
      </c>
      <c r="C21" s="30" t="s">
        <v>39</v>
      </c>
      <c r="D21" s="33" t="s">
        <v>18</v>
      </c>
      <c r="E21" s="33">
        <v>9000</v>
      </c>
      <c r="F21" s="33">
        <v>45</v>
      </c>
      <c r="G21" s="33"/>
      <c r="H21" s="33"/>
      <c r="I21" s="33"/>
      <c r="J21" s="46"/>
      <c r="K21" s="15">
        <f t="shared" si="0"/>
        <v>0</v>
      </c>
      <c r="L21" s="16">
        <v>0.08</v>
      </c>
      <c r="M21" s="18"/>
      <c r="N21" s="18">
        <f t="shared" si="1"/>
        <v>0</v>
      </c>
      <c r="O21" s="15">
        <f t="shared" si="2"/>
        <v>0</v>
      </c>
      <c r="P21" s="25"/>
    </row>
    <row r="22" spans="1:16" s="28" customFormat="1" ht="12.75" customHeight="1">
      <c r="A22" s="33">
        <v>7</v>
      </c>
      <c r="B22" s="98" t="s">
        <v>40</v>
      </c>
      <c r="C22" s="30" t="s">
        <v>41</v>
      </c>
      <c r="D22" s="33" t="s">
        <v>42</v>
      </c>
      <c r="E22" s="79">
        <v>117600</v>
      </c>
      <c r="F22" s="33">
        <v>12</v>
      </c>
      <c r="G22" s="33"/>
      <c r="H22" s="33"/>
      <c r="I22" s="36"/>
      <c r="J22" s="14"/>
      <c r="K22" s="15">
        <f t="shared" si="0"/>
        <v>0</v>
      </c>
      <c r="L22" s="16">
        <v>0.08</v>
      </c>
      <c r="M22" s="18"/>
      <c r="N22" s="18">
        <f t="shared" si="1"/>
        <v>0</v>
      </c>
      <c r="O22" s="15">
        <f t="shared" si="2"/>
        <v>0</v>
      </c>
      <c r="P22" s="25"/>
    </row>
    <row r="23" spans="1:16" s="28" customFormat="1" ht="12.75">
      <c r="A23" s="33">
        <v>8</v>
      </c>
      <c r="B23" s="98"/>
      <c r="C23" s="30" t="s">
        <v>39</v>
      </c>
      <c r="D23" s="33" t="s">
        <v>43</v>
      </c>
      <c r="E23" s="79"/>
      <c r="F23" s="33">
        <v>3</v>
      </c>
      <c r="G23" s="33"/>
      <c r="H23" s="33"/>
      <c r="I23" s="33"/>
      <c r="J23" s="33"/>
      <c r="K23" s="15">
        <f t="shared" si="0"/>
        <v>0</v>
      </c>
      <c r="L23" s="16">
        <v>0.08</v>
      </c>
      <c r="M23" s="18"/>
      <c r="N23" s="18">
        <f t="shared" si="1"/>
        <v>0</v>
      </c>
      <c r="O23" s="15">
        <f t="shared" si="2"/>
        <v>0</v>
      </c>
      <c r="P23" s="25"/>
    </row>
    <row r="24" spans="1:16" s="28" customFormat="1" ht="12.75" customHeight="1">
      <c r="A24" s="33">
        <v>9</v>
      </c>
      <c r="B24" s="78" t="s">
        <v>44</v>
      </c>
      <c r="C24" s="30" t="s">
        <v>45</v>
      </c>
      <c r="D24" s="33" t="s">
        <v>18</v>
      </c>
      <c r="E24" s="79">
        <f>F24*100+F25*40</f>
        <v>16560</v>
      </c>
      <c r="F24" s="33">
        <v>138</v>
      </c>
      <c r="G24" s="33"/>
      <c r="H24" s="33"/>
      <c r="I24" s="33"/>
      <c r="J24" s="14"/>
      <c r="K24" s="15">
        <f t="shared" si="0"/>
        <v>0</v>
      </c>
      <c r="L24" s="16">
        <v>0.08</v>
      </c>
      <c r="M24" s="47"/>
      <c r="N24" s="18">
        <f t="shared" si="1"/>
        <v>0</v>
      </c>
      <c r="O24" s="47">
        <f t="shared" si="2"/>
        <v>0</v>
      </c>
      <c r="P24" s="25"/>
    </row>
    <row r="25" spans="1:16" s="28" customFormat="1" ht="12.75">
      <c r="A25" s="33">
        <v>10</v>
      </c>
      <c r="B25" s="78"/>
      <c r="C25" s="30" t="s">
        <v>34</v>
      </c>
      <c r="D25" s="33" t="s">
        <v>18</v>
      </c>
      <c r="E25" s="79"/>
      <c r="F25" s="33">
        <v>69</v>
      </c>
      <c r="G25" s="33"/>
      <c r="H25" s="33"/>
      <c r="I25" s="33"/>
      <c r="J25" s="14"/>
      <c r="K25" s="15">
        <f t="shared" si="0"/>
        <v>0</v>
      </c>
      <c r="L25" s="16">
        <v>0.08</v>
      </c>
      <c r="M25" s="47"/>
      <c r="N25" s="18">
        <f t="shared" si="1"/>
        <v>0</v>
      </c>
      <c r="O25" s="47">
        <f t="shared" si="2"/>
        <v>0</v>
      </c>
      <c r="P25" s="25"/>
    </row>
    <row r="26" spans="1:16" s="28" customFormat="1" ht="12.75">
      <c r="A26" s="33">
        <v>11</v>
      </c>
      <c r="B26" s="30" t="s">
        <v>46</v>
      </c>
      <c r="C26" s="30" t="s">
        <v>47</v>
      </c>
      <c r="D26" s="30" t="s">
        <v>48</v>
      </c>
      <c r="E26" s="33">
        <v>70000</v>
      </c>
      <c r="F26" s="30">
        <v>4</v>
      </c>
      <c r="G26" s="33"/>
      <c r="H26" s="33"/>
      <c r="I26" s="33"/>
      <c r="J26" s="46"/>
      <c r="K26" s="15">
        <f t="shared" si="0"/>
        <v>0</v>
      </c>
      <c r="L26" s="16">
        <v>0.08</v>
      </c>
      <c r="M26" s="47"/>
      <c r="N26" s="18">
        <f t="shared" si="1"/>
        <v>0</v>
      </c>
      <c r="O26" s="15">
        <f t="shared" si="2"/>
        <v>0</v>
      </c>
      <c r="P26" s="25"/>
    </row>
    <row r="27" spans="1:16" s="28" customFormat="1" ht="12.75">
      <c r="A27" s="79" t="s">
        <v>20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47">
        <f>SUM(N16:N26)</f>
        <v>0</v>
      </c>
      <c r="O27" s="47">
        <f>SUM(O16:O26)</f>
        <v>0</v>
      </c>
      <c r="P27" s="25"/>
    </row>
    <row r="28" spans="1:16" s="28" customFormat="1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5"/>
      <c r="O28" s="45"/>
      <c r="P28" s="25"/>
    </row>
    <row r="29" spans="1:16" s="28" customFormat="1" ht="12.75">
      <c r="A29" s="5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2"/>
      <c r="L29" s="1"/>
      <c r="M29" s="3"/>
      <c r="N29" s="3"/>
      <c r="O29" s="2"/>
      <c r="P29" s="25"/>
    </row>
    <row r="30" spans="1:16" s="28" customFormat="1" ht="85.5">
      <c r="A30" s="6" t="s">
        <v>1</v>
      </c>
      <c r="B30" s="7" t="s">
        <v>2</v>
      </c>
      <c r="C30" s="7" t="s">
        <v>3</v>
      </c>
      <c r="D30" s="7" t="s">
        <v>4</v>
      </c>
      <c r="E30" s="7" t="s">
        <v>5</v>
      </c>
      <c r="F30" s="7" t="s">
        <v>6</v>
      </c>
      <c r="G30" s="7" t="s">
        <v>7</v>
      </c>
      <c r="H30" s="8" t="s">
        <v>8</v>
      </c>
      <c r="I30" s="6" t="s">
        <v>9</v>
      </c>
      <c r="J30" s="6" t="s">
        <v>10</v>
      </c>
      <c r="K30" s="9" t="s">
        <v>11</v>
      </c>
      <c r="L30" s="7" t="s">
        <v>12</v>
      </c>
      <c r="M30" s="10" t="s">
        <v>13</v>
      </c>
      <c r="N30" s="9" t="s">
        <v>14</v>
      </c>
      <c r="O30" s="9" t="s">
        <v>15</v>
      </c>
      <c r="P30" s="25"/>
    </row>
    <row r="31" spans="1:16" s="28" customFormat="1" ht="27" customHeight="1">
      <c r="A31" s="11">
        <v>1</v>
      </c>
      <c r="B31" s="87" t="s">
        <v>50</v>
      </c>
      <c r="C31" s="13" t="s">
        <v>51</v>
      </c>
      <c r="D31" s="11" t="s">
        <v>35</v>
      </c>
      <c r="E31" s="84">
        <v>220000</v>
      </c>
      <c r="F31" s="11">
        <v>350</v>
      </c>
      <c r="G31" s="11"/>
      <c r="H31" s="11"/>
      <c r="I31" s="11"/>
      <c r="J31" s="11"/>
      <c r="K31" s="15">
        <f>M31*0.92</f>
        <v>0</v>
      </c>
      <c r="L31" s="16">
        <v>0.08</v>
      </c>
      <c r="M31" s="18"/>
      <c r="N31" s="18">
        <f>K31*F31</f>
        <v>0</v>
      </c>
      <c r="O31" s="15">
        <f>ROUND(F31*M31,2)</f>
        <v>0</v>
      </c>
      <c r="P31" s="25"/>
    </row>
    <row r="32" spans="1:16" s="28" customFormat="1" ht="25.5">
      <c r="A32" s="11">
        <f>A31+1</f>
        <v>2</v>
      </c>
      <c r="B32" s="87"/>
      <c r="C32" s="12" t="s">
        <v>52</v>
      </c>
      <c r="D32" s="11" t="s">
        <v>18</v>
      </c>
      <c r="E32" s="84">
        <v>540</v>
      </c>
      <c r="F32" s="11">
        <v>300</v>
      </c>
      <c r="G32" s="11"/>
      <c r="H32" s="11"/>
      <c r="I32" s="11"/>
      <c r="J32" s="11"/>
      <c r="K32" s="15">
        <f>M32*0.92</f>
        <v>0</v>
      </c>
      <c r="L32" s="16">
        <v>0.08</v>
      </c>
      <c r="M32" s="18"/>
      <c r="N32" s="18">
        <f>K32*F32</f>
        <v>0</v>
      </c>
      <c r="O32" s="15">
        <f>ROUND(F32*M32,2)</f>
        <v>0</v>
      </c>
      <c r="P32" s="25"/>
    </row>
    <row r="33" spans="1:16" s="28" customFormat="1" ht="12.75">
      <c r="A33" s="84" t="s">
        <v>20</v>
      </c>
      <c r="B33" s="84"/>
      <c r="C33" s="84"/>
      <c r="D33" s="84"/>
      <c r="E33" s="84"/>
      <c r="F33" s="84"/>
      <c r="G33" s="84"/>
      <c r="H33" s="84"/>
      <c r="I33" s="84"/>
      <c r="J33" s="84"/>
      <c r="K33" s="15"/>
      <c r="L33" s="11"/>
      <c r="M33" s="15"/>
      <c r="N33" s="15">
        <f>SUM(N31:N32)</f>
        <v>0</v>
      </c>
      <c r="O33" s="15">
        <f>SUM(O31:O32)</f>
        <v>0</v>
      </c>
      <c r="P33" s="25"/>
    </row>
    <row r="34" spans="1:16" s="28" customFormat="1" ht="12.75">
      <c r="A34" s="25"/>
      <c r="B34" s="41"/>
      <c r="C34" s="41"/>
      <c r="D34" s="41"/>
      <c r="E34" s="41"/>
      <c r="F34" s="41"/>
      <c r="G34" s="41"/>
      <c r="H34" s="25"/>
      <c r="I34" s="25"/>
      <c r="J34" s="25"/>
      <c r="K34" s="26"/>
      <c r="L34" s="25"/>
      <c r="M34" s="27"/>
      <c r="N34" s="27"/>
      <c r="O34" s="26"/>
      <c r="P34" s="25"/>
    </row>
    <row r="35" spans="1:16" s="28" customFormat="1" ht="12.75">
      <c r="A35" s="24" t="s">
        <v>53</v>
      </c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25"/>
      <c r="M35" s="27"/>
      <c r="N35" s="27"/>
      <c r="O35" s="26"/>
      <c r="P35" s="25"/>
    </row>
    <row r="36" spans="1:16" s="28" customFormat="1" ht="85.5">
      <c r="A36" s="29" t="s">
        <v>1</v>
      </c>
      <c r="B36" s="30" t="s">
        <v>2</v>
      </c>
      <c r="C36" s="30" t="s">
        <v>3</v>
      </c>
      <c r="D36" s="30" t="s">
        <v>4</v>
      </c>
      <c r="E36" s="30" t="s">
        <v>26</v>
      </c>
      <c r="F36" s="30" t="s">
        <v>6</v>
      </c>
      <c r="G36" s="30" t="s">
        <v>7</v>
      </c>
      <c r="H36" s="29" t="s">
        <v>8</v>
      </c>
      <c r="I36" s="6" t="s">
        <v>9</v>
      </c>
      <c r="J36" s="6" t="s">
        <v>10</v>
      </c>
      <c r="K36" s="31" t="s">
        <v>11</v>
      </c>
      <c r="L36" s="30" t="s">
        <v>12</v>
      </c>
      <c r="M36" s="32" t="s">
        <v>13</v>
      </c>
      <c r="N36" s="9" t="s">
        <v>14</v>
      </c>
      <c r="O36" s="31" t="s">
        <v>15</v>
      </c>
      <c r="P36" s="25"/>
    </row>
    <row r="37" spans="1:84" s="51" customFormat="1" ht="29.25" customHeight="1">
      <c r="A37" s="36">
        <v>1</v>
      </c>
      <c r="B37" s="94" t="s">
        <v>54</v>
      </c>
      <c r="C37" s="35" t="s">
        <v>34</v>
      </c>
      <c r="D37" s="35" t="s">
        <v>18</v>
      </c>
      <c r="E37" s="95">
        <v>11400</v>
      </c>
      <c r="F37" s="35">
        <v>50</v>
      </c>
      <c r="G37" s="35"/>
      <c r="H37" s="35"/>
      <c r="I37" s="35"/>
      <c r="J37" s="46"/>
      <c r="K37" s="15">
        <f aca="true" t="shared" si="3" ref="K37:K44">M37*0.92</f>
        <v>0</v>
      </c>
      <c r="L37" s="16">
        <v>0.08</v>
      </c>
      <c r="M37" s="38"/>
      <c r="N37" s="18">
        <f aca="true" t="shared" si="4" ref="N37:N44">K37*F37</f>
        <v>0</v>
      </c>
      <c r="O37" s="15">
        <f aca="true" t="shared" si="5" ref="O37:O44">ROUND(F37*M37,2)</f>
        <v>0</v>
      </c>
      <c r="P37" s="41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</row>
    <row r="38" spans="1:84" s="51" customFormat="1" ht="25.5" customHeight="1">
      <c r="A38" s="36">
        <v>2</v>
      </c>
      <c r="B38" s="94"/>
      <c r="C38" s="35" t="s">
        <v>55</v>
      </c>
      <c r="D38" s="35" t="s">
        <v>18</v>
      </c>
      <c r="E38" s="95"/>
      <c r="F38" s="35">
        <v>40</v>
      </c>
      <c r="G38" s="35"/>
      <c r="H38" s="35"/>
      <c r="I38" s="35"/>
      <c r="J38" s="14"/>
      <c r="K38" s="15">
        <f t="shared" si="3"/>
        <v>0</v>
      </c>
      <c r="L38" s="16">
        <v>0.08</v>
      </c>
      <c r="M38" s="38"/>
      <c r="N38" s="18">
        <f t="shared" si="4"/>
        <v>0</v>
      </c>
      <c r="O38" s="15">
        <f t="shared" si="5"/>
        <v>0</v>
      </c>
      <c r="P38" s="41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</row>
    <row r="39" spans="1:16" s="28" customFormat="1" ht="12.75" customHeight="1">
      <c r="A39" s="33">
        <v>3</v>
      </c>
      <c r="B39" s="94" t="s">
        <v>56</v>
      </c>
      <c r="C39" s="30" t="s">
        <v>57</v>
      </c>
      <c r="D39" s="33" t="s">
        <v>18</v>
      </c>
      <c r="E39" s="96">
        <f>F39*140*1+F40*30*1</f>
        <v>510</v>
      </c>
      <c r="F39" s="33">
        <v>3</v>
      </c>
      <c r="G39" s="33"/>
      <c r="H39" s="33"/>
      <c r="I39" s="33"/>
      <c r="J39" s="14"/>
      <c r="K39" s="15">
        <f t="shared" si="3"/>
        <v>0</v>
      </c>
      <c r="L39" s="16">
        <v>0.08</v>
      </c>
      <c r="M39" s="53"/>
      <c r="N39" s="18">
        <f t="shared" si="4"/>
        <v>0</v>
      </c>
      <c r="O39" s="15">
        <f t="shared" si="5"/>
        <v>0</v>
      </c>
      <c r="P39" s="25"/>
    </row>
    <row r="40" spans="1:16" s="28" customFormat="1" ht="12.75">
      <c r="A40" s="33">
        <v>4</v>
      </c>
      <c r="B40" s="94"/>
      <c r="C40" s="30" t="s">
        <v>58</v>
      </c>
      <c r="D40" s="33" t="s">
        <v>18</v>
      </c>
      <c r="E40" s="96"/>
      <c r="F40" s="33">
        <v>3</v>
      </c>
      <c r="G40" s="33"/>
      <c r="H40" s="33"/>
      <c r="I40" s="33"/>
      <c r="J40" s="46"/>
      <c r="K40" s="15">
        <f t="shared" si="3"/>
        <v>0</v>
      </c>
      <c r="L40" s="16">
        <v>0.08</v>
      </c>
      <c r="M40" s="54"/>
      <c r="N40" s="18">
        <f t="shared" si="4"/>
        <v>0</v>
      </c>
      <c r="O40" s="15">
        <f t="shared" si="5"/>
        <v>0</v>
      </c>
      <c r="P40" s="25"/>
    </row>
    <row r="41" spans="1:16" s="28" customFormat="1" ht="38.25">
      <c r="A41" s="33">
        <v>5</v>
      </c>
      <c r="B41" s="30" t="s">
        <v>59</v>
      </c>
      <c r="C41" s="30" t="s">
        <v>60</v>
      </c>
      <c r="D41" s="30" t="s">
        <v>18</v>
      </c>
      <c r="E41" s="33">
        <f>F41*420</f>
        <v>78540</v>
      </c>
      <c r="F41" s="33">
        <v>187</v>
      </c>
      <c r="G41" s="33"/>
      <c r="H41" s="33"/>
      <c r="I41" s="33"/>
      <c r="J41" s="14"/>
      <c r="K41" s="15">
        <f t="shared" si="3"/>
        <v>0</v>
      </c>
      <c r="L41" s="16">
        <v>0.08</v>
      </c>
      <c r="M41" s="38"/>
      <c r="N41" s="18">
        <f t="shared" si="4"/>
        <v>0</v>
      </c>
      <c r="O41" s="15">
        <f t="shared" si="5"/>
        <v>0</v>
      </c>
      <c r="P41" s="25"/>
    </row>
    <row r="42" spans="1:16" s="28" customFormat="1" ht="38.25">
      <c r="A42" s="33">
        <v>6</v>
      </c>
      <c r="B42" s="30" t="s">
        <v>61</v>
      </c>
      <c r="C42" s="29" t="s">
        <v>62</v>
      </c>
      <c r="D42" s="30" t="s">
        <v>18</v>
      </c>
      <c r="E42" s="33">
        <v>69600</v>
      </c>
      <c r="F42" s="33">
        <v>58</v>
      </c>
      <c r="G42" s="33"/>
      <c r="H42" s="33"/>
      <c r="I42" s="33"/>
      <c r="J42" s="14"/>
      <c r="K42" s="15">
        <f t="shared" si="3"/>
        <v>0</v>
      </c>
      <c r="L42" s="16">
        <v>0.08</v>
      </c>
      <c r="M42" s="47"/>
      <c r="N42" s="18">
        <f t="shared" si="4"/>
        <v>0</v>
      </c>
      <c r="O42" s="47">
        <f t="shared" si="5"/>
        <v>0</v>
      </c>
      <c r="P42" s="25"/>
    </row>
    <row r="43" spans="1:16" s="28" customFormat="1" ht="38.25">
      <c r="A43" s="33">
        <v>7</v>
      </c>
      <c r="B43" s="55" t="s">
        <v>63</v>
      </c>
      <c r="C43" s="30" t="s">
        <v>64</v>
      </c>
      <c r="D43" s="30" t="s">
        <v>18</v>
      </c>
      <c r="E43" s="56">
        <v>9000</v>
      </c>
      <c r="F43" s="30">
        <v>9</v>
      </c>
      <c r="G43" s="33"/>
      <c r="H43" s="33"/>
      <c r="I43" s="33"/>
      <c r="J43" s="14"/>
      <c r="K43" s="15">
        <f t="shared" si="3"/>
        <v>0</v>
      </c>
      <c r="L43" s="16">
        <v>0.08</v>
      </c>
      <c r="M43" s="47"/>
      <c r="N43" s="18">
        <f t="shared" si="4"/>
        <v>0</v>
      </c>
      <c r="O43" s="15">
        <f t="shared" si="5"/>
        <v>0</v>
      </c>
      <c r="P43" s="25"/>
    </row>
    <row r="44" spans="1:16" s="28" customFormat="1" ht="25.5">
      <c r="A44" s="33">
        <v>8</v>
      </c>
      <c r="B44" s="30" t="s">
        <v>65</v>
      </c>
      <c r="C44" s="29" t="s">
        <v>66</v>
      </c>
      <c r="D44" s="30" t="s">
        <v>18</v>
      </c>
      <c r="E44" s="33">
        <f>600*F44</f>
        <v>282000</v>
      </c>
      <c r="F44" s="33">
        <v>470</v>
      </c>
      <c r="G44" s="33"/>
      <c r="H44" s="33"/>
      <c r="I44" s="14"/>
      <c r="J44" s="33"/>
      <c r="K44" s="15">
        <f t="shared" si="3"/>
        <v>0</v>
      </c>
      <c r="L44" s="16">
        <v>0.08</v>
      </c>
      <c r="M44" s="47"/>
      <c r="N44" s="18">
        <f t="shared" si="4"/>
        <v>0</v>
      </c>
      <c r="O44" s="15">
        <f t="shared" si="5"/>
        <v>0</v>
      </c>
      <c r="P44" s="25"/>
    </row>
    <row r="45" spans="1:16" s="28" customFormat="1" ht="12.75">
      <c r="A45" s="79" t="s">
        <v>20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47">
        <f>SUM(N37:N44)</f>
        <v>0</v>
      </c>
      <c r="O45" s="47">
        <f>SUM(O37:O44)</f>
        <v>0</v>
      </c>
      <c r="P45" s="25"/>
    </row>
    <row r="46" spans="1:16" s="28" customFormat="1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5"/>
      <c r="P46" s="25"/>
    </row>
    <row r="47" spans="1:16" s="28" customFormat="1" ht="12.75">
      <c r="A47" s="57"/>
      <c r="B47" s="58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5"/>
      <c r="P47" s="25"/>
    </row>
    <row r="48" spans="1:16" s="28" customFormat="1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6"/>
      <c r="L48" s="25"/>
      <c r="M48" s="27"/>
      <c r="N48" s="27"/>
      <c r="O48" s="26"/>
      <c r="P48" s="25"/>
    </row>
    <row r="49" spans="1:16" s="28" customFormat="1" ht="12.75">
      <c r="A49" s="41"/>
      <c r="B49" s="44"/>
      <c r="C49" s="44"/>
      <c r="D49" s="44"/>
      <c r="E49" s="59"/>
      <c r="F49" s="44"/>
      <c r="G49" s="41"/>
      <c r="H49" s="41"/>
      <c r="I49" s="41"/>
      <c r="J49" s="41"/>
      <c r="K49" s="45"/>
      <c r="L49" s="22"/>
      <c r="M49" s="45"/>
      <c r="N49" s="45"/>
      <c r="O49" s="45"/>
      <c r="P49" s="25"/>
    </row>
    <row r="50" spans="1:16" s="28" customFormat="1" ht="12.75">
      <c r="A50" s="24" t="s">
        <v>67</v>
      </c>
      <c r="B50" s="25"/>
      <c r="C50" s="25"/>
      <c r="D50" s="25"/>
      <c r="E50" s="25"/>
      <c r="F50" s="25"/>
      <c r="G50" s="25"/>
      <c r="H50" s="25"/>
      <c r="I50" s="25"/>
      <c r="J50" s="25"/>
      <c r="K50" s="26"/>
      <c r="L50" s="25"/>
      <c r="M50" s="27"/>
      <c r="N50" s="27"/>
      <c r="O50" s="26"/>
      <c r="P50" s="25"/>
    </row>
    <row r="51" spans="1:16" s="28" customFormat="1" ht="85.5">
      <c r="A51" s="29" t="s">
        <v>1</v>
      </c>
      <c r="B51" s="30" t="s">
        <v>2</v>
      </c>
      <c r="C51" s="30" t="s">
        <v>3</v>
      </c>
      <c r="D51" s="30" t="s">
        <v>4</v>
      </c>
      <c r="E51" s="30" t="s">
        <v>26</v>
      </c>
      <c r="F51" s="30" t="s">
        <v>6</v>
      </c>
      <c r="G51" s="30" t="s">
        <v>7</v>
      </c>
      <c r="H51" s="29" t="s">
        <v>8</v>
      </c>
      <c r="I51" s="6" t="s">
        <v>9</v>
      </c>
      <c r="J51" s="6" t="s">
        <v>10</v>
      </c>
      <c r="K51" s="31" t="s">
        <v>11</v>
      </c>
      <c r="L51" s="30" t="s">
        <v>12</v>
      </c>
      <c r="M51" s="32" t="s">
        <v>13</v>
      </c>
      <c r="N51" s="9" t="s">
        <v>14</v>
      </c>
      <c r="O51" s="31" t="s">
        <v>15</v>
      </c>
      <c r="P51" s="25"/>
    </row>
    <row r="52" spans="1:16" s="28" customFormat="1" ht="27" customHeight="1">
      <c r="A52" s="33">
        <v>1</v>
      </c>
      <c r="B52" s="78" t="s">
        <v>68</v>
      </c>
      <c r="C52" s="30" t="s">
        <v>45</v>
      </c>
      <c r="D52" s="33" t="s">
        <v>69</v>
      </c>
      <c r="E52" s="79">
        <v>24000</v>
      </c>
      <c r="F52" s="33">
        <v>4</v>
      </c>
      <c r="G52" s="33"/>
      <c r="H52" s="33"/>
      <c r="I52" s="33"/>
      <c r="J52" s="46"/>
      <c r="K52" s="15">
        <f>M52*0.92</f>
        <v>0</v>
      </c>
      <c r="L52" s="16">
        <v>0.08</v>
      </c>
      <c r="M52" s="47"/>
      <c r="N52" s="18">
        <f>K52*F52</f>
        <v>0</v>
      </c>
      <c r="O52" s="15">
        <f>ROUND(F52*M52,2)</f>
        <v>0</v>
      </c>
      <c r="P52" s="25"/>
    </row>
    <row r="53" spans="1:16" s="28" customFormat="1" ht="27" customHeight="1">
      <c r="A53" s="33">
        <v>2</v>
      </c>
      <c r="B53" s="78"/>
      <c r="C53" s="30" t="s">
        <v>70</v>
      </c>
      <c r="D53" s="33" t="s">
        <v>69</v>
      </c>
      <c r="E53" s="79"/>
      <c r="F53" s="33">
        <v>8</v>
      </c>
      <c r="G53" s="33"/>
      <c r="H53" s="33"/>
      <c r="I53" s="33"/>
      <c r="J53" s="14"/>
      <c r="K53" s="15">
        <f>M53*0.92</f>
        <v>0</v>
      </c>
      <c r="L53" s="16">
        <v>0.08</v>
      </c>
      <c r="M53" s="47"/>
      <c r="N53" s="18">
        <f>K53*F53</f>
        <v>0</v>
      </c>
      <c r="O53" s="15">
        <f>ROUND(F53*M53,2)</f>
        <v>0</v>
      </c>
      <c r="P53" s="25"/>
    </row>
    <row r="54" spans="1:16" s="28" customFormat="1" ht="12.75">
      <c r="A54" s="79" t="s">
        <v>20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47">
        <f>SUM(N52:N53)</f>
        <v>0</v>
      </c>
      <c r="O54" s="47">
        <f>SUM(O52:O53)</f>
        <v>0</v>
      </c>
      <c r="P54" s="25"/>
    </row>
    <row r="55" spans="1:16" s="28" customFormat="1" ht="12.75">
      <c r="A55" s="41"/>
      <c r="B55" s="58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5"/>
      <c r="P55" s="25"/>
    </row>
    <row r="56" spans="1:16" s="28" customFormat="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6"/>
      <c r="L56" s="25"/>
      <c r="M56" s="27"/>
      <c r="N56" s="27"/>
      <c r="O56" s="26"/>
      <c r="P56" s="25"/>
    </row>
    <row r="57" spans="1:16" s="28" customFormat="1" ht="12.75">
      <c r="A57" s="24" t="s">
        <v>71</v>
      </c>
      <c r="B57" s="25"/>
      <c r="C57" s="25"/>
      <c r="D57" s="25"/>
      <c r="E57" s="25"/>
      <c r="F57" s="25"/>
      <c r="G57" s="25"/>
      <c r="H57" s="25"/>
      <c r="I57" s="25"/>
      <c r="J57" s="25"/>
      <c r="K57" s="26"/>
      <c r="L57" s="25"/>
      <c r="M57" s="27"/>
      <c r="N57" s="27"/>
      <c r="O57" s="26"/>
      <c r="P57" s="25"/>
    </row>
    <row r="58" spans="1:16" s="28" customFormat="1" ht="85.5">
      <c r="A58" s="29" t="s">
        <v>1</v>
      </c>
      <c r="B58" s="30" t="s">
        <v>2</v>
      </c>
      <c r="C58" s="30" t="s">
        <v>3</v>
      </c>
      <c r="D58" s="30" t="s">
        <v>4</v>
      </c>
      <c r="E58" s="30" t="s">
        <v>72</v>
      </c>
      <c r="F58" s="30" t="s">
        <v>6</v>
      </c>
      <c r="G58" s="30" t="s">
        <v>7</v>
      </c>
      <c r="H58" s="29" t="s">
        <v>8</v>
      </c>
      <c r="I58" s="6" t="s">
        <v>9</v>
      </c>
      <c r="J58" s="6" t="s">
        <v>10</v>
      </c>
      <c r="K58" s="31" t="s">
        <v>11</v>
      </c>
      <c r="L58" s="30" t="s">
        <v>12</v>
      </c>
      <c r="M58" s="32" t="s">
        <v>13</v>
      </c>
      <c r="N58" s="9" t="s">
        <v>14</v>
      </c>
      <c r="O58" s="31" t="s">
        <v>15</v>
      </c>
      <c r="P58" s="25"/>
    </row>
    <row r="59" spans="1:16" s="28" customFormat="1" ht="19.5" customHeight="1">
      <c r="A59" s="33">
        <v>1</v>
      </c>
      <c r="B59" s="78" t="s">
        <v>73</v>
      </c>
      <c r="C59" s="30" t="s">
        <v>39</v>
      </c>
      <c r="D59" s="33" t="s">
        <v>18</v>
      </c>
      <c r="E59" s="79">
        <v>75600</v>
      </c>
      <c r="F59" s="33">
        <v>368</v>
      </c>
      <c r="G59" s="33"/>
      <c r="H59" s="33"/>
      <c r="I59" s="33"/>
      <c r="J59" s="33"/>
      <c r="K59" s="15">
        <f aca="true" t="shared" si="6" ref="K59:K77">M59*0.92</f>
        <v>0</v>
      </c>
      <c r="L59" s="16">
        <v>0.08</v>
      </c>
      <c r="M59" s="47"/>
      <c r="N59" s="18">
        <f aca="true" t="shared" si="7" ref="N59:N77">K59*F59</f>
        <v>0</v>
      </c>
      <c r="O59" s="15">
        <f aca="true" t="shared" si="8" ref="O59:O77">ROUND(F59*M59,2)</f>
        <v>0</v>
      </c>
      <c r="P59" s="25"/>
    </row>
    <row r="60" spans="1:16" s="28" customFormat="1" ht="19.5" customHeight="1">
      <c r="A60" s="33">
        <f>A59+1</f>
        <v>2</v>
      </c>
      <c r="B60" s="78"/>
      <c r="C60" s="30" t="s">
        <v>34</v>
      </c>
      <c r="D60" s="33" t="s">
        <v>18</v>
      </c>
      <c r="E60" s="79"/>
      <c r="F60" s="33">
        <v>20</v>
      </c>
      <c r="G60" s="33"/>
      <c r="H60" s="33"/>
      <c r="I60" s="33"/>
      <c r="J60" s="33"/>
      <c r="K60" s="15">
        <f t="shared" si="6"/>
        <v>0</v>
      </c>
      <c r="L60" s="16">
        <v>0.08</v>
      </c>
      <c r="M60" s="47"/>
      <c r="N60" s="18">
        <f t="shared" si="7"/>
        <v>0</v>
      </c>
      <c r="O60" s="15">
        <f t="shared" si="8"/>
        <v>0</v>
      </c>
      <c r="P60" s="25"/>
    </row>
    <row r="61" spans="1:16" s="28" customFormat="1" ht="25.5">
      <c r="A61" s="33">
        <v>3</v>
      </c>
      <c r="B61" s="30" t="s">
        <v>74</v>
      </c>
      <c r="C61" s="30" t="s">
        <v>30</v>
      </c>
      <c r="D61" s="33" t="s">
        <v>18</v>
      </c>
      <c r="E61" s="33">
        <v>500</v>
      </c>
      <c r="F61" s="33">
        <v>500</v>
      </c>
      <c r="G61" s="33"/>
      <c r="H61" s="33"/>
      <c r="I61" s="33"/>
      <c r="J61" s="33"/>
      <c r="K61" s="15">
        <f t="shared" si="6"/>
        <v>0</v>
      </c>
      <c r="L61" s="16">
        <v>0.08</v>
      </c>
      <c r="M61" s="47"/>
      <c r="N61" s="18">
        <f t="shared" si="7"/>
        <v>0</v>
      </c>
      <c r="O61" s="15">
        <f t="shared" si="8"/>
        <v>0</v>
      </c>
      <c r="P61" s="25"/>
    </row>
    <row r="62" spans="1:16" s="28" customFormat="1" ht="21" customHeight="1">
      <c r="A62" s="33">
        <v>4</v>
      </c>
      <c r="B62" s="92" t="s">
        <v>75</v>
      </c>
      <c r="C62" s="30" t="s">
        <v>34</v>
      </c>
      <c r="D62" s="30" t="s">
        <v>76</v>
      </c>
      <c r="E62" s="79">
        <f>F62*100*5+F63*25*5</f>
        <v>16625</v>
      </c>
      <c r="F62" s="30">
        <v>27</v>
      </c>
      <c r="G62" s="33"/>
      <c r="H62" s="33"/>
      <c r="I62" s="33"/>
      <c r="J62" s="46"/>
      <c r="K62" s="15">
        <f t="shared" si="6"/>
        <v>0</v>
      </c>
      <c r="L62" s="16">
        <v>0.08</v>
      </c>
      <c r="M62" s="47"/>
      <c r="N62" s="18">
        <f t="shared" si="7"/>
        <v>0</v>
      </c>
      <c r="O62" s="15">
        <f t="shared" si="8"/>
        <v>0</v>
      </c>
      <c r="P62" s="25"/>
    </row>
    <row r="63" spans="1:16" s="28" customFormat="1" ht="35.25" customHeight="1">
      <c r="A63" s="33">
        <v>5</v>
      </c>
      <c r="B63" s="92"/>
      <c r="C63" s="30" t="s">
        <v>77</v>
      </c>
      <c r="D63" s="30" t="s">
        <v>76</v>
      </c>
      <c r="E63" s="79"/>
      <c r="F63" s="30">
        <v>25</v>
      </c>
      <c r="G63" s="33"/>
      <c r="H63" s="33"/>
      <c r="I63" s="33"/>
      <c r="J63" s="33"/>
      <c r="K63" s="15">
        <f t="shared" si="6"/>
        <v>0</v>
      </c>
      <c r="L63" s="16">
        <v>0.08</v>
      </c>
      <c r="M63" s="47"/>
      <c r="N63" s="18">
        <f t="shared" si="7"/>
        <v>0</v>
      </c>
      <c r="O63" s="15">
        <f t="shared" si="8"/>
        <v>0</v>
      </c>
      <c r="P63" s="25"/>
    </row>
    <row r="64" spans="1:16" s="28" customFormat="1" ht="24" customHeight="1">
      <c r="A64" s="33">
        <v>6</v>
      </c>
      <c r="B64" s="78" t="s">
        <v>78</v>
      </c>
      <c r="C64" s="30" t="s">
        <v>79</v>
      </c>
      <c r="D64" s="30" t="s">
        <v>76</v>
      </c>
      <c r="E64" s="93">
        <v>298.8</v>
      </c>
      <c r="F64" s="30">
        <v>102</v>
      </c>
      <c r="G64" s="33"/>
      <c r="H64" s="33"/>
      <c r="I64" s="33"/>
      <c r="J64" s="46"/>
      <c r="K64" s="15">
        <f t="shared" si="6"/>
        <v>0</v>
      </c>
      <c r="L64" s="16">
        <v>0.08</v>
      </c>
      <c r="M64" s="47"/>
      <c r="N64" s="18">
        <f t="shared" si="7"/>
        <v>0</v>
      </c>
      <c r="O64" s="15">
        <f t="shared" si="8"/>
        <v>0</v>
      </c>
      <c r="P64" s="25"/>
    </row>
    <row r="65" spans="1:16" s="28" customFormat="1" ht="24" customHeight="1">
      <c r="A65" s="33">
        <v>7</v>
      </c>
      <c r="B65" s="78"/>
      <c r="C65" s="30" t="s">
        <v>80</v>
      </c>
      <c r="D65" s="30" t="s">
        <v>76</v>
      </c>
      <c r="E65" s="93"/>
      <c r="F65" s="30">
        <v>36</v>
      </c>
      <c r="G65" s="33"/>
      <c r="H65" s="33"/>
      <c r="I65" s="33"/>
      <c r="J65" s="33"/>
      <c r="K65" s="15">
        <f t="shared" si="6"/>
        <v>0</v>
      </c>
      <c r="L65" s="16">
        <v>0.08</v>
      </c>
      <c r="M65" s="47"/>
      <c r="N65" s="18">
        <f t="shared" si="7"/>
        <v>0</v>
      </c>
      <c r="O65" s="15">
        <f t="shared" si="8"/>
        <v>0</v>
      </c>
      <c r="P65" s="25"/>
    </row>
    <row r="66" spans="1:19" s="28" customFormat="1" ht="36">
      <c r="A66" s="33">
        <v>8</v>
      </c>
      <c r="B66" s="29" t="s">
        <v>81</v>
      </c>
      <c r="C66" s="30" t="s">
        <v>82</v>
      </c>
      <c r="D66" s="30" t="s">
        <v>35</v>
      </c>
      <c r="E66" s="33">
        <f>F66*50*2</f>
        <v>10400</v>
      </c>
      <c r="F66" s="30">
        <v>104</v>
      </c>
      <c r="G66" s="33"/>
      <c r="H66" s="33"/>
      <c r="I66" s="33"/>
      <c r="J66" s="46"/>
      <c r="K66" s="15">
        <f t="shared" si="6"/>
        <v>0</v>
      </c>
      <c r="L66" s="16">
        <v>0.08</v>
      </c>
      <c r="M66" s="47"/>
      <c r="N66" s="18">
        <f t="shared" si="7"/>
        <v>0</v>
      </c>
      <c r="O66" s="15">
        <f t="shared" si="8"/>
        <v>0</v>
      </c>
      <c r="P66" s="25"/>
      <c r="S66" s="60"/>
    </row>
    <row r="67" spans="1:19" s="28" customFormat="1" ht="12.75" customHeight="1">
      <c r="A67" s="33">
        <v>9</v>
      </c>
      <c r="B67" s="78" t="s">
        <v>83</v>
      </c>
      <c r="C67" s="30" t="s">
        <v>47</v>
      </c>
      <c r="D67" s="30" t="s">
        <v>76</v>
      </c>
      <c r="E67" s="79">
        <f>(F67*250+F68*180+F69*140+F70*100+F71*20+F72*5)*5</f>
        <v>42600</v>
      </c>
      <c r="F67" s="30">
        <v>5</v>
      </c>
      <c r="G67" s="33"/>
      <c r="H67" s="33"/>
      <c r="I67" s="33"/>
      <c r="J67" s="14"/>
      <c r="K67" s="15">
        <f t="shared" si="6"/>
        <v>0</v>
      </c>
      <c r="L67" s="16">
        <v>0.08</v>
      </c>
      <c r="M67" s="47"/>
      <c r="N67" s="18">
        <f t="shared" si="7"/>
        <v>0</v>
      </c>
      <c r="O67" s="15">
        <f t="shared" si="8"/>
        <v>0</v>
      </c>
      <c r="P67" s="25"/>
      <c r="S67" s="60"/>
    </row>
    <row r="68" spans="1:19" s="28" customFormat="1" ht="12.75">
      <c r="A68" s="33">
        <f aca="true" t="shared" si="9" ref="A68:A73">A67+1</f>
        <v>10</v>
      </c>
      <c r="B68" s="78"/>
      <c r="C68" s="30" t="s">
        <v>84</v>
      </c>
      <c r="D68" s="30" t="s">
        <v>76</v>
      </c>
      <c r="E68" s="79"/>
      <c r="F68" s="30">
        <v>14</v>
      </c>
      <c r="G68" s="33"/>
      <c r="H68" s="33"/>
      <c r="I68" s="33"/>
      <c r="J68" s="14"/>
      <c r="K68" s="15">
        <f t="shared" si="6"/>
        <v>0</v>
      </c>
      <c r="L68" s="16">
        <v>0.08</v>
      </c>
      <c r="M68" s="47"/>
      <c r="N68" s="18">
        <f t="shared" si="7"/>
        <v>0</v>
      </c>
      <c r="O68" s="15">
        <f t="shared" si="8"/>
        <v>0</v>
      </c>
      <c r="P68" s="25"/>
      <c r="S68" s="60"/>
    </row>
    <row r="69" spans="1:19" s="28" customFormat="1" ht="12.75">
      <c r="A69" s="33">
        <f t="shared" si="9"/>
        <v>11</v>
      </c>
      <c r="B69" s="78"/>
      <c r="C69" s="30" t="s">
        <v>57</v>
      </c>
      <c r="D69" s="30" t="s">
        <v>85</v>
      </c>
      <c r="E69" s="79"/>
      <c r="F69" s="30">
        <v>14</v>
      </c>
      <c r="G69" s="33"/>
      <c r="H69" s="33"/>
      <c r="I69" s="33"/>
      <c r="J69" s="14"/>
      <c r="K69" s="15">
        <f t="shared" si="6"/>
        <v>0</v>
      </c>
      <c r="L69" s="16">
        <v>0.08</v>
      </c>
      <c r="M69" s="47"/>
      <c r="N69" s="18">
        <f t="shared" si="7"/>
        <v>0</v>
      </c>
      <c r="O69" s="15">
        <f t="shared" si="8"/>
        <v>0</v>
      </c>
      <c r="P69" s="25"/>
      <c r="S69" s="60"/>
    </row>
    <row r="70" spans="1:16" s="28" customFormat="1" ht="12.75">
      <c r="A70" s="33">
        <f t="shared" si="9"/>
        <v>12</v>
      </c>
      <c r="B70" s="78"/>
      <c r="C70" s="30" t="s">
        <v>34</v>
      </c>
      <c r="D70" s="30" t="s">
        <v>85</v>
      </c>
      <c r="E70" s="79"/>
      <c r="F70" s="30">
        <v>25</v>
      </c>
      <c r="G70" s="33"/>
      <c r="H70" s="33"/>
      <c r="I70" s="33"/>
      <c r="J70" s="14"/>
      <c r="K70" s="15">
        <f t="shared" si="6"/>
        <v>0</v>
      </c>
      <c r="L70" s="16">
        <v>0.08</v>
      </c>
      <c r="M70" s="47"/>
      <c r="N70" s="18">
        <f t="shared" si="7"/>
        <v>0</v>
      </c>
      <c r="O70" s="15">
        <f t="shared" si="8"/>
        <v>0</v>
      </c>
      <c r="P70" s="25"/>
    </row>
    <row r="71" spans="1:16" s="28" customFormat="1" ht="18" customHeight="1">
      <c r="A71" s="33">
        <f t="shared" si="9"/>
        <v>13</v>
      </c>
      <c r="B71" s="78"/>
      <c r="C71" s="30" t="s">
        <v>86</v>
      </c>
      <c r="D71" s="30" t="s">
        <v>85</v>
      </c>
      <c r="E71" s="79"/>
      <c r="F71" s="30">
        <v>12</v>
      </c>
      <c r="G71" s="33"/>
      <c r="H71" s="33"/>
      <c r="I71" s="33"/>
      <c r="J71" s="14"/>
      <c r="K71" s="15">
        <f t="shared" si="6"/>
        <v>0</v>
      </c>
      <c r="L71" s="16">
        <v>0.08</v>
      </c>
      <c r="M71" s="47"/>
      <c r="N71" s="18">
        <f t="shared" si="7"/>
        <v>0</v>
      </c>
      <c r="O71" s="15">
        <f t="shared" si="8"/>
        <v>0</v>
      </c>
      <c r="P71" s="25"/>
    </row>
    <row r="72" spans="1:16" s="28" customFormat="1" ht="16.5" customHeight="1">
      <c r="A72" s="33">
        <f t="shared" si="9"/>
        <v>14</v>
      </c>
      <c r="B72" s="78"/>
      <c r="C72" s="30" t="s">
        <v>87</v>
      </c>
      <c r="D72" s="30" t="s">
        <v>85</v>
      </c>
      <c r="E72" s="79"/>
      <c r="F72" s="30">
        <v>10</v>
      </c>
      <c r="G72" s="33"/>
      <c r="H72" s="33"/>
      <c r="I72" s="33"/>
      <c r="J72" s="14"/>
      <c r="K72" s="15">
        <f t="shared" si="6"/>
        <v>0</v>
      </c>
      <c r="L72" s="16">
        <v>0.08</v>
      </c>
      <c r="M72" s="47"/>
      <c r="N72" s="18">
        <f t="shared" si="7"/>
        <v>0</v>
      </c>
      <c r="O72" s="15">
        <f t="shared" si="8"/>
        <v>0</v>
      </c>
      <c r="P72" s="25"/>
    </row>
    <row r="73" spans="1:16" s="28" customFormat="1" ht="27.75" customHeight="1">
      <c r="A73" s="33">
        <f t="shared" si="9"/>
        <v>15</v>
      </c>
      <c r="B73" s="78" t="s">
        <v>88</v>
      </c>
      <c r="C73" s="37" t="s">
        <v>41</v>
      </c>
      <c r="D73" s="37" t="s">
        <v>89</v>
      </c>
      <c r="E73" s="91">
        <f>F73*150*60+F74*500*120</f>
        <v>8514000</v>
      </c>
      <c r="F73" s="37">
        <v>46</v>
      </c>
      <c r="G73" s="36"/>
      <c r="H73" s="36"/>
      <c r="I73" s="36"/>
      <c r="J73" s="36"/>
      <c r="K73" s="15">
        <f t="shared" si="6"/>
        <v>0</v>
      </c>
      <c r="L73" s="39">
        <v>0.08</v>
      </c>
      <c r="M73" s="40"/>
      <c r="N73" s="18">
        <f t="shared" si="7"/>
        <v>0</v>
      </c>
      <c r="O73" s="15">
        <f t="shared" si="8"/>
        <v>0</v>
      </c>
      <c r="P73" s="25"/>
    </row>
    <row r="74" spans="1:16" s="28" customFormat="1" ht="27.75" customHeight="1">
      <c r="A74" s="36">
        <v>16</v>
      </c>
      <c r="B74" s="78"/>
      <c r="C74" s="37" t="s">
        <v>90</v>
      </c>
      <c r="D74" s="37" t="s">
        <v>91</v>
      </c>
      <c r="E74" s="91"/>
      <c r="F74" s="37">
        <v>135</v>
      </c>
      <c r="G74" s="37"/>
      <c r="H74" s="37"/>
      <c r="I74" s="37"/>
      <c r="J74" s="37"/>
      <c r="K74" s="15">
        <f t="shared" si="6"/>
        <v>0</v>
      </c>
      <c r="L74" s="39">
        <v>0.08</v>
      </c>
      <c r="M74" s="61"/>
      <c r="N74" s="18">
        <f t="shared" si="7"/>
        <v>0</v>
      </c>
      <c r="O74" s="15">
        <f t="shared" si="8"/>
        <v>0</v>
      </c>
      <c r="P74" s="25"/>
    </row>
    <row r="75" spans="1:16" s="28" customFormat="1" ht="27.75" customHeight="1">
      <c r="A75" s="36">
        <v>17</v>
      </c>
      <c r="B75" s="30" t="s">
        <v>92</v>
      </c>
      <c r="C75" s="30" t="s">
        <v>93</v>
      </c>
      <c r="D75" s="30" t="s">
        <v>94</v>
      </c>
      <c r="E75" s="33">
        <f>F75*2*25</f>
        <v>3850</v>
      </c>
      <c r="F75" s="30">
        <v>77</v>
      </c>
      <c r="G75" s="33"/>
      <c r="H75" s="33"/>
      <c r="I75" s="33"/>
      <c r="J75" s="46"/>
      <c r="K75" s="15">
        <f t="shared" si="6"/>
        <v>0</v>
      </c>
      <c r="L75" s="16">
        <v>0.08</v>
      </c>
      <c r="M75" s="47"/>
      <c r="N75" s="18">
        <f t="shared" si="7"/>
        <v>0</v>
      </c>
      <c r="O75" s="15">
        <f t="shared" si="8"/>
        <v>0</v>
      </c>
      <c r="P75" s="25"/>
    </row>
    <row r="76" spans="1:16" s="28" customFormat="1" ht="44.25" customHeight="1">
      <c r="A76" s="36">
        <v>18</v>
      </c>
      <c r="B76" s="30" t="s">
        <v>95</v>
      </c>
      <c r="C76" s="30" t="s">
        <v>96</v>
      </c>
      <c r="D76" s="30" t="s">
        <v>18</v>
      </c>
      <c r="E76" s="33">
        <v>192</v>
      </c>
      <c r="F76" s="33">
        <v>192</v>
      </c>
      <c r="G76" s="33"/>
      <c r="H76" s="33"/>
      <c r="I76" s="33"/>
      <c r="J76" s="33"/>
      <c r="K76" s="15">
        <f t="shared" si="6"/>
        <v>0</v>
      </c>
      <c r="L76" s="16">
        <v>0.08</v>
      </c>
      <c r="M76" s="47"/>
      <c r="N76" s="18">
        <f t="shared" si="7"/>
        <v>0</v>
      </c>
      <c r="O76" s="15">
        <f t="shared" si="8"/>
        <v>0</v>
      </c>
      <c r="P76" s="25"/>
    </row>
    <row r="77" spans="1:16" s="28" customFormat="1" ht="44.25" customHeight="1">
      <c r="A77" s="36">
        <v>19</v>
      </c>
      <c r="B77" s="30" t="s">
        <v>97</v>
      </c>
      <c r="C77" s="30" t="s">
        <v>98</v>
      </c>
      <c r="D77" s="30" t="s">
        <v>76</v>
      </c>
      <c r="E77" s="33">
        <f>F77*8*5</f>
        <v>40000</v>
      </c>
      <c r="F77" s="30">
        <v>1000</v>
      </c>
      <c r="G77" s="33"/>
      <c r="H77" s="33"/>
      <c r="I77" s="33"/>
      <c r="J77" s="33"/>
      <c r="K77" s="15">
        <f t="shared" si="6"/>
        <v>0</v>
      </c>
      <c r="L77" s="16">
        <v>0.08</v>
      </c>
      <c r="M77" s="47"/>
      <c r="N77" s="18">
        <f t="shared" si="7"/>
        <v>0</v>
      </c>
      <c r="O77" s="15">
        <f t="shared" si="8"/>
        <v>0</v>
      </c>
      <c r="P77" s="25"/>
    </row>
    <row r="78" spans="1:16" s="28" customFormat="1" ht="12.75" customHeight="1">
      <c r="A78" s="79" t="s">
        <v>20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47">
        <f>SUM(N59:N77)</f>
        <v>0</v>
      </c>
      <c r="O78" s="47">
        <f>SUM(O59:O77)</f>
        <v>0</v>
      </c>
      <c r="P78" s="25"/>
    </row>
    <row r="79" spans="1:16" s="28" customFormat="1" ht="27.75" customHeight="1">
      <c r="A79" s="25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25"/>
    </row>
    <row r="80" spans="1:16" s="28" customFormat="1" ht="39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5"/>
      <c r="P80" s="25"/>
    </row>
    <row r="81" spans="1:16" s="28" customFormat="1" ht="12.75">
      <c r="A81" s="24" t="s">
        <v>99</v>
      </c>
      <c r="B81" s="25"/>
      <c r="C81" s="25"/>
      <c r="D81" s="25"/>
      <c r="E81" s="25"/>
      <c r="F81" s="25"/>
      <c r="G81" s="25"/>
      <c r="H81" s="25"/>
      <c r="I81" s="25"/>
      <c r="J81" s="25"/>
      <c r="K81" s="26"/>
      <c r="L81" s="25"/>
      <c r="M81" s="27"/>
      <c r="N81" s="27"/>
      <c r="O81" s="26"/>
      <c r="P81" s="25"/>
    </row>
    <row r="82" spans="1:16" s="28" customFormat="1" ht="85.5">
      <c r="A82" s="29" t="s">
        <v>1</v>
      </c>
      <c r="B82" s="30" t="s">
        <v>2</v>
      </c>
      <c r="C82" s="30" t="s">
        <v>3</v>
      </c>
      <c r="D82" s="30" t="s">
        <v>4</v>
      </c>
      <c r="E82" s="30" t="s">
        <v>26</v>
      </c>
      <c r="F82" s="30" t="s">
        <v>6</v>
      </c>
      <c r="G82" s="30" t="s">
        <v>7</v>
      </c>
      <c r="H82" s="29" t="s">
        <v>8</v>
      </c>
      <c r="I82" s="6" t="s">
        <v>9</v>
      </c>
      <c r="J82" s="6" t="s">
        <v>10</v>
      </c>
      <c r="K82" s="31" t="s">
        <v>11</v>
      </c>
      <c r="L82" s="30" t="s">
        <v>12</v>
      </c>
      <c r="M82" s="32" t="s">
        <v>13</v>
      </c>
      <c r="N82" s="9" t="s">
        <v>14</v>
      </c>
      <c r="O82" s="31" t="s">
        <v>15</v>
      </c>
      <c r="P82" s="25"/>
    </row>
    <row r="83" spans="1:16" s="28" customFormat="1" ht="12.75">
      <c r="A83" s="33">
        <v>1</v>
      </c>
      <c r="B83" s="30" t="s">
        <v>100</v>
      </c>
      <c r="C83" s="30" t="s">
        <v>90</v>
      </c>
      <c r="D83" s="30" t="s">
        <v>101</v>
      </c>
      <c r="E83" s="33">
        <v>450000</v>
      </c>
      <c r="F83" s="33">
        <v>15</v>
      </c>
      <c r="G83" s="33"/>
      <c r="H83" s="33"/>
      <c r="I83" s="33"/>
      <c r="J83" s="14"/>
      <c r="K83" s="15">
        <f>M83*0.92</f>
        <v>0</v>
      </c>
      <c r="L83" s="16">
        <v>0.08</v>
      </c>
      <c r="M83" s="47"/>
      <c r="N83" s="18">
        <f>K83*F83</f>
        <v>0</v>
      </c>
      <c r="O83" s="15">
        <f>ROUND(F83*M83,2)</f>
        <v>0</v>
      </c>
      <c r="P83" s="25"/>
    </row>
    <row r="84" s="28" customFormat="1" ht="12.75"/>
    <row r="85" spans="1:16" s="28" customFormat="1" ht="12.75">
      <c r="A85" s="24" t="s">
        <v>102</v>
      </c>
      <c r="B85" s="25"/>
      <c r="C85" s="25"/>
      <c r="D85" s="25"/>
      <c r="E85" s="25"/>
      <c r="F85" s="25"/>
      <c r="G85" s="25"/>
      <c r="H85" s="25"/>
      <c r="I85" s="25"/>
      <c r="J85" s="25"/>
      <c r="K85" s="26"/>
      <c r="L85" s="25"/>
      <c r="M85" s="27"/>
      <c r="N85" s="27"/>
      <c r="O85" s="26"/>
      <c r="P85" s="25"/>
    </row>
    <row r="86" spans="1:16" s="28" customFormat="1" ht="85.5">
      <c r="A86" s="29" t="s">
        <v>1</v>
      </c>
      <c r="B86" s="30" t="s">
        <v>2</v>
      </c>
      <c r="C86" s="30" t="s">
        <v>3</v>
      </c>
      <c r="D86" s="30" t="s">
        <v>4</v>
      </c>
      <c r="E86" s="30" t="s">
        <v>26</v>
      </c>
      <c r="F86" s="30" t="s">
        <v>6</v>
      </c>
      <c r="G86" s="30" t="s">
        <v>7</v>
      </c>
      <c r="H86" s="29" t="s">
        <v>8</v>
      </c>
      <c r="I86" s="6" t="s">
        <v>9</v>
      </c>
      <c r="J86" s="6" t="s">
        <v>10</v>
      </c>
      <c r="K86" s="31" t="s">
        <v>11</v>
      </c>
      <c r="L86" s="30" t="s">
        <v>12</v>
      </c>
      <c r="M86" s="32" t="s">
        <v>13</v>
      </c>
      <c r="N86" s="9" t="s">
        <v>14</v>
      </c>
      <c r="O86" s="31" t="s">
        <v>15</v>
      </c>
      <c r="P86" s="25"/>
    </row>
    <row r="87" spans="1:16" s="28" customFormat="1" ht="25.5">
      <c r="A87" s="29">
        <v>1</v>
      </c>
      <c r="B87" s="12" t="s">
        <v>103</v>
      </c>
      <c r="C87" s="30" t="s">
        <v>104</v>
      </c>
      <c r="D87" s="30" t="s">
        <v>105</v>
      </c>
      <c r="E87" s="30">
        <v>1440</v>
      </c>
      <c r="F87" s="30">
        <v>4</v>
      </c>
      <c r="G87" s="30"/>
      <c r="H87" s="29"/>
      <c r="I87" s="6"/>
      <c r="J87" s="14"/>
      <c r="K87" s="15">
        <f aca="true" t="shared" si="10" ref="K87:K92">M87*0.92</f>
        <v>0</v>
      </c>
      <c r="L87" s="16">
        <v>0.08</v>
      </c>
      <c r="M87" s="47"/>
      <c r="N87" s="18">
        <f aca="true" t="shared" si="11" ref="N87:N92">K87*F87</f>
        <v>0</v>
      </c>
      <c r="O87" s="15">
        <f aca="true" t="shared" si="12" ref="O87:O92">ROUND(F87*M87,2)</f>
        <v>0</v>
      </c>
      <c r="P87" s="25"/>
    </row>
    <row r="88" spans="1:16" s="28" customFormat="1" ht="25.5">
      <c r="A88" s="33">
        <v>2</v>
      </c>
      <c r="B88" s="30" t="s">
        <v>106</v>
      </c>
      <c r="C88" s="30" t="s">
        <v>107</v>
      </c>
      <c r="D88" s="30" t="s">
        <v>108</v>
      </c>
      <c r="E88" s="47">
        <v>42.5</v>
      </c>
      <c r="F88" s="33">
        <v>85</v>
      </c>
      <c r="G88" s="33"/>
      <c r="H88" s="33"/>
      <c r="I88" s="33"/>
      <c r="J88" s="14"/>
      <c r="K88" s="15">
        <f t="shared" si="10"/>
        <v>0</v>
      </c>
      <c r="L88" s="16">
        <v>0.08</v>
      </c>
      <c r="M88" s="47"/>
      <c r="N88" s="18">
        <f t="shared" si="11"/>
        <v>0</v>
      </c>
      <c r="O88" s="15">
        <f t="shared" si="12"/>
        <v>0</v>
      </c>
      <c r="P88" s="25"/>
    </row>
    <row r="89" spans="1:16" s="28" customFormat="1" ht="26.25" customHeight="1">
      <c r="A89" s="33">
        <v>3</v>
      </c>
      <c r="B89" s="78" t="s">
        <v>109</v>
      </c>
      <c r="C89" s="29" t="s">
        <v>110</v>
      </c>
      <c r="D89" s="33" t="s">
        <v>18</v>
      </c>
      <c r="E89" s="79">
        <f>F89*100*1+F90*400*1</f>
        <v>28800</v>
      </c>
      <c r="F89" s="33">
        <v>64</v>
      </c>
      <c r="G89" s="33"/>
      <c r="H89" s="33"/>
      <c r="I89" s="33"/>
      <c r="J89" s="14"/>
      <c r="K89" s="15">
        <f t="shared" si="10"/>
        <v>0</v>
      </c>
      <c r="L89" s="16">
        <v>0.08</v>
      </c>
      <c r="M89" s="47"/>
      <c r="N89" s="18">
        <f t="shared" si="11"/>
        <v>0</v>
      </c>
      <c r="O89" s="15">
        <f t="shared" si="12"/>
        <v>0</v>
      </c>
      <c r="P89" s="25"/>
    </row>
    <row r="90" spans="1:16" s="28" customFormat="1" ht="26.25" customHeight="1">
      <c r="A90" s="33">
        <v>4</v>
      </c>
      <c r="B90" s="78"/>
      <c r="C90" s="29" t="s">
        <v>111</v>
      </c>
      <c r="D90" s="33" t="s">
        <v>18</v>
      </c>
      <c r="E90" s="79"/>
      <c r="F90" s="33">
        <v>56</v>
      </c>
      <c r="G90" s="33"/>
      <c r="H90" s="33"/>
      <c r="I90" s="33"/>
      <c r="J90" s="14"/>
      <c r="K90" s="15">
        <f t="shared" si="10"/>
        <v>0</v>
      </c>
      <c r="L90" s="16">
        <v>0.08</v>
      </c>
      <c r="M90" s="47"/>
      <c r="N90" s="18">
        <f t="shared" si="11"/>
        <v>0</v>
      </c>
      <c r="O90" s="15">
        <f t="shared" si="12"/>
        <v>0</v>
      </c>
      <c r="P90" s="25"/>
    </row>
    <row r="91" spans="1:15" ht="24" customHeight="1">
      <c r="A91" s="33">
        <v>5</v>
      </c>
      <c r="B91" s="89" t="s">
        <v>112</v>
      </c>
      <c r="C91" s="30" t="s">
        <v>58</v>
      </c>
      <c r="D91" s="33" t="s">
        <v>18</v>
      </c>
      <c r="E91" s="79">
        <v>5040</v>
      </c>
      <c r="F91" s="33">
        <v>64</v>
      </c>
      <c r="G91" s="33"/>
      <c r="H91" s="33"/>
      <c r="I91" s="33"/>
      <c r="J91" s="14"/>
      <c r="K91" s="15">
        <f t="shared" si="10"/>
        <v>0</v>
      </c>
      <c r="L91" s="16">
        <v>0.08</v>
      </c>
      <c r="M91" s="47"/>
      <c r="N91" s="18">
        <f t="shared" si="11"/>
        <v>0</v>
      </c>
      <c r="O91" s="15">
        <f t="shared" si="12"/>
        <v>0</v>
      </c>
    </row>
    <row r="92" spans="1:15" ht="35.25" customHeight="1">
      <c r="A92" s="33">
        <v>6</v>
      </c>
      <c r="B92" s="89"/>
      <c r="C92" s="30" t="s">
        <v>113</v>
      </c>
      <c r="D92" s="33" t="s">
        <v>18</v>
      </c>
      <c r="E92" s="79"/>
      <c r="F92" s="33">
        <v>52</v>
      </c>
      <c r="G92" s="33"/>
      <c r="H92" s="33"/>
      <c r="I92" s="33"/>
      <c r="J92" s="14"/>
      <c r="K92" s="15">
        <f t="shared" si="10"/>
        <v>0</v>
      </c>
      <c r="L92" s="16">
        <v>0.08</v>
      </c>
      <c r="M92" s="47"/>
      <c r="N92" s="18">
        <f t="shared" si="11"/>
        <v>0</v>
      </c>
      <c r="O92" s="15">
        <f t="shared" si="12"/>
        <v>0</v>
      </c>
    </row>
    <row r="93" spans="1:16" s="28" customFormat="1" ht="12.75" customHeight="1">
      <c r="A93" s="79" t="s">
        <v>20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47">
        <f>SUM(N87:N92)</f>
        <v>0</v>
      </c>
      <c r="O93" s="47">
        <f>SUM(O87:O92)</f>
        <v>0</v>
      </c>
      <c r="P93" s="25"/>
    </row>
    <row r="94" spans="1:16" s="28" customFormat="1" ht="39.75" customHeight="1">
      <c r="A94" s="41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25"/>
    </row>
    <row r="95" spans="1:16" s="28" customFormat="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6"/>
      <c r="L95" s="25"/>
      <c r="M95" s="27"/>
      <c r="N95" s="27"/>
      <c r="O95" s="26"/>
      <c r="P95" s="25"/>
    </row>
    <row r="96" spans="1:16" s="28" customFormat="1" ht="12.75">
      <c r="A96" s="24" t="s">
        <v>114</v>
      </c>
      <c r="B96" s="25"/>
      <c r="C96" s="25"/>
      <c r="D96" s="25"/>
      <c r="E96" s="25"/>
      <c r="F96" s="25"/>
      <c r="G96" s="25"/>
      <c r="H96" s="25"/>
      <c r="I96" s="25"/>
      <c r="J96" s="25"/>
      <c r="K96" s="26"/>
      <c r="L96" s="25"/>
      <c r="M96" s="27"/>
      <c r="N96" s="27"/>
      <c r="O96" s="26"/>
      <c r="P96" s="25"/>
    </row>
    <row r="97" spans="1:16" s="28" customFormat="1" ht="85.5">
      <c r="A97" s="29" t="s">
        <v>1</v>
      </c>
      <c r="B97" s="30" t="s">
        <v>2</v>
      </c>
      <c r="C97" s="30" t="s">
        <v>3</v>
      </c>
      <c r="D97" s="30" t="s">
        <v>4</v>
      </c>
      <c r="E97" s="30" t="s">
        <v>26</v>
      </c>
      <c r="F97" s="30" t="s">
        <v>6</v>
      </c>
      <c r="G97" s="30" t="s">
        <v>7</v>
      </c>
      <c r="H97" s="29" t="s">
        <v>8</v>
      </c>
      <c r="I97" s="6" t="s">
        <v>9</v>
      </c>
      <c r="J97" s="6" t="s">
        <v>10</v>
      </c>
      <c r="K97" s="31" t="s">
        <v>11</v>
      </c>
      <c r="L97" s="30" t="s">
        <v>12</v>
      </c>
      <c r="M97" s="32" t="s">
        <v>13</v>
      </c>
      <c r="N97" s="9" t="s">
        <v>14</v>
      </c>
      <c r="O97" s="31" t="s">
        <v>15</v>
      </c>
      <c r="P97" s="25"/>
    </row>
    <row r="98" spans="1:16" s="28" customFormat="1" ht="25.5">
      <c r="A98" s="33">
        <v>1</v>
      </c>
      <c r="B98" s="12" t="s">
        <v>115</v>
      </c>
      <c r="C98" s="49" t="s">
        <v>113</v>
      </c>
      <c r="D98" s="30" t="s">
        <v>116</v>
      </c>
      <c r="E98" s="33">
        <f>60*F98*120</f>
        <v>86400</v>
      </c>
      <c r="F98" s="30">
        <v>12</v>
      </c>
      <c r="G98" s="33"/>
      <c r="H98" s="33"/>
      <c r="I98" s="33"/>
      <c r="J98" s="46"/>
      <c r="K98" s="15">
        <f>M98*0.92</f>
        <v>0</v>
      </c>
      <c r="L98" s="16">
        <v>0.08</v>
      </c>
      <c r="M98" s="47"/>
      <c r="N98" s="18">
        <f>K98*F98</f>
        <v>0</v>
      </c>
      <c r="O98" s="47">
        <f>ROUND(F98*M98,2)</f>
        <v>0</v>
      </c>
      <c r="P98" s="25"/>
    </row>
    <row r="99" spans="1:16" s="28" customFormat="1" ht="12.75" customHeight="1">
      <c r="A99" s="30">
        <v>2</v>
      </c>
      <c r="B99" s="90" t="s">
        <v>117</v>
      </c>
      <c r="C99" s="30" t="s">
        <v>57</v>
      </c>
      <c r="D99" s="30" t="s">
        <v>118</v>
      </c>
      <c r="E99" s="79">
        <f>F99*140*90+F100*420*30</f>
        <v>1134000</v>
      </c>
      <c r="F99" s="33">
        <v>45</v>
      </c>
      <c r="G99" s="33"/>
      <c r="H99" s="33"/>
      <c r="I99" s="33"/>
      <c r="J99" s="14"/>
      <c r="K99" s="15">
        <f>M99*0.92</f>
        <v>0</v>
      </c>
      <c r="L99" s="16">
        <v>0.08</v>
      </c>
      <c r="M99" s="47"/>
      <c r="N99" s="18">
        <f>K99*F99</f>
        <v>0</v>
      </c>
      <c r="O99" s="15">
        <f>ROUND(F99*M99,2)</f>
        <v>0</v>
      </c>
      <c r="P99" s="25"/>
    </row>
    <row r="100" spans="1:16" s="28" customFormat="1" ht="12.75">
      <c r="A100" s="30">
        <v>3</v>
      </c>
      <c r="B100" s="90" t="s">
        <v>117</v>
      </c>
      <c r="C100" s="30" t="s">
        <v>119</v>
      </c>
      <c r="D100" s="30" t="s">
        <v>69</v>
      </c>
      <c r="E100" s="79"/>
      <c r="F100" s="33">
        <v>45</v>
      </c>
      <c r="G100" s="33"/>
      <c r="H100" s="33"/>
      <c r="I100" s="33"/>
      <c r="J100" s="14"/>
      <c r="K100" s="15">
        <f>M100*0.92</f>
        <v>0</v>
      </c>
      <c r="L100" s="16">
        <v>0.08</v>
      </c>
      <c r="M100" s="47"/>
      <c r="N100" s="18">
        <f>K100*F100</f>
        <v>0</v>
      </c>
      <c r="O100" s="15">
        <f>ROUND(F100*M100,2)</f>
        <v>0</v>
      </c>
      <c r="P100" s="25"/>
    </row>
    <row r="101" spans="1:15" ht="24" customHeight="1">
      <c r="A101" s="33">
        <v>4</v>
      </c>
      <c r="B101" s="62" t="s">
        <v>120</v>
      </c>
      <c r="C101" s="30" t="s">
        <v>121</v>
      </c>
      <c r="D101" s="33" t="s">
        <v>122</v>
      </c>
      <c r="E101" s="33">
        <v>72000</v>
      </c>
      <c r="F101" s="33">
        <v>40</v>
      </c>
      <c r="G101" s="33"/>
      <c r="H101" s="33"/>
      <c r="I101" s="33"/>
      <c r="J101" s="14"/>
      <c r="K101" s="15">
        <f>M101*0.92</f>
        <v>0</v>
      </c>
      <c r="L101" s="16">
        <v>0.08</v>
      </c>
      <c r="M101" s="47"/>
      <c r="N101" s="18">
        <f>K101*F101</f>
        <v>0</v>
      </c>
      <c r="O101" s="15">
        <f>ROUND(F101*M101,2)</f>
        <v>0</v>
      </c>
    </row>
    <row r="102" spans="1:16" s="28" customFormat="1" ht="12.75" customHeight="1">
      <c r="A102" s="79" t="s">
        <v>20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47">
        <f>SUM(N98:N101)</f>
        <v>0</v>
      </c>
      <c r="O102" s="47">
        <f>SUM(O98:O101)</f>
        <v>0</v>
      </c>
      <c r="P102" s="25"/>
    </row>
    <row r="103" spans="1:16" s="28" customFormat="1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6"/>
      <c r="L103" s="25"/>
      <c r="M103" s="27"/>
      <c r="N103" s="27"/>
      <c r="O103" s="26"/>
      <c r="P103" s="25"/>
    </row>
    <row r="104" spans="1:16" s="28" customFormat="1" ht="12.75">
      <c r="A104" s="24" t="s">
        <v>123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6"/>
      <c r="L104" s="25"/>
      <c r="M104" s="27"/>
      <c r="N104" s="27"/>
      <c r="O104" s="26"/>
      <c r="P104" s="25"/>
    </row>
    <row r="105" spans="1:16" s="28" customFormat="1" ht="85.5">
      <c r="A105" s="29" t="s">
        <v>1</v>
      </c>
      <c r="B105" s="30" t="s">
        <v>2</v>
      </c>
      <c r="C105" s="30" t="s">
        <v>3</v>
      </c>
      <c r="D105" s="30" t="s">
        <v>4</v>
      </c>
      <c r="E105" s="30" t="s">
        <v>26</v>
      </c>
      <c r="F105" s="30" t="s">
        <v>6</v>
      </c>
      <c r="G105" s="30" t="s">
        <v>7</v>
      </c>
      <c r="H105" s="29" t="s">
        <v>8</v>
      </c>
      <c r="I105" s="6" t="s">
        <v>9</v>
      </c>
      <c r="J105" s="6" t="s">
        <v>10</v>
      </c>
      <c r="K105" s="31" t="s">
        <v>11</v>
      </c>
      <c r="L105" s="30" t="s">
        <v>12</v>
      </c>
      <c r="M105" s="32" t="s">
        <v>13</v>
      </c>
      <c r="N105" s="9" t="s">
        <v>14</v>
      </c>
      <c r="O105" s="31" t="s">
        <v>15</v>
      </c>
      <c r="P105" s="25"/>
    </row>
    <row r="106" spans="1:16" s="28" customFormat="1" ht="12.75" customHeight="1">
      <c r="A106" s="33">
        <v>1</v>
      </c>
      <c r="B106" s="78" t="s">
        <v>124</v>
      </c>
      <c r="C106" s="30" t="s">
        <v>30</v>
      </c>
      <c r="D106" s="30" t="s">
        <v>125</v>
      </c>
      <c r="E106" s="79">
        <f>F106*1*21+F107*2*21+F108*3*21+F109*4*21</f>
        <v>798</v>
      </c>
      <c r="F106" s="33">
        <v>1</v>
      </c>
      <c r="G106" s="33"/>
      <c r="H106" s="33"/>
      <c r="I106" s="33"/>
      <c r="J106" s="14"/>
      <c r="K106" s="15">
        <f>M106*0.92</f>
        <v>0</v>
      </c>
      <c r="L106" s="16">
        <v>0.08</v>
      </c>
      <c r="M106" s="47"/>
      <c r="N106" s="18">
        <f>K106*F106</f>
        <v>0</v>
      </c>
      <c r="O106" s="15">
        <f>ROUND(F106*M106,2)</f>
        <v>0</v>
      </c>
      <c r="P106" s="25"/>
    </row>
    <row r="107" spans="1:16" s="28" customFormat="1" ht="12.75">
      <c r="A107" s="33">
        <v>2</v>
      </c>
      <c r="B107" s="78"/>
      <c r="C107" s="30" t="s">
        <v>93</v>
      </c>
      <c r="D107" s="30" t="s">
        <v>125</v>
      </c>
      <c r="E107" s="79"/>
      <c r="F107" s="33">
        <v>1</v>
      </c>
      <c r="G107" s="33"/>
      <c r="H107" s="33"/>
      <c r="I107" s="33"/>
      <c r="J107" s="14"/>
      <c r="K107" s="15">
        <f>M107*0.92</f>
        <v>0</v>
      </c>
      <c r="L107" s="16">
        <v>0.08</v>
      </c>
      <c r="M107" s="47"/>
      <c r="N107" s="18">
        <f>K107*F107</f>
        <v>0</v>
      </c>
      <c r="O107" s="15">
        <f>ROUND(F107*M107,2)</f>
        <v>0</v>
      </c>
      <c r="P107" s="25"/>
    </row>
    <row r="108" spans="1:16" s="28" customFormat="1" ht="12.75">
      <c r="A108" s="33">
        <v>3</v>
      </c>
      <c r="B108" s="78"/>
      <c r="C108" s="30" t="s">
        <v>126</v>
      </c>
      <c r="D108" s="30" t="s">
        <v>125</v>
      </c>
      <c r="E108" s="79"/>
      <c r="F108" s="33">
        <v>5</v>
      </c>
      <c r="G108" s="33"/>
      <c r="H108" s="33"/>
      <c r="I108" s="33"/>
      <c r="J108" s="33"/>
      <c r="K108" s="15">
        <f>M108*0.92</f>
        <v>0</v>
      </c>
      <c r="L108" s="16">
        <v>0.08</v>
      </c>
      <c r="M108" s="47"/>
      <c r="N108" s="18">
        <f>K108*F108</f>
        <v>0</v>
      </c>
      <c r="O108" s="15">
        <f>ROUND(F108*M108,2)</f>
        <v>0</v>
      </c>
      <c r="P108" s="25"/>
    </row>
    <row r="109" spans="1:16" s="28" customFormat="1" ht="12.75">
      <c r="A109" s="33">
        <v>4</v>
      </c>
      <c r="B109" s="78"/>
      <c r="C109" s="30" t="s">
        <v>127</v>
      </c>
      <c r="D109" s="30" t="s">
        <v>125</v>
      </c>
      <c r="E109" s="79"/>
      <c r="F109" s="33">
        <v>5</v>
      </c>
      <c r="G109" s="33"/>
      <c r="H109" s="33"/>
      <c r="I109" s="33"/>
      <c r="J109" s="33"/>
      <c r="K109" s="15">
        <f>M109*0.92</f>
        <v>0</v>
      </c>
      <c r="L109" s="16">
        <v>0.08</v>
      </c>
      <c r="M109" s="47"/>
      <c r="N109" s="18">
        <f>K109*F109</f>
        <v>0</v>
      </c>
      <c r="O109" s="15">
        <f>ROUND(F109*M109,2)</f>
        <v>0</v>
      </c>
      <c r="P109" s="25"/>
    </row>
    <row r="110" spans="1:16" s="28" customFormat="1" ht="36">
      <c r="A110" s="33">
        <v>5</v>
      </c>
      <c r="B110" s="29" t="s">
        <v>128</v>
      </c>
      <c r="C110" s="30" t="s">
        <v>34</v>
      </c>
      <c r="D110" s="33" t="s">
        <v>122</v>
      </c>
      <c r="E110" s="33">
        <f>F110*100*1</f>
        <v>18600</v>
      </c>
      <c r="F110" s="33">
        <v>186</v>
      </c>
      <c r="G110" s="33"/>
      <c r="H110" s="33"/>
      <c r="I110" s="33"/>
      <c r="J110" s="46"/>
      <c r="K110" s="15">
        <f>M110*0.92</f>
        <v>0</v>
      </c>
      <c r="L110" s="16">
        <v>0.08</v>
      </c>
      <c r="M110" s="47"/>
      <c r="N110" s="18">
        <f>K110*F110</f>
        <v>0</v>
      </c>
      <c r="O110" s="15">
        <f>ROUND(F110*M110,2)</f>
        <v>0</v>
      </c>
      <c r="P110" s="25"/>
    </row>
    <row r="111" spans="1:16" s="28" customFormat="1" ht="12.75">
      <c r="A111" s="79" t="s">
        <v>20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47">
        <f>SUM(N106:N110)</f>
        <v>0</v>
      </c>
      <c r="O111" s="47">
        <f>SUM(O106:O110)</f>
        <v>0</v>
      </c>
      <c r="P111" s="25"/>
    </row>
    <row r="112" spans="1:16" s="28" customFormat="1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6"/>
      <c r="L112" s="25"/>
      <c r="M112" s="27"/>
      <c r="N112" s="27"/>
      <c r="O112" s="26"/>
      <c r="P112" s="25"/>
    </row>
    <row r="113" spans="1:15" ht="12.75">
      <c r="A113" s="24" t="s">
        <v>129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6"/>
      <c r="L113" s="25"/>
      <c r="M113" s="27"/>
      <c r="N113" s="27"/>
      <c r="O113" s="26"/>
    </row>
    <row r="114" spans="1:15" ht="85.5">
      <c r="A114" s="29" t="s">
        <v>1</v>
      </c>
      <c r="B114" s="30" t="s">
        <v>2</v>
      </c>
      <c r="C114" s="30" t="s">
        <v>3</v>
      </c>
      <c r="D114" s="30" t="s">
        <v>4</v>
      </c>
      <c r="E114" s="30" t="s">
        <v>26</v>
      </c>
      <c r="F114" s="30" t="s">
        <v>6</v>
      </c>
      <c r="G114" s="30" t="s">
        <v>7</v>
      </c>
      <c r="H114" s="29" t="s">
        <v>8</v>
      </c>
      <c r="I114" s="6" t="s">
        <v>9</v>
      </c>
      <c r="J114" s="6" t="s">
        <v>10</v>
      </c>
      <c r="K114" s="31" t="s">
        <v>11</v>
      </c>
      <c r="L114" s="30" t="s">
        <v>12</v>
      </c>
      <c r="M114" s="32" t="s">
        <v>13</v>
      </c>
      <c r="N114" s="9" t="s">
        <v>14</v>
      </c>
      <c r="O114" s="31" t="s">
        <v>15</v>
      </c>
    </row>
    <row r="115" spans="1:15" ht="33.75" customHeight="1">
      <c r="A115" s="33">
        <v>1</v>
      </c>
      <c r="B115" s="88" t="s">
        <v>130</v>
      </c>
      <c r="C115" s="30" t="s">
        <v>131</v>
      </c>
      <c r="D115" s="30" t="s">
        <v>18</v>
      </c>
      <c r="E115" s="79">
        <f>F115*45*1+F116*50*1+F117*60*1</f>
        <v>1005</v>
      </c>
      <c r="F115" s="33">
        <v>5</v>
      </c>
      <c r="G115" s="33"/>
      <c r="H115" s="33"/>
      <c r="I115" s="33"/>
      <c r="J115" s="14"/>
      <c r="K115" s="15">
        <f aca="true" t="shared" si="13" ref="K115:K124">M115*0.92</f>
        <v>0</v>
      </c>
      <c r="L115" s="16">
        <v>0.08</v>
      </c>
      <c r="M115" s="15"/>
      <c r="N115" s="18">
        <f aca="true" t="shared" si="14" ref="N115:N124">K115*F115</f>
        <v>0</v>
      </c>
      <c r="O115" s="15">
        <f aca="true" t="shared" si="15" ref="O115:O124">ROUND(F115*M115,2)</f>
        <v>0</v>
      </c>
    </row>
    <row r="116" spans="1:15" ht="33.75" customHeight="1">
      <c r="A116" s="33">
        <v>2</v>
      </c>
      <c r="B116" s="88"/>
      <c r="C116" s="30" t="s">
        <v>82</v>
      </c>
      <c r="D116" s="30" t="s">
        <v>18</v>
      </c>
      <c r="E116" s="79"/>
      <c r="F116" s="33">
        <v>12</v>
      </c>
      <c r="G116" s="33"/>
      <c r="H116" s="33"/>
      <c r="I116" s="33"/>
      <c r="J116" s="14"/>
      <c r="K116" s="15">
        <f t="shared" si="13"/>
        <v>0</v>
      </c>
      <c r="L116" s="16">
        <v>0.08</v>
      </c>
      <c r="M116" s="15"/>
      <c r="N116" s="18">
        <f t="shared" si="14"/>
        <v>0</v>
      </c>
      <c r="O116" s="15">
        <f t="shared" si="15"/>
        <v>0</v>
      </c>
    </row>
    <row r="117" spans="1:15" ht="26.25" customHeight="1">
      <c r="A117" s="33">
        <v>3</v>
      </c>
      <c r="B117" s="88"/>
      <c r="C117" s="30" t="s">
        <v>113</v>
      </c>
      <c r="D117" s="30" t="s">
        <v>18</v>
      </c>
      <c r="E117" s="79"/>
      <c r="F117" s="33">
        <v>3</v>
      </c>
      <c r="G117" s="33"/>
      <c r="H117" s="33"/>
      <c r="I117" s="33"/>
      <c r="J117" s="14"/>
      <c r="K117" s="15">
        <f t="shared" si="13"/>
        <v>0</v>
      </c>
      <c r="L117" s="16">
        <v>0.08</v>
      </c>
      <c r="M117" s="15"/>
      <c r="N117" s="18">
        <f t="shared" si="14"/>
        <v>0</v>
      </c>
      <c r="O117" s="15">
        <f t="shared" si="15"/>
        <v>0</v>
      </c>
    </row>
    <row r="118" spans="1:15" ht="25.5">
      <c r="A118" s="33">
        <v>4</v>
      </c>
      <c r="B118" s="30" t="s">
        <v>132</v>
      </c>
      <c r="C118" s="63" t="s">
        <v>133</v>
      </c>
      <c r="D118" s="30" t="s">
        <v>18</v>
      </c>
      <c r="E118" s="33">
        <v>25000</v>
      </c>
      <c r="F118" s="30">
        <v>5</v>
      </c>
      <c r="G118" s="33"/>
      <c r="H118" s="33"/>
      <c r="I118" s="33"/>
      <c r="J118" s="46"/>
      <c r="K118" s="15">
        <f t="shared" si="13"/>
        <v>0</v>
      </c>
      <c r="L118" s="16">
        <v>0.08</v>
      </c>
      <c r="M118" s="47"/>
      <c r="N118" s="18">
        <f t="shared" si="14"/>
        <v>0</v>
      </c>
      <c r="O118" s="15">
        <f t="shared" si="15"/>
        <v>0</v>
      </c>
    </row>
    <row r="119" spans="1:16" s="28" customFormat="1" ht="30" customHeight="1">
      <c r="A119" s="33">
        <v>5</v>
      </c>
      <c r="B119" s="78" t="s">
        <v>134</v>
      </c>
      <c r="C119" s="30" t="s">
        <v>135</v>
      </c>
      <c r="D119" s="30" t="s">
        <v>18</v>
      </c>
      <c r="E119" s="79">
        <f>F119*100*1+F120*50*1</f>
        <v>29500</v>
      </c>
      <c r="F119" s="33">
        <v>212</v>
      </c>
      <c r="G119" s="33"/>
      <c r="H119" s="33"/>
      <c r="I119" s="33"/>
      <c r="J119" s="33"/>
      <c r="K119" s="15">
        <f t="shared" si="13"/>
        <v>0</v>
      </c>
      <c r="L119" s="16">
        <v>0.08</v>
      </c>
      <c r="M119" s="47"/>
      <c r="N119" s="18">
        <f t="shared" si="14"/>
        <v>0</v>
      </c>
      <c r="O119" s="15">
        <f t="shared" si="15"/>
        <v>0</v>
      </c>
      <c r="P119" s="25"/>
    </row>
    <row r="120" spans="1:16" s="28" customFormat="1" ht="37.5" customHeight="1">
      <c r="A120" s="33">
        <f>A119+1</f>
        <v>6</v>
      </c>
      <c r="B120" s="78"/>
      <c r="C120" s="30" t="s">
        <v>136</v>
      </c>
      <c r="D120" s="30" t="s">
        <v>18</v>
      </c>
      <c r="E120" s="79"/>
      <c r="F120" s="33">
        <v>166</v>
      </c>
      <c r="G120" s="33"/>
      <c r="H120" s="33"/>
      <c r="I120" s="33"/>
      <c r="J120" s="33"/>
      <c r="K120" s="15">
        <f t="shared" si="13"/>
        <v>0</v>
      </c>
      <c r="L120" s="16">
        <v>0.08</v>
      </c>
      <c r="M120" s="47"/>
      <c r="N120" s="18">
        <f t="shared" si="14"/>
        <v>0</v>
      </c>
      <c r="O120" s="15">
        <f t="shared" si="15"/>
        <v>0</v>
      </c>
      <c r="P120" s="25"/>
    </row>
    <row r="121" spans="1:16" s="28" customFormat="1" ht="67.5" customHeight="1">
      <c r="A121" s="33">
        <v>7</v>
      </c>
      <c r="B121" s="30" t="s">
        <v>137</v>
      </c>
      <c r="C121" s="30" t="s">
        <v>138</v>
      </c>
      <c r="D121" s="30" t="s">
        <v>18</v>
      </c>
      <c r="E121" s="33">
        <v>100</v>
      </c>
      <c r="F121" s="33">
        <v>1</v>
      </c>
      <c r="G121" s="33"/>
      <c r="H121" s="33"/>
      <c r="I121" s="33"/>
      <c r="J121" s="33"/>
      <c r="K121" s="15">
        <f t="shared" si="13"/>
        <v>0</v>
      </c>
      <c r="L121" s="16">
        <v>0.08</v>
      </c>
      <c r="M121" s="47"/>
      <c r="N121" s="18">
        <f t="shared" si="14"/>
        <v>0</v>
      </c>
      <c r="O121" s="15">
        <f t="shared" si="15"/>
        <v>0</v>
      </c>
      <c r="P121" s="25"/>
    </row>
    <row r="122" spans="1:16" s="28" customFormat="1" ht="47.25" customHeight="1">
      <c r="A122" s="33">
        <v>8</v>
      </c>
      <c r="B122" s="30" t="s">
        <v>139</v>
      </c>
      <c r="C122" s="30" t="s">
        <v>140</v>
      </c>
      <c r="D122" s="30" t="s">
        <v>18</v>
      </c>
      <c r="E122" s="33">
        <v>38400</v>
      </c>
      <c r="F122" s="33">
        <v>384</v>
      </c>
      <c r="G122" s="33"/>
      <c r="H122" s="33"/>
      <c r="I122" s="33"/>
      <c r="J122" s="33"/>
      <c r="K122" s="15">
        <f t="shared" si="13"/>
        <v>0</v>
      </c>
      <c r="L122" s="16">
        <v>0.08</v>
      </c>
      <c r="M122" s="47"/>
      <c r="N122" s="18">
        <f t="shared" si="14"/>
        <v>0</v>
      </c>
      <c r="O122" s="15">
        <f t="shared" si="15"/>
        <v>0</v>
      </c>
      <c r="P122" s="25"/>
    </row>
    <row r="123" spans="1:16" s="28" customFormat="1" ht="29.25" customHeight="1">
      <c r="A123" s="33">
        <v>9</v>
      </c>
      <c r="B123" s="78" t="s">
        <v>141</v>
      </c>
      <c r="C123" s="30" t="s">
        <v>142</v>
      </c>
      <c r="D123" s="30" t="s">
        <v>18</v>
      </c>
      <c r="E123" s="79">
        <f>F123*50*1+F124*100*1</f>
        <v>34700</v>
      </c>
      <c r="F123" s="33">
        <v>70</v>
      </c>
      <c r="G123" s="33"/>
      <c r="H123" s="33"/>
      <c r="I123" s="33"/>
      <c r="J123" s="33"/>
      <c r="K123" s="15">
        <f t="shared" si="13"/>
        <v>0</v>
      </c>
      <c r="L123" s="16">
        <v>0.08</v>
      </c>
      <c r="M123" s="47"/>
      <c r="N123" s="18">
        <f t="shared" si="14"/>
        <v>0</v>
      </c>
      <c r="O123" s="15">
        <f t="shared" si="15"/>
        <v>0</v>
      </c>
      <c r="P123" s="25"/>
    </row>
    <row r="124" spans="1:16" s="28" customFormat="1" ht="26.25" customHeight="1">
      <c r="A124" s="33">
        <f>A123+1</f>
        <v>10</v>
      </c>
      <c r="B124" s="78"/>
      <c r="C124" s="30" t="s">
        <v>34</v>
      </c>
      <c r="D124" s="30" t="s">
        <v>18</v>
      </c>
      <c r="E124" s="79"/>
      <c r="F124" s="33">
        <v>312</v>
      </c>
      <c r="G124" s="33"/>
      <c r="H124" s="33"/>
      <c r="I124" s="33"/>
      <c r="J124" s="33"/>
      <c r="K124" s="15">
        <f t="shared" si="13"/>
        <v>0</v>
      </c>
      <c r="L124" s="16">
        <v>0.08</v>
      </c>
      <c r="M124" s="47"/>
      <c r="N124" s="18">
        <f t="shared" si="14"/>
        <v>0</v>
      </c>
      <c r="O124" s="15">
        <f t="shared" si="15"/>
        <v>0</v>
      </c>
      <c r="P124" s="25"/>
    </row>
    <row r="125" spans="1:16" s="28" customFormat="1" ht="12.75">
      <c r="A125" s="79" t="s">
        <v>20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47">
        <f>SUM(N115:N124)</f>
        <v>0</v>
      </c>
      <c r="O125" s="47">
        <f>SUM(O115:O124)</f>
        <v>0</v>
      </c>
      <c r="P125" s="25"/>
    </row>
    <row r="126" spans="1:16" s="28" customFormat="1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6"/>
      <c r="L126" s="25"/>
      <c r="M126" s="27"/>
      <c r="N126" s="27"/>
      <c r="O126" s="26"/>
      <c r="P126" s="25"/>
    </row>
    <row r="127" spans="1:16" s="28" customFormat="1" ht="12.75">
      <c r="A127" s="24" t="s">
        <v>143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6"/>
      <c r="L127" s="25"/>
      <c r="M127" s="27"/>
      <c r="N127" s="27"/>
      <c r="O127" s="26"/>
      <c r="P127" s="25"/>
    </row>
    <row r="128" spans="1:16" s="28" customFormat="1" ht="85.5">
      <c r="A128" s="29" t="s">
        <v>1</v>
      </c>
      <c r="B128" s="30" t="s">
        <v>2</v>
      </c>
      <c r="C128" s="30" t="s">
        <v>3</v>
      </c>
      <c r="D128" s="30" t="s">
        <v>4</v>
      </c>
      <c r="E128" s="30" t="s">
        <v>26</v>
      </c>
      <c r="F128" s="30" t="s">
        <v>6</v>
      </c>
      <c r="G128" s="30" t="s">
        <v>7</v>
      </c>
      <c r="H128" s="29" t="s">
        <v>8</v>
      </c>
      <c r="I128" s="6" t="s">
        <v>9</v>
      </c>
      <c r="J128" s="6" t="s">
        <v>10</v>
      </c>
      <c r="K128" s="31" t="s">
        <v>11</v>
      </c>
      <c r="L128" s="30" t="s">
        <v>12</v>
      </c>
      <c r="M128" s="32" t="s">
        <v>13</v>
      </c>
      <c r="N128" s="9" t="s">
        <v>14</v>
      </c>
      <c r="O128" s="31" t="s">
        <v>15</v>
      </c>
      <c r="P128" s="25"/>
    </row>
    <row r="129" spans="1:16" s="28" customFormat="1" ht="12.75" customHeight="1">
      <c r="A129" s="33">
        <v>1</v>
      </c>
      <c r="B129" s="78" t="s">
        <v>144</v>
      </c>
      <c r="C129" s="30" t="s">
        <v>34</v>
      </c>
      <c r="D129" s="30" t="s">
        <v>145</v>
      </c>
      <c r="E129" s="79">
        <f>F129*100*10+F130*200*10+F131*500*1</f>
        <v>68000</v>
      </c>
      <c r="F129" s="33">
        <v>10</v>
      </c>
      <c r="G129" s="33"/>
      <c r="H129" s="33"/>
      <c r="I129" s="33"/>
      <c r="J129" s="33"/>
      <c r="K129" s="15">
        <f aca="true" t="shared" si="16" ref="K129:K139">M129*0.92</f>
        <v>0</v>
      </c>
      <c r="L129" s="16">
        <v>0.08</v>
      </c>
      <c r="M129" s="47"/>
      <c r="N129" s="18">
        <f aca="true" t="shared" si="17" ref="N129:N139">K129*F129</f>
        <v>0</v>
      </c>
      <c r="O129" s="15">
        <f aca="true" t="shared" si="18" ref="O129:O139">ROUND(F129*M129,2)</f>
        <v>0</v>
      </c>
      <c r="P129" s="25"/>
    </row>
    <row r="130" spans="1:16" s="28" customFormat="1" ht="12.75">
      <c r="A130" s="33">
        <f>A129+1</f>
        <v>2</v>
      </c>
      <c r="B130" s="78"/>
      <c r="C130" s="30" t="s">
        <v>39</v>
      </c>
      <c r="D130" s="30" t="s">
        <v>145</v>
      </c>
      <c r="E130" s="79"/>
      <c r="F130" s="33">
        <v>11</v>
      </c>
      <c r="G130" s="33"/>
      <c r="H130" s="33"/>
      <c r="I130" s="33"/>
      <c r="J130" s="33"/>
      <c r="K130" s="15">
        <f t="shared" si="16"/>
        <v>0</v>
      </c>
      <c r="L130" s="16">
        <v>0.08</v>
      </c>
      <c r="M130" s="47"/>
      <c r="N130" s="18">
        <f t="shared" si="17"/>
        <v>0</v>
      </c>
      <c r="O130" s="15">
        <f t="shared" si="18"/>
        <v>0</v>
      </c>
      <c r="P130" s="25"/>
    </row>
    <row r="131" spans="1:16" s="28" customFormat="1" ht="12.75">
      <c r="A131" s="33">
        <f>A130+1</f>
        <v>3</v>
      </c>
      <c r="B131" s="78"/>
      <c r="C131" s="30" t="s">
        <v>90</v>
      </c>
      <c r="D131" s="30" t="s">
        <v>146</v>
      </c>
      <c r="E131" s="79"/>
      <c r="F131" s="33">
        <v>72</v>
      </c>
      <c r="G131" s="33"/>
      <c r="H131" s="33"/>
      <c r="I131" s="33"/>
      <c r="J131" s="33"/>
      <c r="K131" s="15">
        <f t="shared" si="16"/>
        <v>0</v>
      </c>
      <c r="L131" s="16">
        <v>0.08</v>
      </c>
      <c r="M131" s="47"/>
      <c r="N131" s="18">
        <f t="shared" si="17"/>
        <v>0</v>
      </c>
      <c r="O131" s="15">
        <f t="shared" si="18"/>
        <v>0</v>
      </c>
      <c r="P131" s="25"/>
    </row>
    <row r="132" spans="1:16" s="28" customFormat="1" ht="37.5" customHeight="1">
      <c r="A132" s="33">
        <v>4</v>
      </c>
      <c r="B132" s="30" t="s">
        <v>147</v>
      </c>
      <c r="C132" s="30" t="s">
        <v>148</v>
      </c>
      <c r="D132" s="30" t="s">
        <v>18</v>
      </c>
      <c r="E132" s="33">
        <f>F132*15*1</f>
        <v>1950</v>
      </c>
      <c r="F132" s="33">
        <v>130</v>
      </c>
      <c r="G132" s="33"/>
      <c r="H132" s="33"/>
      <c r="I132" s="33"/>
      <c r="J132" s="33"/>
      <c r="K132" s="15">
        <f t="shared" si="16"/>
        <v>0</v>
      </c>
      <c r="L132" s="16">
        <v>0.08</v>
      </c>
      <c r="M132" s="47"/>
      <c r="N132" s="18">
        <f t="shared" si="17"/>
        <v>0</v>
      </c>
      <c r="O132" s="15">
        <f t="shared" si="18"/>
        <v>0</v>
      </c>
      <c r="P132" s="25"/>
    </row>
    <row r="133" spans="1:16" s="28" customFormat="1" ht="26.25" customHeight="1">
      <c r="A133" s="33">
        <f>A132+1</f>
        <v>5</v>
      </c>
      <c r="B133" s="78" t="s">
        <v>149</v>
      </c>
      <c r="C133" s="30" t="s">
        <v>150</v>
      </c>
      <c r="D133" s="30" t="s">
        <v>18</v>
      </c>
      <c r="E133" s="79">
        <f>F133*600*1+F134*450*1</f>
        <v>112650</v>
      </c>
      <c r="F133" s="33">
        <v>73</v>
      </c>
      <c r="G133" s="33"/>
      <c r="H133" s="33"/>
      <c r="I133" s="33"/>
      <c r="J133" s="33"/>
      <c r="K133" s="15">
        <f t="shared" si="16"/>
        <v>0</v>
      </c>
      <c r="L133" s="16">
        <v>0.08</v>
      </c>
      <c r="M133" s="47"/>
      <c r="N133" s="18">
        <f t="shared" si="17"/>
        <v>0</v>
      </c>
      <c r="O133" s="15">
        <f t="shared" si="18"/>
        <v>0</v>
      </c>
      <c r="P133" s="25"/>
    </row>
    <row r="134" spans="1:16" s="28" customFormat="1" ht="28.5" customHeight="1">
      <c r="A134" s="33">
        <v>6</v>
      </c>
      <c r="B134" s="78"/>
      <c r="C134" s="30" t="s">
        <v>151</v>
      </c>
      <c r="D134" s="30" t="s">
        <v>18</v>
      </c>
      <c r="E134" s="79"/>
      <c r="F134" s="33">
        <v>153</v>
      </c>
      <c r="G134" s="33"/>
      <c r="H134" s="33"/>
      <c r="I134" s="33"/>
      <c r="J134" s="33"/>
      <c r="K134" s="15">
        <f t="shared" si="16"/>
        <v>0</v>
      </c>
      <c r="L134" s="16">
        <v>0.08</v>
      </c>
      <c r="M134" s="47"/>
      <c r="N134" s="18">
        <f t="shared" si="17"/>
        <v>0</v>
      </c>
      <c r="O134" s="15">
        <f t="shared" si="18"/>
        <v>0</v>
      </c>
      <c r="P134" s="25"/>
    </row>
    <row r="135" spans="1:16" s="28" customFormat="1" ht="28.5" customHeight="1">
      <c r="A135" s="33">
        <v>7</v>
      </c>
      <c r="B135" s="78" t="s">
        <v>152</v>
      </c>
      <c r="C135" s="30" t="s">
        <v>153</v>
      </c>
      <c r="D135" s="30" t="s">
        <v>18</v>
      </c>
      <c r="E135" s="33">
        <f>F135*1000</f>
        <v>700000</v>
      </c>
      <c r="F135" s="33">
        <v>700</v>
      </c>
      <c r="G135" s="33"/>
      <c r="H135" s="33"/>
      <c r="I135" s="33"/>
      <c r="J135" s="33"/>
      <c r="K135" s="15">
        <f t="shared" si="16"/>
        <v>0</v>
      </c>
      <c r="L135" s="16">
        <v>0.08</v>
      </c>
      <c r="M135" s="47"/>
      <c r="N135" s="18">
        <f t="shared" si="17"/>
        <v>0</v>
      </c>
      <c r="O135" s="15">
        <f t="shared" si="18"/>
        <v>0</v>
      </c>
      <c r="P135" s="25"/>
    </row>
    <row r="136" spans="1:16" s="28" customFormat="1" ht="33.75" customHeight="1">
      <c r="A136" s="33">
        <v>8</v>
      </c>
      <c r="B136" s="78" t="s">
        <v>154</v>
      </c>
      <c r="C136" s="30" t="s">
        <v>155</v>
      </c>
      <c r="D136" s="30" t="s">
        <v>18</v>
      </c>
      <c r="E136" s="33">
        <f>F136*5000</f>
        <v>4395000</v>
      </c>
      <c r="F136" s="33">
        <v>879</v>
      </c>
      <c r="G136" s="33"/>
      <c r="H136" s="33"/>
      <c r="I136" s="33"/>
      <c r="J136" s="33"/>
      <c r="K136" s="15">
        <f t="shared" si="16"/>
        <v>0</v>
      </c>
      <c r="L136" s="16">
        <v>0.08</v>
      </c>
      <c r="M136" s="47"/>
      <c r="N136" s="18">
        <f t="shared" si="17"/>
        <v>0</v>
      </c>
      <c r="O136" s="15">
        <f t="shared" si="18"/>
        <v>0</v>
      </c>
      <c r="P136" s="25"/>
    </row>
    <row r="137" spans="1:16" s="28" customFormat="1" ht="33.75" customHeight="1">
      <c r="A137" s="79">
        <v>9</v>
      </c>
      <c r="B137" s="78" t="s">
        <v>156</v>
      </c>
      <c r="C137" s="30" t="s">
        <v>151</v>
      </c>
      <c r="D137" s="30" t="s">
        <v>18</v>
      </c>
      <c r="E137" s="78">
        <v>348500</v>
      </c>
      <c r="F137" s="33">
        <v>730</v>
      </c>
      <c r="G137" s="33"/>
      <c r="H137" s="33"/>
      <c r="I137" s="33"/>
      <c r="J137" s="46"/>
      <c r="K137" s="15">
        <f t="shared" si="16"/>
        <v>0</v>
      </c>
      <c r="L137" s="16">
        <v>0.08</v>
      </c>
      <c r="M137" s="47"/>
      <c r="N137" s="18">
        <f t="shared" si="17"/>
        <v>0</v>
      </c>
      <c r="O137" s="15">
        <f t="shared" si="18"/>
        <v>0</v>
      </c>
      <c r="P137" s="25"/>
    </row>
    <row r="138" spans="1:16" s="28" customFormat="1" ht="33.75" customHeight="1">
      <c r="A138" s="79"/>
      <c r="B138" s="78"/>
      <c r="C138" s="30" t="s">
        <v>39</v>
      </c>
      <c r="D138" s="30" t="s">
        <v>18</v>
      </c>
      <c r="E138" s="78"/>
      <c r="F138" s="33">
        <v>100</v>
      </c>
      <c r="G138" s="33"/>
      <c r="H138" s="33"/>
      <c r="I138" s="33"/>
      <c r="J138" s="33"/>
      <c r="K138" s="15">
        <f t="shared" si="16"/>
        <v>0</v>
      </c>
      <c r="L138" s="16">
        <v>0.08</v>
      </c>
      <c r="M138" s="47"/>
      <c r="N138" s="18">
        <f t="shared" si="17"/>
        <v>0</v>
      </c>
      <c r="O138" s="15">
        <f t="shared" si="18"/>
        <v>0</v>
      </c>
      <c r="P138" s="25"/>
    </row>
    <row r="139" spans="1:16" s="28" customFormat="1" ht="33.75" customHeight="1">
      <c r="A139" s="33">
        <v>10</v>
      </c>
      <c r="B139" s="64" t="s">
        <v>157</v>
      </c>
      <c r="C139" s="35" t="s">
        <v>90</v>
      </c>
      <c r="D139" s="35" t="s">
        <v>158</v>
      </c>
      <c r="E139" s="49">
        <v>500000</v>
      </c>
      <c r="F139" s="35">
        <v>20</v>
      </c>
      <c r="G139" s="35"/>
      <c r="H139" s="35"/>
      <c r="I139" s="35"/>
      <c r="J139" s="14"/>
      <c r="K139" s="15">
        <f t="shared" si="16"/>
        <v>0</v>
      </c>
      <c r="L139" s="16">
        <v>0.08</v>
      </c>
      <c r="M139" s="47"/>
      <c r="N139" s="18">
        <f t="shared" si="17"/>
        <v>0</v>
      </c>
      <c r="O139" s="15">
        <f t="shared" si="18"/>
        <v>0</v>
      </c>
      <c r="P139" s="25"/>
    </row>
    <row r="140" spans="1:16" s="28" customFormat="1" ht="12.75">
      <c r="A140" s="79" t="s">
        <v>20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47">
        <f>SUM(N129:N139)</f>
        <v>0</v>
      </c>
      <c r="O140" s="47">
        <f>SUM(O129:O139)</f>
        <v>0</v>
      </c>
      <c r="P140" s="25"/>
    </row>
    <row r="141" spans="1:16" s="28" customFormat="1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6"/>
      <c r="L141" s="25"/>
      <c r="M141" s="27"/>
      <c r="N141" s="27"/>
      <c r="O141" s="26"/>
      <c r="P141" s="25"/>
    </row>
    <row r="142" spans="1:16" s="28" customFormat="1" ht="12.75">
      <c r="A142" s="24" t="s">
        <v>159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6"/>
      <c r="L142" s="25"/>
      <c r="M142" s="27"/>
      <c r="N142" s="27"/>
      <c r="O142" s="26"/>
      <c r="P142" s="25"/>
    </row>
    <row r="143" spans="1:16" s="28" customFormat="1" ht="85.5">
      <c r="A143" s="29" t="s">
        <v>1</v>
      </c>
      <c r="B143" s="30" t="s">
        <v>2</v>
      </c>
      <c r="C143" s="30" t="s">
        <v>3</v>
      </c>
      <c r="D143" s="30" t="s">
        <v>4</v>
      </c>
      <c r="E143" s="30" t="s">
        <v>26</v>
      </c>
      <c r="F143" s="30" t="s">
        <v>6</v>
      </c>
      <c r="G143" s="30" t="s">
        <v>7</v>
      </c>
      <c r="H143" s="29" t="s">
        <v>8</v>
      </c>
      <c r="I143" s="6" t="s">
        <v>9</v>
      </c>
      <c r="J143" s="6" t="s">
        <v>10</v>
      </c>
      <c r="K143" s="31" t="s">
        <v>11</v>
      </c>
      <c r="L143" s="30" t="s">
        <v>12</v>
      </c>
      <c r="M143" s="32" t="s">
        <v>13</v>
      </c>
      <c r="N143" s="9" t="s">
        <v>14</v>
      </c>
      <c r="O143" s="31" t="s">
        <v>15</v>
      </c>
      <c r="P143" s="25"/>
    </row>
    <row r="144" spans="1:16" s="28" customFormat="1" ht="26.25" customHeight="1">
      <c r="A144" s="35">
        <v>1</v>
      </c>
      <c r="B144" s="86" t="s">
        <v>160</v>
      </c>
      <c r="C144" s="35" t="s">
        <v>77</v>
      </c>
      <c r="D144" s="35" t="s">
        <v>118</v>
      </c>
      <c r="E144" s="79">
        <f>F144*25*90+F145*100*30</f>
        <v>40500</v>
      </c>
      <c r="F144" s="35">
        <v>2</v>
      </c>
      <c r="G144" s="35"/>
      <c r="H144" s="35"/>
      <c r="I144" s="35"/>
      <c r="J144" s="14"/>
      <c r="K144" s="15">
        <f>M144*0.92</f>
        <v>0</v>
      </c>
      <c r="L144" s="16">
        <v>0.08</v>
      </c>
      <c r="M144" s="47"/>
      <c r="N144" s="18">
        <f>K144*F144</f>
        <v>0</v>
      </c>
      <c r="O144" s="15">
        <f>ROUND(F144*M144,2)</f>
        <v>0</v>
      </c>
      <c r="P144" s="25"/>
    </row>
    <row r="145" spans="1:16" s="28" customFormat="1" ht="23.25" customHeight="1">
      <c r="A145" s="65">
        <v>2</v>
      </c>
      <c r="B145" s="86"/>
      <c r="C145" s="65" t="s">
        <v>34</v>
      </c>
      <c r="D145" s="65" t="s">
        <v>161</v>
      </c>
      <c r="E145" s="79"/>
      <c r="F145" s="65">
        <v>12</v>
      </c>
      <c r="G145" s="65"/>
      <c r="H145" s="65"/>
      <c r="I145" s="65"/>
      <c r="J145" s="14"/>
      <c r="K145" s="15">
        <f>M145*0.92</f>
        <v>0</v>
      </c>
      <c r="L145" s="16">
        <v>0.08</v>
      </c>
      <c r="M145" s="47"/>
      <c r="N145" s="18">
        <f>K145*F145</f>
        <v>0</v>
      </c>
      <c r="O145" s="15">
        <f>ROUND(F145*M145,2)</f>
        <v>0</v>
      </c>
      <c r="P145" s="25"/>
    </row>
    <row r="146" spans="1:16" s="28" customFormat="1" ht="23.25" customHeight="1">
      <c r="A146" s="35">
        <v>3</v>
      </c>
      <c r="B146" s="87" t="s">
        <v>162</v>
      </c>
      <c r="C146" s="35" t="s">
        <v>163</v>
      </c>
      <c r="D146" s="65" t="s">
        <v>161</v>
      </c>
      <c r="E146" s="79">
        <f>F146*0.25*30+F147*1*30</f>
        <v>375</v>
      </c>
      <c r="F146" s="35">
        <v>2</v>
      </c>
      <c r="G146" s="35"/>
      <c r="H146" s="35"/>
      <c r="I146" s="35"/>
      <c r="J146" s="14"/>
      <c r="K146" s="15">
        <f>M146*0.92</f>
        <v>0</v>
      </c>
      <c r="L146" s="16">
        <v>0.08</v>
      </c>
      <c r="M146" s="47"/>
      <c r="N146" s="18">
        <f>K146*F146</f>
        <v>0</v>
      </c>
      <c r="O146" s="15">
        <f>ROUND(F146*M146,2)</f>
        <v>0</v>
      </c>
      <c r="P146" s="25"/>
    </row>
    <row r="147" spans="1:16" s="28" customFormat="1" ht="23.25" customHeight="1">
      <c r="A147" s="65">
        <v>4</v>
      </c>
      <c r="B147" s="87"/>
      <c r="C147" s="65" t="s">
        <v>30</v>
      </c>
      <c r="D147" s="65" t="s">
        <v>161</v>
      </c>
      <c r="E147" s="79"/>
      <c r="F147" s="65">
        <v>12</v>
      </c>
      <c r="G147" s="65"/>
      <c r="H147" s="65"/>
      <c r="I147" s="65"/>
      <c r="J147" s="14"/>
      <c r="K147" s="15">
        <f>M147*0.92</f>
        <v>0</v>
      </c>
      <c r="L147" s="16">
        <v>0.08</v>
      </c>
      <c r="M147" s="47"/>
      <c r="N147" s="18">
        <f>K147*F147</f>
        <v>0</v>
      </c>
      <c r="O147" s="15">
        <f>ROUND(F147*M147,2)</f>
        <v>0</v>
      </c>
      <c r="P147" s="25"/>
    </row>
    <row r="148" spans="1:16" s="28" customFormat="1" ht="12.75">
      <c r="A148" s="79" t="s">
        <v>20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47">
        <f>SUM(N144:N147)</f>
        <v>0</v>
      </c>
      <c r="O148" s="47">
        <f>SUM(O144:O147)</f>
        <v>0</v>
      </c>
      <c r="P148" s="25"/>
    </row>
    <row r="149" spans="1:16" s="28" customFormat="1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6"/>
      <c r="L149" s="25"/>
      <c r="M149" s="27"/>
      <c r="N149" s="27"/>
      <c r="O149" s="26"/>
      <c r="P149" s="25"/>
    </row>
    <row r="150" spans="1:16" s="28" customFormat="1" ht="12.75">
      <c r="A150" s="24" t="s">
        <v>164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6"/>
      <c r="L150" s="25"/>
      <c r="M150" s="27"/>
      <c r="N150" s="27"/>
      <c r="O150" s="26"/>
      <c r="P150" s="25"/>
    </row>
    <row r="151" spans="1:16" s="28" customFormat="1" ht="85.5">
      <c r="A151" s="29" t="s">
        <v>1</v>
      </c>
      <c r="B151" s="30" t="s">
        <v>2</v>
      </c>
      <c r="C151" s="30" t="s">
        <v>3</v>
      </c>
      <c r="D151" s="30" t="s">
        <v>4</v>
      </c>
      <c r="E151" s="30" t="s">
        <v>26</v>
      </c>
      <c r="F151" s="30" t="s">
        <v>6</v>
      </c>
      <c r="G151" s="30" t="s">
        <v>7</v>
      </c>
      <c r="H151" s="29" t="s">
        <v>8</v>
      </c>
      <c r="I151" s="6" t="s">
        <v>9</v>
      </c>
      <c r="J151" s="6" t="s">
        <v>10</v>
      </c>
      <c r="K151" s="31" t="s">
        <v>11</v>
      </c>
      <c r="L151" s="30" t="s">
        <v>12</v>
      </c>
      <c r="M151" s="32" t="s">
        <v>13</v>
      </c>
      <c r="N151" s="9" t="s">
        <v>14</v>
      </c>
      <c r="O151" s="31" t="s">
        <v>15</v>
      </c>
      <c r="P151" s="25"/>
    </row>
    <row r="152" spans="1:16" s="28" customFormat="1" ht="25.5">
      <c r="A152" s="33">
        <v>1</v>
      </c>
      <c r="B152" s="30" t="s">
        <v>165</v>
      </c>
      <c r="C152" s="30" t="s">
        <v>166</v>
      </c>
      <c r="D152" s="30" t="s">
        <v>18</v>
      </c>
      <c r="E152" s="33">
        <v>340</v>
      </c>
      <c r="F152" s="30">
        <v>34</v>
      </c>
      <c r="G152" s="33"/>
      <c r="H152" s="33"/>
      <c r="I152" s="33"/>
      <c r="J152" s="14"/>
      <c r="K152" s="15">
        <f>M152*0.92</f>
        <v>0</v>
      </c>
      <c r="L152" s="16">
        <v>0.08</v>
      </c>
      <c r="M152" s="47"/>
      <c r="N152" s="18">
        <f>K152*F152</f>
        <v>0</v>
      </c>
      <c r="O152" s="15">
        <f>ROUND(F152*M152,2)</f>
        <v>0</v>
      </c>
      <c r="P152" s="25"/>
    </row>
    <row r="153" spans="1:16" s="28" customFormat="1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6"/>
      <c r="L153" s="25"/>
      <c r="M153" s="27"/>
      <c r="N153" s="27"/>
      <c r="O153" s="26"/>
      <c r="P153" s="25"/>
    </row>
    <row r="154" spans="1:16" s="28" customFormat="1" ht="12.75">
      <c r="A154" s="24" t="s">
        <v>167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6"/>
      <c r="L154" s="25"/>
      <c r="M154" s="27"/>
      <c r="N154" s="27"/>
      <c r="O154" s="26"/>
      <c r="P154" s="25"/>
    </row>
    <row r="155" spans="1:16" s="28" customFormat="1" ht="85.5">
      <c r="A155" s="29" t="s">
        <v>1</v>
      </c>
      <c r="B155" s="30" t="s">
        <v>2</v>
      </c>
      <c r="C155" s="30" t="s">
        <v>3</v>
      </c>
      <c r="D155" s="30" t="s">
        <v>4</v>
      </c>
      <c r="E155" s="30" t="s">
        <v>26</v>
      </c>
      <c r="F155" s="30" t="s">
        <v>6</v>
      </c>
      <c r="G155" s="30" t="s">
        <v>7</v>
      </c>
      <c r="H155" s="29" t="s">
        <v>8</v>
      </c>
      <c r="I155" s="6" t="s">
        <v>9</v>
      </c>
      <c r="J155" s="6" t="s">
        <v>10</v>
      </c>
      <c r="K155" s="31" t="s">
        <v>11</v>
      </c>
      <c r="L155" s="30" t="s">
        <v>12</v>
      </c>
      <c r="M155" s="32" t="s">
        <v>13</v>
      </c>
      <c r="N155" s="9" t="s">
        <v>14</v>
      </c>
      <c r="O155" s="31" t="s">
        <v>15</v>
      </c>
      <c r="P155" s="25"/>
    </row>
    <row r="156" spans="1:16" s="28" customFormat="1" ht="53.25" customHeight="1">
      <c r="A156" s="33">
        <v>1</v>
      </c>
      <c r="B156" s="30" t="s">
        <v>168</v>
      </c>
      <c r="C156" s="30" t="s">
        <v>169</v>
      </c>
      <c r="D156" s="30" t="s">
        <v>170</v>
      </c>
      <c r="E156" s="33">
        <f>F156*250*2</f>
        <v>170000</v>
      </c>
      <c r="F156" s="30">
        <v>340</v>
      </c>
      <c r="G156" s="33"/>
      <c r="H156" s="33"/>
      <c r="I156" s="14"/>
      <c r="J156" s="33"/>
      <c r="K156" s="15">
        <f>M156*0.92</f>
        <v>0</v>
      </c>
      <c r="L156" s="16">
        <v>0.08</v>
      </c>
      <c r="M156" s="47"/>
      <c r="N156" s="18">
        <f>K156*F156</f>
        <v>0</v>
      </c>
      <c r="O156" s="15">
        <f>ROUND(F156*M156,2)</f>
        <v>0</v>
      </c>
      <c r="P156" s="25"/>
    </row>
    <row r="157" spans="1:16" s="28" customFormat="1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6"/>
      <c r="L157" s="25"/>
      <c r="M157" s="27"/>
      <c r="N157" s="27"/>
      <c r="O157" s="26"/>
      <c r="P157" s="25"/>
    </row>
    <row r="158" spans="1:16" s="28" customFormat="1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6"/>
      <c r="L158" s="25"/>
      <c r="M158" s="27"/>
      <c r="N158" s="27"/>
      <c r="O158" s="26"/>
      <c r="P158" s="25"/>
    </row>
    <row r="159" spans="1:16" s="28" customFormat="1" ht="12.75">
      <c r="A159" s="77" t="s">
        <v>171</v>
      </c>
      <c r="B159" s="77"/>
      <c r="C159" s="77"/>
      <c r="D159"/>
      <c r="E159"/>
      <c r="F159"/>
      <c r="G159"/>
      <c r="H159"/>
      <c r="I159"/>
      <c r="J159"/>
      <c r="K159"/>
      <c r="L159"/>
      <c r="M159"/>
      <c r="N159"/>
      <c r="O159"/>
      <c r="P159" s="25"/>
    </row>
    <row r="160" spans="1:19" s="28" customFormat="1" ht="85.5">
      <c r="A160" s="29" t="s">
        <v>1</v>
      </c>
      <c r="B160" s="30" t="s">
        <v>2</v>
      </c>
      <c r="C160" s="30" t="s">
        <v>3</v>
      </c>
      <c r="D160" s="30" t="s">
        <v>4</v>
      </c>
      <c r="E160" s="30" t="s">
        <v>26</v>
      </c>
      <c r="F160" s="30" t="s">
        <v>6</v>
      </c>
      <c r="G160" s="30" t="s">
        <v>7</v>
      </c>
      <c r="H160" s="29" t="s">
        <v>8</v>
      </c>
      <c r="I160" s="6" t="s">
        <v>9</v>
      </c>
      <c r="J160" s="6" t="s">
        <v>10</v>
      </c>
      <c r="K160" s="31" t="s">
        <v>11</v>
      </c>
      <c r="L160" s="30" t="s">
        <v>12</v>
      </c>
      <c r="M160" s="32" t="s">
        <v>13</v>
      </c>
      <c r="N160" s="9" t="s">
        <v>14</v>
      </c>
      <c r="O160" s="31" t="s">
        <v>15</v>
      </c>
      <c r="P160" s="25"/>
      <c r="S160" s="60"/>
    </row>
    <row r="161" spans="1:16" s="28" customFormat="1" ht="28.5" customHeight="1">
      <c r="A161" s="33">
        <v>1</v>
      </c>
      <c r="B161" s="34" t="s">
        <v>172</v>
      </c>
      <c r="C161" s="30" t="s">
        <v>34</v>
      </c>
      <c r="D161" s="30" t="s">
        <v>18</v>
      </c>
      <c r="E161" s="79">
        <f>F161*100*1+F163*1000*1+F162*500*1</f>
        <v>33100</v>
      </c>
      <c r="F161" s="33">
        <v>16</v>
      </c>
      <c r="G161" s="33"/>
      <c r="H161" s="33"/>
      <c r="I161" s="33"/>
      <c r="J161" s="14"/>
      <c r="K161" s="15">
        <f>M161*0.92</f>
        <v>0</v>
      </c>
      <c r="L161" s="16">
        <v>0.08</v>
      </c>
      <c r="M161" s="15"/>
      <c r="N161" s="18">
        <f>K161*F161</f>
        <v>0</v>
      </c>
      <c r="O161" s="15">
        <f>ROUND(F161*M161,2)</f>
        <v>0</v>
      </c>
      <c r="P161" s="25"/>
    </row>
    <row r="162" spans="1:16" s="28" customFormat="1" ht="32.25" customHeight="1">
      <c r="A162" s="33">
        <v>2</v>
      </c>
      <c r="B162" s="34" t="s">
        <v>173</v>
      </c>
      <c r="C162" s="30" t="s">
        <v>90</v>
      </c>
      <c r="D162" s="30" t="s">
        <v>18</v>
      </c>
      <c r="E162" s="79"/>
      <c r="F162" s="33">
        <v>35</v>
      </c>
      <c r="G162" s="33"/>
      <c r="H162" s="33"/>
      <c r="I162" s="33"/>
      <c r="J162" s="14"/>
      <c r="K162" s="15">
        <f>M162*0.92</f>
        <v>0</v>
      </c>
      <c r="L162" s="16"/>
      <c r="M162" s="15"/>
      <c r="N162" s="18">
        <f>K162*F162</f>
        <v>0</v>
      </c>
      <c r="O162" s="15">
        <f>ROUND(F162*M162,2)</f>
        <v>0</v>
      </c>
      <c r="P162" s="25"/>
    </row>
    <row r="163" spans="1:16" s="28" customFormat="1" ht="25.5">
      <c r="A163" s="33">
        <v>3</v>
      </c>
      <c r="B163" s="34" t="s">
        <v>174</v>
      </c>
      <c r="C163" s="30" t="s">
        <v>153</v>
      </c>
      <c r="D163" s="30" t="s">
        <v>18</v>
      </c>
      <c r="E163" s="79"/>
      <c r="F163" s="33">
        <v>14</v>
      </c>
      <c r="G163" s="33"/>
      <c r="H163" s="33"/>
      <c r="I163" s="33"/>
      <c r="J163" s="14"/>
      <c r="K163" s="15">
        <f>M163*0.92</f>
        <v>0</v>
      </c>
      <c r="L163" s="16">
        <v>0.08</v>
      </c>
      <c r="M163" s="15"/>
      <c r="N163" s="18">
        <f>K163*F163</f>
        <v>0</v>
      </c>
      <c r="O163" s="15">
        <f>ROUND(F163*M163,2)</f>
        <v>0</v>
      </c>
      <c r="P163" s="25"/>
    </row>
    <row r="164" spans="1:16" s="28" customFormat="1" ht="12.75">
      <c r="A164" s="84" t="s">
        <v>20</v>
      </c>
      <c r="B164" s="84"/>
      <c r="C164" s="84"/>
      <c r="D164" s="84"/>
      <c r="E164" s="84"/>
      <c r="F164" s="84"/>
      <c r="G164" s="84"/>
      <c r="H164" s="84"/>
      <c r="I164" s="84"/>
      <c r="J164" s="84"/>
      <c r="K164" s="15"/>
      <c r="L164" s="11"/>
      <c r="M164" s="15"/>
      <c r="N164" s="15">
        <f>SUM(N161:N163)</f>
        <v>0</v>
      </c>
      <c r="O164" s="15">
        <f>SUM(O161:O163)</f>
        <v>0</v>
      </c>
      <c r="P164" s="25"/>
    </row>
    <row r="165" spans="1:16" s="28" customFormat="1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21"/>
      <c r="L165" s="19"/>
      <c r="M165" s="21"/>
      <c r="N165" s="21"/>
      <c r="O165" s="21"/>
      <c r="P165" s="25"/>
    </row>
    <row r="166" spans="1:16" s="28" customFormat="1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21"/>
      <c r="L166" s="19"/>
      <c r="M166" s="21"/>
      <c r="N166" s="21"/>
      <c r="O166" s="21"/>
      <c r="P166" s="25"/>
    </row>
    <row r="167" spans="1:16" s="28" customFormat="1" ht="12.75">
      <c r="A167" s="24" t="s">
        <v>175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6"/>
      <c r="L167" s="25"/>
      <c r="M167" s="27"/>
      <c r="N167" s="27"/>
      <c r="O167" s="26"/>
      <c r="P167" s="25"/>
    </row>
    <row r="168" spans="1:16" s="28" customFormat="1" ht="85.5">
      <c r="A168" s="29" t="s">
        <v>1</v>
      </c>
      <c r="B168" s="30" t="s">
        <v>2</v>
      </c>
      <c r="C168" s="30" t="s">
        <v>3</v>
      </c>
      <c r="D168" s="30" t="s">
        <v>4</v>
      </c>
      <c r="E168" s="30" t="s">
        <v>26</v>
      </c>
      <c r="F168" s="30" t="s">
        <v>6</v>
      </c>
      <c r="G168" s="30" t="s">
        <v>7</v>
      </c>
      <c r="H168" s="29" t="s">
        <v>8</v>
      </c>
      <c r="I168" s="6" t="s">
        <v>9</v>
      </c>
      <c r="J168" s="6" t="s">
        <v>10</v>
      </c>
      <c r="K168" s="31" t="s">
        <v>11</v>
      </c>
      <c r="L168" s="30" t="s">
        <v>12</v>
      </c>
      <c r="M168" s="32" t="s">
        <v>13</v>
      </c>
      <c r="N168" s="9" t="s">
        <v>14</v>
      </c>
      <c r="O168" s="31" t="s">
        <v>15</v>
      </c>
      <c r="P168" s="25"/>
    </row>
    <row r="169" spans="1:16" s="28" customFormat="1" ht="36" customHeight="1">
      <c r="A169" s="30">
        <v>1</v>
      </c>
      <c r="B169" s="85" t="s">
        <v>176</v>
      </c>
      <c r="C169" s="30" t="s">
        <v>113</v>
      </c>
      <c r="D169" s="33" t="s">
        <v>69</v>
      </c>
      <c r="E169" s="79">
        <f>F169*60*30+F170*40*30+F171*20*30</f>
        <v>79800</v>
      </c>
      <c r="F169" s="33">
        <v>26</v>
      </c>
      <c r="G169" s="33"/>
      <c r="H169" s="33"/>
      <c r="I169" s="33"/>
      <c r="J169" s="46"/>
      <c r="K169" s="15">
        <f>M169*0.92</f>
        <v>0</v>
      </c>
      <c r="L169" s="16">
        <v>0.08</v>
      </c>
      <c r="M169" s="47"/>
      <c r="N169" s="18">
        <f>K169*F169</f>
        <v>0</v>
      </c>
      <c r="O169" s="15">
        <f>ROUND(F169*M169,2)</f>
        <v>0</v>
      </c>
      <c r="P169" s="25"/>
    </row>
    <row r="170" spans="1:16" s="28" customFormat="1" ht="36" customHeight="1">
      <c r="A170" s="30">
        <v>2</v>
      </c>
      <c r="B170" s="85"/>
      <c r="C170" s="30" t="s">
        <v>45</v>
      </c>
      <c r="D170" s="33" t="s">
        <v>69</v>
      </c>
      <c r="E170" s="79"/>
      <c r="F170" s="33">
        <v>20</v>
      </c>
      <c r="G170" s="33"/>
      <c r="H170" s="33"/>
      <c r="I170" s="33"/>
      <c r="J170" s="33"/>
      <c r="K170" s="15">
        <f>M170*0.92</f>
        <v>0</v>
      </c>
      <c r="L170" s="16">
        <v>0.08</v>
      </c>
      <c r="M170" s="47"/>
      <c r="N170" s="18">
        <f>K170*F170</f>
        <v>0</v>
      </c>
      <c r="O170" s="15">
        <f>ROUND(F170*M170,2)</f>
        <v>0</v>
      </c>
      <c r="P170" s="25"/>
    </row>
    <row r="171" spans="1:16" s="28" customFormat="1" ht="36" customHeight="1">
      <c r="A171" s="30">
        <v>3</v>
      </c>
      <c r="B171" s="85"/>
      <c r="C171" s="30" t="s">
        <v>86</v>
      </c>
      <c r="D171" s="33" t="s">
        <v>69</v>
      </c>
      <c r="E171" s="79"/>
      <c r="F171" s="33">
        <v>15</v>
      </c>
      <c r="G171" s="33"/>
      <c r="H171" s="33"/>
      <c r="I171" s="33"/>
      <c r="J171" s="33"/>
      <c r="K171" s="15">
        <f>M171*0.92</f>
        <v>0</v>
      </c>
      <c r="L171" s="16">
        <v>0.08</v>
      </c>
      <c r="M171" s="47"/>
      <c r="N171" s="18">
        <f>K171*F171</f>
        <v>0</v>
      </c>
      <c r="O171" s="15">
        <f>ROUND(F171*M171,2)</f>
        <v>0</v>
      </c>
      <c r="P171" s="25"/>
    </row>
    <row r="172" spans="1:16" s="28" customFormat="1" ht="17.25" customHeight="1">
      <c r="A172" s="79" t="s">
        <v>20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47">
        <f>SUM(N169:N171)</f>
        <v>0</v>
      </c>
      <c r="O172" s="47">
        <f>SUM(O169:O171)</f>
        <v>0</v>
      </c>
      <c r="P172" s="25"/>
    </row>
    <row r="173" spans="1:16" s="28" customFormat="1" ht="44.25" customHeight="1">
      <c r="A173" s="25"/>
      <c r="B173" s="44"/>
      <c r="C173" s="44"/>
      <c r="D173" s="41"/>
      <c r="E173" s="41"/>
      <c r="F173" s="41"/>
      <c r="G173" s="41"/>
      <c r="H173" s="41"/>
      <c r="I173" s="41"/>
      <c r="J173" s="41"/>
      <c r="K173" s="45"/>
      <c r="L173" s="22"/>
      <c r="M173" s="45"/>
      <c r="N173" s="45"/>
      <c r="O173" s="45"/>
      <c r="P173" s="25"/>
    </row>
    <row r="174" spans="1:16" s="28" customFormat="1" ht="12.75">
      <c r="A174" s="24" t="s">
        <v>177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6"/>
      <c r="L174" s="25"/>
      <c r="M174" s="27"/>
      <c r="N174" s="27"/>
      <c r="O174" s="26"/>
      <c r="P174" s="25"/>
    </row>
    <row r="175" spans="1:16" s="28" customFormat="1" ht="85.5">
      <c r="A175" s="29" t="s">
        <v>1</v>
      </c>
      <c r="B175" s="30" t="s">
        <v>2</v>
      </c>
      <c r="C175" s="30" t="s">
        <v>3</v>
      </c>
      <c r="D175" s="30" t="s">
        <v>4</v>
      </c>
      <c r="E175" s="30" t="s">
        <v>26</v>
      </c>
      <c r="F175" s="30" t="s">
        <v>6</v>
      </c>
      <c r="G175" s="30" t="s">
        <v>7</v>
      </c>
      <c r="H175" s="29" t="s">
        <v>8</v>
      </c>
      <c r="I175" s="6" t="s">
        <v>9</v>
      </c>
      <c r="J175" s="6" t="s">
        <v>10</v>
      </c>
      <c r="K175" s="31" t="s">
        <v>11</v>
      </c>
      <c r="L175" s="30" t="s">
        <v>12</v>
      </c>
      <c r="M175" s="32" t="s">
        <v>13</v>
      </c>
      <c r="N175" s="9" t="s">
        <v>14</v>
      </c>
      <c r="O175" s="31" t="s">
        <v>15</v>
      </c>
      <c r="P175" s="25"/>
    </row>
    <row r="176" spans="1:16" s="28" customFormat="1" ht="48.75" customHeight="1">
      <c r="A176" s="33">
        <v>1</v>
      </c>
      <c r="B176" s="67" t="s">
        <v>178</v>
      </c>
      <c r="C176" s="30" t="s">
        <v>179</v>
      </c>
      <c r="D176" s="30" t="s">
        <v>180</v>
      </c>
      <c r="E176" s="52">
        <f>F176*10*20</f>
        <v>10000</v>
      </c>
      <c r="F176" s="30">
        <v>50</v>
      </c>
      <c r="G176" s="33"/>
      <c r="H176" s="33"/>
      <c r="I176" s="33"/>
      <c r="J176" s="46"/>
      <c r="K176" s="15">
        <f>M176*0.92</f>
        <v>0</v>
      </c>
      <c r="L176" s="16">
        <v>0.08</v>
      </c>
      <c r="M176" s="47"/>
      <c r="N176" s="18">
        <f>K176*F176</f>
        <v>0</v>
      </c>
      <c r="O176" s="15">
        <f>ROUND(F176*M176,2)</f>
        <v>0</v>
      </c>
      <c r="P176" s="25"/>
    </row>
    <row r="177" spans="1:16" s="28" customFormat="1" ht="62.25" customHeight="1">
      <c r="A177" s="33">
        <f>A176+1</f>
        <v>2</v>
      </c>
      <c r="B177" s="30" t="s">
        <v>181</v>
      </c>
      <c r="C177" s="30" t="s">
        <v>182</v>
      </c>
      <c r="D177" s="30" t="s">
        <v>183</v>
      </c>
      <c r="E177" s="47">
        <f>F177*1.5*3</f>
        <v>22.5</v>
      </c>
      <c r="F177" s="30">
        <v>5</v>
      </c>
      <c r="G177" s="33"/>
      <c r="H177" s="33"/>
      <c r="I177" s="33"/>
      <c r="J177" s="14"/>
      <c r="K177" s="15">
        <f>M177*0.92</f>
        <v>0</v>
      </c>
      <c r="L177" s="16">
        <v>0.08</v>
      </c>
      <c r="M177" s="47"/>
      <c r="N177" s="18">
        <f>K177*F177</f>
        <v>0</v>
      </c>
      <c r="O177" s="15">
        <f>ROUND(F177*M177,2)</f>
        <v>0</v>
      </c>
      <c r="P177" s="25"/>
    </row>
    <row r="178" spans="1:16" s="28" customFormat="1" ht="12.75">
      <c r="A178" s="79" t="s">
        <v>20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47">
        <f>SUM(N176:N177)</f>
        <v>0</v>
      </c>
      <c r="O178" s="47">
        <f>SUM(O176:O177)</f>
        <v>0</v>
      </c>
      <c r="P178" s="25"/>
    </row>
    <row r="179" spans="1:16" s="28" customFormat="1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6"/>
      <c r="P179" s="25"/>
    </row>
    <row r="180" spans="1:16" s="28" customFormat="1" ht="12.75">
      <c r="A180" s="24" t="s">
        <v>184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6"/>
      <c r="L180" s="25"/>
      <c r="M180" s="27"/>
      <c r="N180" s="27"/>
      <c r="O180" s="26"/>
      <c r="P180" s="25"/>
    </row>
    <row r="181" spans="1:16" s="28" customFormat="1" ht="85.5">
      <c r="A181" s="29" t="s">
        <v>1</v>
      </c>
      <c r="B181" s="30" t="s">
        <v>2</v>
      </c>
      <c r="C181" s="30" t="s">
        <v>3</v>
      </c>
      <c r="D181" s="30" t="s">
        <v>4</v>
      </c>
      <c r="E181" s="30" t="s">
        <v>26</v>
      </c>
      <c r="F181" s="30" t="s">
        <v>6</v>
      </c>
      <c r="G181" s="30" t="s">
        <v>7</v>
      </c>
      <c r="H181" s="29" t="s">
        <v>8</v>
      </c>
      <c r="I181" s="6" t="s">
        <v>9</v>
      </c>
      <c r="J181" s="6" t="s">
        <v>10</v>
      </c>
      <c r="K181" s="31" t="s">
        <v>11</v>
      </c>
      <c r="L181" s="30" t="s">
        <v>12</v>
      </c>
      <c r="M181" s="32" t="s">
        <v>13</v>
      </c>
      <c r="N181" s="9" t="s">
        <v>14</v>
      </c>
      <c r="O181" s="31" t="s">
        <v>15</v>
      </c>
      <c r="P181" s="25"/>
    </row>
    <row r="182" spans="1:16" s="28" customFormat="1" ht="38.25">
      <c r="A182" s="33">
        <v>1</v>
      </c>
      <c r="B182" s="68" t="s">
        <v>185</v>
      </c>
      <c r="C182" s="30" t="s">
        <v>186</v>
      </c>
      <c r="D182" s="30" t="s">
        <v>18</v>
      </c>
      <c r="E182" s="33">
        <f>F182*300*1</f>
        <v>202200</v>
      </c>
      <c r="F182" s="30">
        <v>674</v>
      </c>
      <c r="G182" s="33"/>
      <c r="H182" s="33"/>
      <c r="I182" s="33"/>
      <c r="J182" s="14"/>
      <c r="K182" s="15">
        <f>M182*0.92</f>
        <v>0</v>
      </c>
      <c r="L182" s="16">
        <v>0.08</v>
      </c>
      <c r="M182" s="47"/>
      <c r="N182" s="18">
        <f>K182*F182</f>
        <v>0</v>
      </c>
      <c r="O182" s="15">
        <f>ROUND(F182*M182,2)</f>
        <v>0</v>
      </c>
      <c r="P182" s="25"/>
    </row>
    <row r="183" spans="1:16" s="28" customFormat="1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6"/>
      <c r="L183" s="25"/>
      <c r="M183" s="27"/>
      <c r="N183" s="27"/>
      <c r="O183" s="26"/>
      <c r="P183" s="25"/>
    </row>
    <row r="184" spans="1:16" s="28" customFormat="1" ht="12.75">
      <c r="A184" s="24" t="s">
        <v>187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6"/>
      <c r="L184" s="25"/>
      <c r="M184" s="27"/>
      <c r="N184" s="27"/>
      <c r="O184" s="26"/>
      <c r="P184" s="25"/>
    </row>
    <row r="185" spans="1:16" s="28" customFormat="1" ht="37.5" customHeight="1">
      <c r="A185" s="33">
        <v>1</v>
      </c>
      <c r="B185" s="78" t="s">
        <v>188</v>
      </c>
      <c r="C185" s="29" t="s">
        <v>189</v>
      </c>
      <c r="D185" s="30" t="s">
        <v>18</v>
      </c>
      <c r="E185" s="79">
        <v>273200</v>
      </c>
      <c r="F185" s="30">
        <v>448</v>
      </c>
      <c r="G185" s="33"/>
      <c r="H185" s="33"/>
      <c r="I185" s="33"/>
      <c r="J185" s="14"/>
      <c r="K185" s="15">
        <f>M185*0.92</f>
        <v>0</v>
      </c>
      <c r="L185" s="16">
        <v>0.08</v>
      </c>
      <c r="M185" s="47"/>
      <c r="N185" s="18">
        <f>K185*F185</f>
        <v>0</v>
      </c>
      <c r="O185" s="47">
        <f>ROUND(F185*M185,2)</f>
        <v>0</v>
      </c>
      <c r="P185" s="25"/>
    </row>
    <row r="186" spans="1:16" s="28" customFormat="1" ht="27.75" customHeight="1">
      <c r="A186" s="33">
        <v>2</v>
      </c>
      <c r="B186" s="78"/>
      <c r="C186" s="29" t="s">
        <v>190</v>
      </c>
      <c r="D186" s="30" t="s">
        <v>18</v>
      </c>
      <c r="E186" s="79"/>
      <c r="F186" s="30">
        <v>492</v>
      </c>
      <c r="G186" s="33"/>
      <c r="H186" s="33"/>
      <c r="I186" s="33"/>
      <c r="J186" s="14"/>
      <c r="K186" s="15">
        <f>M186*0.92</f>
        <v>0</v>
      </c>
      <c r="L186" s="16">
        <v>0.08</v>
      </c>
      <c r="M186" s="47"/>
      <c r="N186" s="18">
        <f>K186*F186</f>
        <v>0</v>
      </c>
      <c r="O186" s="47">
        <f>ROUND(F186*M186,2)</f>
        <v>0</v>
      </c>
      <c r="P186" s="25"/>
    </row>
    <row r="187" spans="1:16" s="28" customFormat="1" ht="12.75">
      <c r="A187" s="79" t="s">
        <v>20</v>
      </c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47">
        <f>SUM(N185:N186)</f>
        <v>0</v>
      </c>
      <c r="O187" s="47">
        <f>SUM(O185:O186)</f>
        <v>0</v>
      </c>
      <c r="P187" s="25"/>
    </row>
    <row r="188" spans="1:16" s="28" customFormat="1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5"/>
      <c r="O188" s="45"/>
      <c r="P188" s="25"/>
    </row>
    <row r="189" spans="1:16" s="28" customFormat="1" ht="12.75">
      <c r="A189" s="77" t="s">
        <v>191</v>
      </c>
      <c r="B189" s="77"/>
      <c r="C189" s="77"/>
      <c r="D189" s="66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5"/>
      <c r="P189" s="25"/>
    </row>
    <row r="190" spans="1:16" s="28" customFormat="1" ht="85.5">
      <c r="A190" s="6" t="s">
        <v>1</v>
      </c>
      <c r="B190" s="7" t="s">
        <v>2</v>
      </c>
      <c r="C190" s="7" t="s">
        <v>3</v>
      </c>
      <c r="D190" s="7" t="s">
        <v>4</v>
      </c>
      <c r="E190" s="7" t="s">
        <v>26</v>
      </c>
      <c r="F190" s="7" t="s">
        <v>6</v>
      </c>
      <c r="G190" s="7" t="s">
        <v>7</v>
      </c>
      <c r="H190" s="8" t="s">
        <v>8</v>
      </c>
      <c r="I190" s="6" t="s">
        <v>9</v>
      </c>
      <c r="J190" s="6" t="s">
        <v>10</v>
      </c>
      <c r="K190" s="9" t="s">
        <v>11</v>
      </c>
      <c r="L190" s="7" t="s">
        <v>12</v>
      </c>
      <c r="M190" s="10" t="s">
        <v>13</v>
      </c>
      <c r="N190" s="9" t="s">
        <v>14</v>
      </c>
      <c r="O190" s="9" t="s">
        <v>15</v>
      </c>
      <c r="P190" s="25"/>
    </row>
    <row r="191" spans="1:16" s="28" customFormat="1" ht="12.75">
      <c r="A191" s="11">
        <v>1</v>
      </c>
      <c r="B191" s="84" t="s">
        <v>192</v>
      </c>
      <c r="C191" s="11" t="s">
        <v>86</v>
      </c>
      <c r="D191" s="30" t="s">
        <v>18</v>
      </c>
      <c r="E191" s="84">
        <f>20*F191+30*F192</f>
        <v>45400</v>
      </c>
      <c r="F191" s="11">
        <v>920</v>
      </c>
      <c r="G191" s="11"/>
      <c r="H191" s="11"/>
      <c r="I191" s="11"/>
      <c r="J191" s="14"/>
      <c r="K191" s="15">
        <f>M191*0.92</f>
        <v>0</v>
      </c>
      <c r="L191" s="16">
        <v>0.08</v>
      </c>
      <c r="M191" s="18"/>
      <c r="N191" s="18">
        <f>K191*F191</f>
        <v>0</v>
      </c>
      <c r="O191" s="15">
        <f>ROUND(F191*M191,2)</f>
        <v>0</v>
      </c>
      <c r="P191" s="25"/>
    </row>
    <row r="192" spans="1:16" s="28" customFormat="1" ht="12.75">
      <c r="A192" s="11">
        <f>A191+1</f>
        <v>2</v>
      </c>
      <c r="B192" s="84"/>
      <c r="C192" s="11" t="s">
        <v>58</v>
      </c>
      <c r="D192" s="30" t="s">
        <v>18</v>
      </c>
      <c r="E192" s="84"/>
      <c r="F192" s="11">
        <v>900</v>
      </c>
      <c r="G192" s="11"/>
      <c r="H192" s="11"/>
      <c r="I192" s="11"/>
      <c r="J192" s="14"/>
      <c r="K192" s="15">
        <f>M192*0.92</f>
        <v>0</v>
      </c>
      <c r="L192" s="16">
        <v>0.08</v>
      </c>
      <c r="M192" s="18"/>
      <c r="N192" s="18">
        <f>K192*F192</f>
        <v>0</v>
      </c>
      <c r="O192" s="15">
        <f>ROUND(F192*M192,2)</f>
        <v>0</v>
      </c>
      <c r="P192" s="25"/>
    </row>
    <row r="193" spans="1:16" s="28" customFormat="1" ht="12.75">
      <c r="A193" s="84" t="s">
        <v>20</v>
      </c>
      <c r="B193" s="84"/>
      <c r="C193" s="84"/>
      <c r="D193" s="84"/>
      <c r="E193" s="84"/>
      <c r="F193" s="84"/>
      <c r="G193" s="84"/>
      <c r="H193" s="84"/>
      <c r="I193" s="84"/>
      <c r="J193" s="84"/>
      <c r="K193" s="15"/>
      <c r="L193" s="11"/>
      <c r="M193" s="15"/>
      <c r="N193" s="15">
        <f>SUM(N191:N192)</f>
        <v>0</v>
      </c>
      <c r="O193" s="15">
        <f>SUM(O191:O192)</f>
        <v>0</v>
      </c>
      <c r="P193" s="25"/>
    </row>
    <row r="194" spans="1:16" s="28" customFormat="1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5"/>
      <c r="O194" s="45"/>
      <c r="P194" s="25"/>
    </row>
    <row r="195" spans="1:16" s="28" customFormat="1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6"/>
      <c r="L195" s="25"/>
      <c r="M195" s="27"/>
      <c r="N195" s="27"/>
      <c r="O195" s="26"/>
      <c r="P195" s="25"/>
    </row>
    <row r="196" spans="1:16" s="28" customFormat="1" ht="12.75">
      <c r="A196" s="24" t="s">
        <v>193</v>
      </c>
      <c r="B196" s="25"/>
      <c r="C196" s="25"/>
      <c r="D196" s="25"/>
      <c r="E196" s="25"/>
      <c r="F196" s="25"/>
      <c r="G196" s="25"/>
      <c r="H196" s="25"/>
      <c r="I196" s="25"/>
      <c r="J196" s="25"/>
      <c r="K196" s="26"/>
      <c r="L196" s="25"/>
      <c r="M196" s="27"/>
      <c r="N196" s="27"/>
      <c r="O196" s="26"/>
      <c r="P196" s="25"/>
    </row>
    <row r="197" spans="1:16" s="28" customFormat="1" ht="85.5">
      <c r="A197" s="29" t="s">
        <v>1</v>
      </c>
      <c r="B197" s="30" t="s">
        <v>2</v>
      </c>
      <c r="C197" s="30" t="s">
        <v>3</v>
      </c>
      <c r="D197" s="30" t="s">
        <v>4</v>
      </c>
      <c r="E197" s="30" t="s">
        <v>26</v>
      </c>
      <c r="F197" s="30" t="s">
        <v>6</v>
      </c>
      <c r="G197" s="30" t="s">
        <v>7</v>
      </c>
      <c r="H197" s="29" t="s">
        <v>8</v>
      </c>
      <c r="I197" s="6" t="s">
        <v>9</v>
      </c>
      <c r="J197" s="6" t="s">
        <v>10</v>
      </c>
      <c r="K197" s="31" t="s">
        <v>11</v>
      </c>
      <c r="L197" s="30" t="s">
        <v>12</v>
      </c>
      <c r="M197" s="32" t="s">
        <v>13</v>
      </c>
      <c r="N197" s="9" t="s">
        <v>14</v>
      </c>
      <c r="O197" s="31" t="s">
        <v>15</v>
      </c>
      <c r="P197" s="25"/>
    </row>
    <row r="198" spans="1:16" s="28" customFormat="1" ht="12.75">
      <c r="A198" s="29">
        <v>1</v>
      </c>
      <c r="B198" s="64" t="s">
        <v>194</v>
      </c>
      <c r="C198" s="30" t="s">
        <v>195</v>
      </c>
      <c r="D198" s="30" t="s">
        <v>125</v>
      </c>
      <c r="E198" s="78">
        <v>215250</v>
      </c>
      <c r="F198" s="30">
        <v>50</v>
      </c>
      <c r="G198" s="30"/>
      <c r="H198" s="29"/>
      <c r="I198" s="6"/>
      <c r="J198" s="14"/>
      <c r="K198" s="15">
        <f>M198*0.92</f>
        <v>0</v>
      </c>
      <c r="L198" s="16">
        <v>0.08</v>
      </c>
      <c r="M198" s="47"/>
      <c r="N198" s="18">
        <f>K198*F198</f>
        <v>0</v>
      </c>
      <c r="O198" s="47">
        <f>ROUND(F198*M198,2)</f>
        <v>0</v>
      </c>
      <c r="P198" s="25"/>
    </row>
    <row r="199" spans="1:16" s="28" customFormat="1" ht="12.75">
      <c r="A199" s="29">
        <v>2</v>
      </c>
      <c r="B199" s="64" t="s">
        <v>194</v>
      </c>
      <c r="C199" s="30" t="s">
        <v>34</v>
      </c>
      <c r="D199" s="30" t="s">
        <v>125</v>
      </c>
      <c r="E199" s="78"/>
      <c r="F199" s="30">
        <v>40</v>
      </c>
      <c r="G199" s="30"/>
      <c r="H199" s="29"/>
      <c r="I199" s="6"/>
      <c r="J199" s="14"/>
      <c r="K199" s="15">
        <f>M199*0.92</f>
        <v>0</v>
      </c>
      <c r="L199" s="16">
        <v>0.08</v>
      </c>
      <c r="M199" s="47"/>
      <c r="N199" s="18">
        <f>K199*F199</f>
        <v>0</v>
      </c>
      <c r="O199" s="47">
        <f>ROUND(F199*M199,2)</f>
        <v>0</v>
      </c>
      <c r="P199" s="25"/>
    </row>
    <row r="200" spans="1:16" s="28" customFormat="1" ht="12.75">
      <c r="A200" s="33">
        <v>3</v>
      </c>
      <c r="B200" s="64" t="s">
        <v>194</v>
      </c>
      <c r="C200" s="29" t="s">
        <v>196</v>
      </c>
      <c r="D200" s="30" t="s">
        <v>125</v>
      </c>
      <c r="E200" s="78"/>
      <c r="F200" s="30">
        <v>20</v>
      </c>
      <c r="G200" s="33"/>
      <c r="H200" s="33"/>
      <c r="I200" s="33"/>
      <c r="J200" s="14"/>
      <c r="K200" s="15">
        <f>M200*0.92</f>
        <v>0</v>
      </c>
      <c r="L200" s="16">
        <v>0.08</v>
      </c>
      <c r="M200" s="47"/>
      <c r="N200" s="18">
        <f>K200*F200</f>
        <v>0</v>
      </c>
      <c r="O200" s="47">
        <f>ROUND(F200*M200,2)</f>
        <v>0</v>
      </c>
      <c r="P200" s="25"/>
    </row>
    <row r="201" spans="1:16" s="28" customFormat="1" ht="12.75">
      <c r="A201" s="79" t="s">
        <v>20</v>
      </c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47">
        <f>SUM(N198:N200)</f>
        <v>0</v>
      </c>
      <c r="O201" s="47">
        <f>SUM(O198:O200)</f>
        <v>0</v>
      </c>
      <c r="P201" s="25"/>
    </row>
    <row r="202" spans="1:16" s="28" customFormat="1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6"/>
      <c r="L202" s="25"/>
      <c r="M202" s="27"/>
      <c r="N202" s="27"/>
      <c r="O202" s="26"/>
      <c r="P202" s="25"/>
    </row>
    <row r="203" spans="1:16" s="28" customFormat="1" ht="12.75">
      <c r="A203" s="24" t="s">
        <v>197</v>
      </c>
      <c r="B203" s="25"/>
      <c r="C203" s="25"/>
      <c r="D203" s="25"/>
      <c r="E203" s="25"/>
      <c r="F203" s="25"/>
      <c r="G203" s="25"/>
      <c r="H203" s="25"/>
      <c r="I203" s="25"/>
      <c r="J203" s="25"/>
      <c r="K203" s="26"/>
      <c r="L203" s="25"/>
      <c r="M203" s="27"/>
      <c r="N203" s="27"/>
      <c r="O203" s="26"/>
      <c r="P203" s="25"/>
    </row>
    <row r="204" spans="1:16" s="28" customFormat="1" ht="85.5">
      <c r="A204" s="29" t="s">
        <v>1</v>
      </c>
      <c r="B204" s="30" t="s">
        <v>2</v>
      </c>
      <c r="C204" s="30" t="s">
        <v>3</v>
      </c>
      <c r="D204" s="30" t="s">
        <v>4</v>
      </c>
      <c r="E204" s="30" t="s">
        <v>26</v>
      </c>
      <c r="F204" s="30" t="s">
        <v>6</v>
      </c>
      <c r="G204" s="30" t="s">
        <v>7</v>
      </c>
      <c r="H204" s="29" t="s">
        <v>8</v>
      </c>
      <c r="I204" s="6" t="s">
        <v>9</v>
      </c>
      <c r="J204" s="6" t="s">
        <v>10</v>
      </c>
      <c r="K204" s="31" t="s">
        <v>11</v>
      </c>
      <c r="L204" s="30" t="s">
        <v>12</v>
      </c>
      <c r="M204" s="32" t="s">
        <v>13</v>
      </c>
      <c r="N204" s="9" t="s">
        <v>14</v>
      </c>
      <c r="O204" s="31" t="s">
        <v>15</v>
      </c>
      <c r="P204" s="25"/>
    </row>
    <row r="205" spans="1:16" s="28" customFormat="1" ht="13.5" customHeight="1">
      <c r="A205" s="30">
        <v>1</v>
      </c>
      <c r="B205" s="30" t="s">
        <v>198</v>
      </c>
      <c r="C205" s="30" t="s">
        <v>41</v>
      </c>
      <c r="D205" s="30" t="s">
        <v>199</v>
      </c>
      <c r="E205" s="79">
        <v>890400</v>
      </c>
      <c r="F205" s="30">
        <v>92</v>
      </c>
      <c r="G205" s="33"/>
      <c r="H205" s="33"/>
      <c r="I205" s="33"/>
      <c r="J205" s="46"/>
      <c r="K205" s="15">
        <f>M205*0.92</f>
        <v>0</v>
      </c>
      <c r="L205" s="16">
        <v>0.08</v>
      </c>
      <c r="M205" s="47"/>
      <c r="N205" s="18">
        <f>K205*F205</f>
        <v>0</v>
      </c>
      <c r="O205" s="47">
        <f>ROUND(F205*M205,2)</f>
        <v>0</v>
      </c>
      <c r="P205" s="25"/>
    </row>
    <row r="206" spans="1:16" s="28" customFormat="1" ht="13.5" customHeight="1">
      <c r="A206" s="33">
        <v>2</v>
      </c>
      <c r="B206" s="30" t="s">
        <v>198</v>
      </c>
      <c r="C206" s="30" t="s">
        <v>34</v>
      </c>
      <c r="D206" s="30" t="s">
        <v>199</v>
      </c>
      <c r="E206" s="79">
        <v>72800</v>
      </c>
      <c r="F206" s="30">
        <v>21</v>
      </c>
      <c r="G206" s="33"/>
      <c r="H206" s="33"/>
      <c r="I206" s="33"/>
      <c r="J206" s="33"/>
      <c r="K206" s="15">
        <f>M206*0.92</f>
        <v>0</v>
      </c>
      <c r="L206" s="16">
        <v>0.08</v>
      </c>
      <c r="M206" s="47"/>
      <c r="N206" s="18">
        <f>K206*F206</f>
        <v>0</v>
      </c>
      <c r="O206" s="47">
        <f>ROUND(F206*M206,2)</f>
        <v>0</v>
      </c>
      <c r="P206" s="25"/>
    </row>
    <row r="207" spans="1:16" s="28" customFormat="1" ht="13.5" customHeight="1">
      <c r="A207" s="33">
        <v>3</v>
      </c>
      <c r="B207" s="35" t="s">
        <v>200</v>
      </c>
      <c r="C207" s="30" t="s">
        <v>34</v>
      </c>
      <c r="D207" s="30" t="s">
        <v>89</v>
      </c>
      <c r="E207" s="33">
        <v>276000</v>
      </c>
      <c r="F207" s="30">
        <v>46</v>
      </c>
      <c r="G207" s="33"/>
      <c r="H207" s="33"/>
      <c r="I207" s="33"/>
      <c r="J207" s="46"/>
      <c r="K207" s="15">
        <f>M207*0.92</f>
        <v>0</v>
      </c>
      <c r="L207" s="16">
        <v>0.08</v>
      </c>
      <c r="M207" s="47"/>
      <c r="N207" s="18">
        <f>K207*F207</f>
        <v>0</v>
      </c>
      <c r="O207" s="47">
        <f>ROUND(F207*M207,2)</f>
        <v>0</v>
      </c>
      <c r="P207" s="25"/>
    </row>
    <row r="208" spans="1:16" s="28" customFormat="1" ht="28.5" customHeight="1">
      <c r="A208" s="33">
        <v>4</v>
      </c>
      <c r="B208" s="69" t="s">
        <v>201</v>
      </c>
      <c r="C208" s="12" t="s">
        <v>90</v>
      </c>
      <c r="D208" s="30" t="s">
        <v>18</v>
      </c>
      <c r="E208" s="33">
        <v>17500</v>
      </c>
      <c r="F208" s="33">
        <v>35</v>
      </c>
      <c r="G208" s="33"/>
      <c r="H208" s="33"/>
      <c r="I208" s="14"/>
      <c r="J208" s="33"/>
      <c r="K208" s="15">
        <f>M208*0.92</f>
        <v>0</v>
      </c>
      <c r="L208" s="16">
        <v>0.08</v>
      </c>
      <c r="M208" s="47"/>
      <c r="N208" s="18">
        <f>K208*F208</f>
        <v>0</v>
      </c>
      <c r="O208" s="15">
        <f>ROUND(F208*M208,2)</f>
        <v>0</v>
      </c>
      <c r="P208" s="25"/>
    </row>
    <row r="209" spans="1:16" s="28" customFormat="1" ht="13.5" customHeight="1">
      <c r="A209" s="79" t="s">
        <v>20</v>
      </c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47">
        <f>SUM(N205:N208)</f>
        <v>0</v>
      </c>
      <c r="O209" s="47">
        <f>SUM(O205:O208)</f>
        <v>0</v>
      </c>
      <c r="P209" s="25"/>
    </row>
    <row r="210" spans="1:16" s="28" customFormat="1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6"/>
      <c r="L210" s="25"/>
      <c r="M210" s="27"/>
      <c r="N210" s="27"/>
      <c r="O210" s="26"/>
      <c r="P210" s="25"/>
    </row>
    <row r="211" spans="1:16" s="28" customFormat="1" ht="12.75">
      <c r="A211" s="24" t="s">
        <v>202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6"/>
      <c r="L211" s="25"/>
      <c r="M211" s="27"/>
      <c r="N211" s="27"/>
      <c r="O211" s="26"/>
      <c r="P211" s="25"/>
    </row>
    <row r="212" spans="1:16" s="28" customFormat="1" ht="85.5">
      <c r="A212" s="29" t="s">
        <v>1</v>
      </c>
      <c r="B212" s="30" t="s">
        <v>2</v>
      </c>
      <c r="C212" s="30" t="s">
        <v>3</v>
      </c>
      <c r="D212" s="30" t="s">
        <v>4</v>
      </c>
      <c r="E212" s="30" t="s">
        <v>26</v>
      </c>
      <c r="F212" s="30" t="s">
        <v>6</v>
      </c>
      <c r="G212" s="30" t="s">
        <v>7</v>
      </c>
      <c r="H212" s="29" t="s">
        <v>8</v>
      </c>
      <c r="I212" s="6" t="s">
        <v>9</v>
      </c>
      <c r="J212" s="6" t="s">
        <v>10</v>
      </c>
      <c r="K212" s="31" t="s">
        <v>11</v>
      </c>
      <c r="L212" s="30" t="s">
        <v>12</v>
      </c>
      <c r="M212" s="32" t="s">
        <v>13</v>
      </c>
      <c r="N212" s="9" t="s">
        <v>14</v>
      </c>
      <c r="O212" s="31" t="s">
        <v>15</v>
      </c>
      <c r="P212" s="25"/>
    </row>
    <row r="213" spans="1:16" s="28" customFormat="1" ht="31.5" customHeight="1">
      <c r="A213" s="33">
        <v>1</v>
      </c>
      <c r="B213" s="78" t="s">
        <v>203</v>
      </c>
      <c r="C213" s="30" t="s">
        <v>153</v>
      </c>
      <c r="D213" s="30" t="s">
        <v>18</v>
      </c>
      <c r="E213" s="79">
        <f>F213*1000+F214*2000</f>
        <v>185000</v>
      </c>
      <c r="F213" s="30">
        <v>61</v>
      </c>
      <c r="G213" s="33"/>
      <c r="H213" s="33"/>
      <c r="I213" s="33"/>
      <c r="J213" s="14"/>
      <c r="K213" s="15">
        <f aca="true" t="shared" si="19" ref="K213:K218">M213*0.92</f>
        <v>0</v>
      </c>
      <c r="L213" s="16">
        <v>0.08</v>
      </c>
      <c r="M213" s="47"/>
      <c r="N213" s="18">
        <f aca="true" t="shared" si="20" ref="N213:N218">K213*F213</f>
        <v>0</v>
      </c>
      <c r="O213" s="47">
        <f aca="true" t="shared" si="21" ref="O213:O218">ROUND(F213*M213,2)</f>
        <v>0</v>
      </c>
      <c r="P213" s="25"/>
    </row>
    <row r="214" spans="1:16" s="28" customFormat="1" ht="32.25" customHeight="1">
      <c r="A214" s="33">
        <v>2</v>
      </c>
      <c r="B214" s="78"/>
      <c r="C214" s="30" t="s">
        <v>204</v>
      </c>
      <c r="D214" s="30" t="s">
        <v>18</v>
      </c>
      <c r="E214" s="79"/>
      <c r="F214" s="30">
        <v>62</v>
      </c>
      <c r="G214" s="33"/>
      <c r="H214" s="33"/>
      <c r="I214" s="33"/>
      <c r="J214" s="14"/>
      <c r="K214" s="15">
        <f t="shared" si="19"/>
        <v>0</v>
      </c>
      <c r="L214" s="16">
        <v>0.08</v>
      </c>
      <c r="M214" s="47"/>
      <c r="N214" s="18">
        <f t="shared" si="20"/>
        <v>0</v>
      </c>
      <c r="O214" s="47">
        <f t="shared" si="21"/>
        <v>0</v>
      </c>
      <c r="P214" s="25"/>
    </row>
    <row r="215" spans="1:16" s="28" customFormat="1" ht="38.25">
      <c r="A215" s="33">
        <v>3</v>
      </c>
      <c r="B215" s="30" t="s">
        <v>205</v>
      </c>
      <c r="C215" s="30" t="s">
        <v>153</v>
      </c>
      <c r="D215" s="30" t="s">
        <v>18</v>
      </c>
      <c r="E215" s="33">
        <v>648000</v>
      </c>
      <c r="F215" s="30">
        <v>648</v>
      </c>
      <c r="G215" s="33"/>
      <c r="H215" s="33"/>
      <c r="I215" s="33"/>
      <c r="J215" s="14"/>
      <c r="K215" s="15">
        <f t="shared" si="19"/>
        <v>0</v>
      </c>
      <c r="L215" s="16">
        <v>0.08</v>
      </c>
      <c r="M215" s="47"/>
      <c r="N215" s="18">
        <f t="shared" si="20"/>
        <v>0</v>
      </c>
      <c r="O215" s="47">
        <f t="shared" si="21"/>
        <v>0</v>
      </c>
      <c r="P215" s="25"/>
    </row>
    <row r="216" spans="1:16" s="28" customFormat="1" ht="12.75">
      <c r="A216" s="33">
        <v>4</v>
      </c>
      <c r="B216" s="30" t="s">
        <v>206</v>
      </c>
      <c r="C216" s="30" t="s">
        <v>82</v>
      </c>
      <c r="D216" s="30" t="s">
        <v>207</v>
      </c>
      <c r="E216" s="33">
        <f>F216*50*50</f>
        <v>20000</v>
      </c>
      <c r="F216" s="30">
        <v>8</v>
      </c>
      <c r="G216" s="33"/>
      <c r="H216" s="33"/>
      <c r="I216" s="33"/>
      <c r="J216" s="14"/>
      <c r="K216" s="15">
        <f t="shared" si="19"/>
        <v>0</v>
      </c>
      <c r="L216" s="16">
        <v>0.08</v>
      </c>
      <c r="M216" s="47"/>
      <c r="N216" s="18">
        <f t="shared" si="20"/>
        <v>0</v>
      </c>
      <c r="O216" s="47">
        <f t="shared" si="21"/>
        <v>0</v>
      </c>
      <c r="P216" s="25"/>
    </row>
    <row r="217" spans="1:16" s="28" customFormat="1" ht="25.5">
      <c r="A217" s="33">
        <v>5</v>
      </c>
      <c r="B217" s="30" t="s">
        <v>208</v>
      </c>
      <c r="C217" s="30" t="s">
        <v>209</v>
      </c>
      <c r="D217" s="30" t="s">
        <v>210</v>
      </c>
      <c r="E217" s="33">
        <f>F217*400*15</f>
        <v>300000</v>
      </c>
      <c r="F217" s="30">
        <v>50</v>
      </c>
      <c r="G217" s="33"/>
      <c r="H217" s="33"/>
      <c r="I217" s="33"/>
      <c r="J217" s="14"/>
      <c r="K217" s="15">
        <f t="shared" si="19"/>
        <v>0</v>
      </c>
      <c r="L217" s="16">
        <v>0.08</v>
      </c>
      <c r="M217" s="47"/>
      <c r="N217" s="18">
        <f t="shared" si="20"/>
        <v>0</v>
      </c>
      <c r="O217" s="47">
        <f t="shared" si="21"/>
        <v>0</v>
      </c>
      <c r="P217" s="25"/>
    </row>
    <row r="218" spans="1:16" s="28" customFormat="1" ht="48">
      <c r="A218" s="33">
        <v>6</v>
      </c>
      <c r="B218" s="29" t="s">
        <v>211</v>
      </c>
      <c r="C218" s="30" t="s">
        <v>212</v>
      </c>
      <c r="D218" s="30" t="s">
        <v>18</v>
      </c>
      <c r="E218" s="33">
        <f>F218*20*1</f>
        <v>200</v>
      </c>
      <c r="F218" s="33">
        <v>10</v>
      </c>
      <c r="G218" s="33"/>
      <c r="H218" s="33"/>
      <c r="I218" s="33"/>
      <c r="J218" s="14"/>
      <c r="K218" s="15">
        <f t="shared" si="19"/>
        <v>0</v>
      </c>
      <c r="L218" s="16">
        <v>0.08</v>
      </c>
      <c r="M218" s="47"/>
      <c r="N218" s="18">
        <f t="shared" si="20"/>
        <v>0</v>
      </c>
      <c r="O218" s="15">
        <f t="shared" si="21"/>
        <v>0</v>
      </c>
      <c r="P218" s="25"/>
    </row>
    <row r="219" spans="1:16" s="28" customFormat="1" ht="12.75">
      <c r="A219" s="79" t="s">
        <v>20</v>
      </c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47">
        <f>SUM(N213:N218)</f>
        <v>0</v>
      </c>
      <c r="O219" s="47">
        <f>SUM(O213:O218)</f>
        <v>0</v>
      </c>
      <c r="P219" s="25"/>
    </row>
    <row r="220" spans="1:16" s="28" customFormat="1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6"/>
      <c r="L220" s="25"/>
      <c r="M220" s="27"/>
      <c r="N220" s="27"/>
      <c r="O220" s="26"/>
      <c r="P220" s="25"/>
    </row>
    <row r="221" spans="1:16" s="28" customFormat="1" ht="12.75">
      <c r="A221" s="24" t="s">
        <v>213</v>
      </c>
      <c r="B221" s="25"/>
      <c r="C221" s="25"/>
      <c r="D221" s="25"/>
      <c r="E221" s="25"/>
      <c r="F221" s="25"/>
      <c r="G221" s="25"/>
      <c r="H221" s="25"/>
      <c r="I221" s="25"/>
      <c r="J221" s="25"/>
      <c r="K221" s="26"/>
      <c r="L221" s="25"/>
      <c r="M221" s="27"/>
      <c r="N221" s="27"/>
      <c r="O221" s="26"/>
      <c r="P221" s="25"/>
    </row>
    <row r="222" spans="1:16" s="28" customFormat="1" ht="85.5">
      <c r="A222" s="29" t="s">
        <v>1</v>
      </c>
      <c r="B222" s="30" t="s">
        <v>2</v>
      </c>
      <c r="C222" s="30" t="s">
        <v>3</v>
      </c>
      <c r="D222" s="30" t="s">
        <v>4</v>
      </c>
      <c r="E222" s="30" t="s">
        <v>26</v>
      </c>
      <c r="F222" s="30" t="s">
        <v>6</v>
      </c>
      <c r="G222" s="30" t="s">
        <v>7</v>
      </c>
      <c r="H222" s="29" t="s">
        <v>8</v>
      </c>
      <c r="I222" s="6" t="s">
        <v>9</v>
      </c>
      <c r="J222" s="6" t="s">
        <v>10</v>
      </c>
      <c r="K222" s="31" t="s">
        <v>11</v>
      </c>
      <c r="L222" s="30" t="s">
        <v>12</v>
      </c>
      <c r="M222" s="32" t="s">
        <v>13</v>
      </c>
      <c r="N222" s="9" t="s">
        <v>14</v>
      </c>
      <c r="O222" s="31" t="s">
        <v>15</v>
      </c>
      <c r="P222" s="25"/>
    </row>
    <row r="223" spans="1:16" s="28" customFormat="1" ht="25.5">
      <c r="A223" s="33">
        <v>1</v>
      </c>
      <c r="B223" s="30" t="s">
        <v>214</v>
      </c>
      <c r="C223" s="30" t="s">
        <v>39</v>
      </c>
      <c r="D223" s="30" t="s">
        <v>215</v>
      </c>
      <c r="E223" s="33">
        <f>F223*200*112</f>
        <v>739200</v>
      </c>
      <c r="F223" s="30">
        <v>33</v>
      </c>
      <c r="G223" s="33"/>
      <c r="H223" s="33"/>
      <c r="I223" s="33"/>
      <c r="J223" s="14"/>
      <c r="K223" s="15">
        <f>M223*0.92</f>
        <v>0</v>
      </c>
      <c r="L223" s="16">
        <v>0.08</v>
      </c>
      <c r="M223" s="47"/>
      <c r="N223" s="18">
        <f>K223*F223</f>
        <v>0</v>
      </c>
      <c r="O223" s="47">
        <f>ROUND(F223*M223,2)</f>
        <v>0</v>
      </c>
      <c r="P223" s="25"/>
    </row>
    <row r="224" spans="1:16" s="28" customFormat="1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6"/>
      <c r="L224" s="25"/>
      <c r="M224" s="27"/>
      <c r="N224" s="27"/>
      <c r="O224" s="26"/>
      <c r="P224" s="25"/>
    </row>
    <row r="225" spans="1:16" s="28" customFormat="1" ht="12.75">
      <c r="A225" s="24" t="s">
        <v>216</v>
      </c>
      <c r="B225" s="25"/>
      <c r="C225" s="25"/>
      <c r="D225" s="25"/>
      <c r="E225" s="25"/>
      <c r="F225" s="25"/>
      <c r="G225" s="25"/>
      <c r="H225" s="25"/>
      <c r="I225" s="25"/>
      <c r="J225" s="25"/>
      <c r="K225" s="26"/>
      <c r="L225" s="25"/>
      <c r="M225" s="27"/>
      <c r="N225" s="27"/>
      <c r="O225" s="26"/>
      <c r="P225" s="25"/>
    </row>
    <row r="226" spans="1:16" s="28" customFormat="1" ht="85.5">
      <c r="A226" s="29" t="s">
        <v>1</v>
      </c>
      <c r="B226" s="30" t="s">
        <v>2</v>
      </c>
      <c r="C226" s="30" t="s">
        <v>3</v>
      </c>
      <c r="D226" s="30" t="s">
        <v>4</v>
      </c>
      <c r="E226" s="30" t="s">
        <v>26</v>
      </c>
      <c r="F226" s="30" t="s">
        <v>6</v>
      </c>
      <c r="G226" s="30" t="s">
        <v>7</v>
      </c>
      <c r="H226" s="29" t="s">
        <v>8</v>
      </c>
      <c r="I226" s="6" t="s">
        <v>9</v>
      </c>
      <c r="J226" s="6" t="s">
        <v>10</v>
      </c>
      <c r="K226" s="31" t="s">
        <v>11</v>
      </c>
      <c r="L226" s="30" t="s">
        <v>12</v>
      </c>
      <c r="M226" s="32" t="s">
        <v>13</v>
      </c>
      <c r="N226" s="9" t="s">
        <v>14</v>
      </c>
      <c r="O226" s="31" t="s">
        <v>15</v>
      </c>
      <c r="P226" s="25"/>
    </row>
    <row r="227" spans="1:15" ht="30.75" customHeight="1">
      <c r="A227" s="33">
        <v>1</v>
      </c>
      <c r="B227" s="82" t="s">
        <v>217</v>
      </c>
      <c r="C227" s="30" t="s">
        <v>218</v>
      </c>
      <c r="D227" s="30" t="s">
        <v>18</v>
      </c>
      <c r="E227" s="79">
        <v>2430</v>
      </c>
      <c r="F227" s="33">
        <v>5</v>
      </c>
      <c r="G227" s="33"/>
      <c r="H227" s="33"/>
      <c r="I227" s="33"/>
      <c r="J227" s="14"/>
      <c r="K227" s="15">
        <f>M227*0.92</f>
        <v>0</v>
      </c>
      <c r="L227" s="16">
        <v>0.08</v>
      </c>
      <c r="M227" s="47"/>
      <c r="N227" s="18">
        <f>K227*F227</f>
        <v>0</v>
      </c>
      <c r="O227" s="15">
        <f>ROUND(F227*M227,2)</f>
        <v>0</v>
      </c>
    </row>
    <row r="228" spans="1:15" ht="30.75" customHeight="1">
      <c r="A228" s="33">
        <v>2</v>
      </c>
      <c r="B228" s="82"/>
      <c r="C228" s="30" t="s">
        <v>119</v>
      </c>
      <c r="D228" s="30" t="s">
        <v>18</v>
      </c>
      <c r="E228" s="79"/>
      <c r="F228" s="33">
        <v>4</v>
      </c>
      <c r="G228" s="33"/>
      <c r="H228" s="33"/>
      <c r="I228" s="33"/>
      <c r="J228" s="14"/>
      <c r="K228" s="15">
        <f>M228*0.92</f>
        <v>0</v>
      </c>
      <c r="L228" s="16">
        <v>0.08</v>
      </c>
      <c r="M228" s="47"/>
      <c r="N228" s="18">
        <f>K228*F228</f>
        <v>0</v>
      </c>
      <c r="O228" s="15">
        <f>ROUND(F228*M228,2)</f>
        <v>0</v>
      </c>
    </row>
    <row r="229" spans="1:16" s="28" customFormat="1" ht="12.75">
      <c r="A229" s="79" t="s">
        <v>20</v>
      </c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47">
        <f>SUM(N227:N228)</f>
        <v>0</v>
      </c>
      <c r="O229" s="47">
        <f>SUM(O227:O228)</f>
        <v>0</v>
      </c>
      <c r="P229" s="25"/>
    </row>
    <row r="230" spans="1:16" s="28" customFormat="1" ht="25.5" customHeight="1">
      <c r="A230" s="41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25"/>
    </row>
    <row r="231" spans="1:16" s="28" customFormat="1" ht="12.7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5"/>
      <c r="P231" s="25"/>
    </row>
    <row r="232" spans="1:16" s="28" customFormat="1" ht="12.75">
      <c r="A232" s="24" t="s">
        <v>219</v>
      </c>
      <c r="B232" s="25"/>
      <c r="C232" s="25"/>
      <c r="D232" s="25"/>
      <c r="E232" s="25"/>
      <c r="F232" s="25"/>
      <c r="G232" s="25"/>
      <c r="H232" s="25"/>
      <c r="I232" s="25"/>
      <c r="J232" s="25"/>
      <c r="K232" s="26"/>
      <c r="L232" s="25"/>
      <c r="M232" s="27"/>
      <c r="N232" s="27"/>
      <c r="O232" s="26"/>
      <c r="P232" s="25"/>
    </row>
    <row r="233" spans="1:16" s="28" customFormat="1" ht="85.5">
      <c r="A233" s="29" t="s">
        <v>1</v>
      </c>
      <c r="B233" s="30" t="s">
        <v>2</v>
      </c>
      <c r="C233" s="30" t="s">
        <v>3</v>
      </c>
      <c r="D233" s="30" t="s">
        <v>4</v>
      </c>
      <c r="E233" s="30" t="s">
        <v>26</v>
      </c>
      <c r="F233" s="30" t="s">
        <v>6</v>
      </c>
      <c r="G233" s="30" t="s">
        <v>7</v>
      </c>
      <c r="H233" s="29" t="s">
        <v>8</v>
      </c>
      <c r="I233" s="6" t="s">
        <v>9</v>
      </c>
      <c r="J233" s="6" t="s">
        <v>10</v>
      </c>
      <c r="K233" s="31" t="s">
        <v>11</v>
      </c>
      <c r="L233" s="30" t="s">
        <v>12</v>
      </c>
      <c r="M233" s="32" t="s">
        <v>13</v>
      </c>
      <c r="N233" s="9" t="s">
        <v>14</v>
      </c>
      <c r="O233" s="31" t="s">
        <v>15</v>
      </c>
      <c r="P233" s="25"/>
    </row>
    <row r="234" spans="1:16" s="28" customFormat="1" ht="15.75" customHeight="1">
      <c r="A234" s="33">
        <v>1</v>
      </c>
      <c r="B234" s="78" t="s">
        <v>220</v>
      </c>
      <c r="C234" s="30" t="s">
        <v>41</v>
      </c>
      <c r="D234" s="33" t="s">
        <v>48</v>
      </c>
      <c r="E234" s="79">
        <v>1291500</v>
      </c>
      <c r="F234" s="33">
        <v>75</v>
      </c>
      <c r="G234" s="33"/>
      <c r="H234" s="33"/>
      <c r="I234" s="33"/>
      <c r="J234" s="46"/>
      <c r="K234" s="15">
        <f>M234*0.92</f>
        <v>0</v>
      </c>
      <c r="L234" s="16">
        <v>0.08</v>
      </c>
      <c r="M234" s="47"/>
      <c r="N234" s="18">
        <f>K234*F234</f>
        <v>0</v>
      </c>
      <c r="O234" s="47">
        <f>ROUND(F234*M234,2)</f>
        <v>0</v>
      </c>
      <c r="P234" s="25"/>
    </row>
    <row r="235" spans="1:16" s="28" customFormat="1" ht="12.75">
      <c r="A235" s="33">
        <v>2</v>
      </c>
      <c r="B235" s="78"/>
      <c r="C235" s="30" t="s">
        <v>34</v>
      </c>
      <c r="D235" s="33" t="s">
        <v>48</v>
      </c>
      <c r="E235" s="79"/>
      <c r="F235" s="33">
        <v>67</v>
      </c>
      <c r="G235" s="33"/>
      <c r="H235" s="33"/>
      <c r="I235" s="33"/>
      <c r="J235" s="33"/>
      <c r="K235" s="15">
        <f>M235*0.92</f>
        <v>0</v>
      </c>
      <c r="L235" s="16">
        <v>0.08</v>
      </c>
      <c r="M235" s="47"/>
      <c r="N235" s="18">
        <f>K235*F235</f>
        <v>0</v>
      </c>
      <c r="O235" s="47">
        <f>ROUND(F235*M235,2)</f>
        <v>0</v>
      </c>
      <c r="P235" s="25"/>
    </row>
    <row r="236" spans="1:16" s="28" customFormat="1" ht="12.75">
      <c r="A236" s="33">
        <v>3</v>
      </c>
      <c r="B236" s="78"/>
      <c r="C236" s="30" t="s">
        <v>82</v>
      </c>
      <c r="D236" s="33" t="s">
        <v>48</v>
      </c>
      <c r="E236" s="79"/>
      <c r="F236" s="33">
        <v>10</v>
      </c>
      <c r="G236" s="33"/>
      <c r="H236" s="33"/>
      <c r="I236" s="33"/>
      <c r="J236" s="33"/>
      <c r="K236" s="15">
        <f>M236*0.92</f>
        <v>0</v>
      </c>
      <c r="L236" s="16">
        <v>0.08</v>
      </c>
      <c r="M236" s="47"/>
      <c r="N236" s="18">
        <f>K236*F236</f>
        <v>0</v>
      </c>
      <c r="O236" s="47">
        <f>ROUND(F236*M236,2)</f>
        <v>0</v>
      </c>
      <c r="P236" s="25"/>
    </row>
    <row r="237" spans="1:16" s="28" customFormat="1" ht="12.75">
      <c r="A237" s="79" t="s">
        <v>20</v>
      </c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47">
        <f>SUM(N234:N236)</f>
        <v>0</v>
      </c>
      <c r="O237" s="47">
        <f>SUM(O234:O236)</f>
        <v>0</v>
      </c>
      <c r="P237" s="25"/>
    </row>
    <row r="238" spans="1:16" s="28" customFormat="1" ht="12.7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5"/>
      <c r="P238" s="25"/>
    </row>
    <row r="239" spans="1:16" s="28" customFormat="1" ht="12.7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5"/>
      <c r="P239" s="25"/>
    </row>
    <row r="240" spans="1:16" s="28" customFormat="1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6"/>
      <c r="L240" s="25"/>
      <c r="M240" s="27"/>
      <c r="N240" s="27"/>
      <c r="O240" s="26"/>
      <c r="P240" s="25"/>
    </row>
    <row r="241" spans="1:16" s="28" customFormat="1" ht="12.75">
      <c r="A241"/>
      <c r="B241" s="70" t="s">
        <v>221</v>
      </c>
      <c r="C241" s="25"/>
      <c r="D241" s="25"/>
      <c r="E241" s="25"/>
      <c r="F241" s="25"/>
      <c r="G241" s="25"/>
      <c r="H241" s="25"/>
      <c r="I241" s="25"/>
      <c r="J241" s="25"/>
      <c r="K241" s="26"/>
      <c r="L241" s="25"/>
      <c r="M241" s="27"/>
      <c r="N241" s="27"/>
      <c r="O241" s="26"/>
      <c r="P241" s="25"/>
    </row>
    <row r="242" spans="1:16" s="28" customFormat="1" ht="85.5">
      <c r="A242" s="29" t="s">
        <v>1</v>
      </c>
      <c r="B242" s="30" t="s">
        <v>2</v>
      </c>
      <c r="C242" s="30" t="s">
        <v>3</v>
      </c>
      <c r="D242" s="30" t="s">
        <v>4</v>
      </c>
      <c r="E242" s="30" t="s">
        <v>26</v>
      </c>
      <c r="F242" s="30" t="s">
        <v>6</v>
      </c>
      <c r="G242" s="30" t="s">
        <v>7</v>
      </c>
      <c r="H242" s="29" t="s">
        <v>8</v>
      </c>
      <c r="I242" s="6" t="s">
        <v>9</v>
      </c>
      <c r="J242" s="6" t="s">
        <v>10</v>
      </c>
      <c r="K242" s="31" t="s">
        <v>11</v>
      </c>
      <c r="L242" s="30" t="s">
        <v>12</v>
      </c>
      <c r="M242" s="32" t="s">
        <v>13</v>
      </c>
      <c r="N242" s="9" t="s">
        <v>14</v>
      </c>
      <c r="O242" s="31" t="s">
        <v>15</v>
      </c>
      <c r="P242" s="25"/>
    </row>
    <row r="243" spans="1:16" s="28" customFormat="1" ht="38.25">
      <c r="A243" s="29">
        <v>1</v>
      </c>
      <c r="B243" s="42" t="s">
        <v>222</v>
      </c>
      <c r="C243" s="30" t="s">
        <v>223</v>
      </c>
      <c r="D243" s="42" t="s">
        <v>224</v>
      </c>
      <c r="E243" s="30">
        <v>3</v>
      </c>
      <c r="F243" s="30">
        <v>12</v>
      </c>
      <c r="G243" s="30"/>
      <c r="H243" s="29"/>
      <c r="I243" s="6"/>
      <c r="J243" s="6"/>
      <c r="K243" s="15">
        <f>M243*0.92</f>
        <v>0</v>
      </c>
      <c r="L243" s="16">
        <v>0.08</v>
      </c>
      <c r="M243" s="47"/>
      <c r="N243" s="18">
        <f>K243*F243</f>
        <v>0</v>
      </c>
      <c r="O243" s="47">
        <f>ROUND(F243*M243,2)</f>
        <v>0</v>
      </c>
      <c r="P243" s="25"/>
    </row>
    <row r="244" spans="1:16" s="28" customFormat="1" ht="12.75">
      <c r="A244" s="33">
        <v>2</v>
      </c>
      <c r="B244" s="30" t="s">
        <v>225</v>
      </c>
      <c r="C244" s="30" t="s">
        <v>28</v>
      </c>
      <c r="D244" s="33" t="s">
        <v>29</v>
      </c>
      <c r="E244" s="33">
        <v>16550</v>
      </c>
      <c r="F244" s="33">
        <v>331</v>
      </c>
      <c r="G244" s="33"/>
      <c r="H244" s="33"/>
      <c r="I244" s="33"/>
      <c r="J244" s="46"/>
      <c r="K244" s="15">
        <f>M244*0.92</f>
        <v>0</v>
      </c>
      <c r="L244" s="16">
        <v>0.08</v>
      </c>
      <c r="M244" s="47"/>
      <c r="N244" s="18">
        <f>K244*F244</f>
        <v>0</v>
      </c>
      <c r="O244" s="47">
        <f>ROUND(F244*M244,2)</f>
        <v>0</v>
      </c>
      <c r="P244" s="25"/>
    </row>
    <row r="245" spans="1:16" s="28" customFormat="1" ht="12.75">
      <c r="A245" s="79" t="s">
        <v>20</v>
      </c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47">
        <f>SUM(N243:N244)</f>
        <v>0</v>
      </c>
      <c r="O245" s="47">
        <f>SUM(O243:O244)</f>
        <v>0</v>
      </c>
      <c r="P245" s="25"/>
    </row>
    <row r="246" spans="1:16" s="28" customFormat="1" ht="12.75" customHeight="1">
      <c r="A246" s="41"/>
      <c r="B246" s="81" t="s">
        <v>226</v>
      </c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25"/>
    </row>
    <row r="247" spans="1:16" s="28" customFormat="1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6"/>
      <c r="L247" s="25"/>
      <c r="M247" s="27"/>
      <c r="N247" s="27"/>
      <c r="O247" s="26"/>
      <c r="P247" s="25"/>
    </row>
    <row r="248" spans="1:16" s="28" customFormat="1" ht="12.75">
      <c r="A248" s="24" t="s">
        <v>227</v>
      </c>
      <c r="B248" s="25"/>
      <c r="C248" s="25"/>
      <c r="D248" s="25"/>
      <c r="E248" s="25"/>
      <c r="F248" s="25"/>
      <c r="G248" s="25"/>
      <c r="H248" s="25"/>
      <c r="I248" s="25"/>
      <c r="J248" s="25"/>
      <c r="K248" s="26"/>
      <c r="L248" s="25"/>
      <c r="M248" s="27"/>
      <c r="N248" s="27"/>
      <c r="O248" s="26"/>
      <c r="P248" s="25"/>
    </row>
    <row r="249" spans="1:16" s="28" customFormat="1" ht="85.5">
      <c r="A249" s="29" t="s">
        <v>1</v>
      </c>
      <c r="B249" s="30" t="s">
        <v>2</v>
      </c>
      <c r="C249" s="30" t="s">
        <v>3</v>
      </c>
      <c r="D249" s="30" t="s">
        <v>4</v>
      </c>
      <c r="E249" s="30" t="s">
        <v>26</v>
      </c>
      <c r="F249" s="30" t="s">
        <v>6</v>
      </c>
      <c r="G249" s="30" t="s">
        <v>7</v>
      </c>
      <c r="H249" s="29" t="s">
        <v>8</v>
      </c>
      <c r="I249" s="6" t="s">
        <v>228</v>
      </c>
      <c r="J249" s="6" t="s">
        <v>10</v>
      </c>
      <c r="K249" s="31" t="s">
        <v>11</v>
      </c>
      <c r="L249" s="30" t="s">
        <v>12</v>
      </c>
      <c r="M249" s="32" t="s">
        <v>13</v>
      </c>
      <c r="N249" s="9" t="s">
        <v>14</v>
      </c>
      <c r="O249" s="31" t="s">
        <v>15</v>
      </c>
      <c r="P249" s="25"/>
    </row>
    <row r="250" spans="1:16" s="28" customFormat="1" ht="22.5" customHeight="1">
      <c r="A250" s="33">
        <v>1</v>
      </c>
      <c r="B250" s="82" t="s">
        <v>229</v>
      </c>
      <c r="C250" s="30" t="s">
        <v>34</v>
      </c>
      <c r="D250" s="30" t="s">
        <v>18</v>
      </c>
      <c r="E250" s="79">
        <v>86000</v>
      </c>
      <c r="F250" s="30">
        <v>103</v>
      </c>
      <c r="G250" s="33"/>
      <c r="H250" s="33"/>
      <c r="I250" s="33"/>
      <c r="J250" s="14"/>
      <c r="K250" s="15">
        <f aca="true" t="shared" si="22" ref="K250:K255">M250*0.92</f>
        <v>0</v>
      </c>
      <c r="L250" s="16">
        <v>0.08</v>
      </c>
      <c r="M250" s="47"/>
      <c r="N250" s="18">
        <f aca="true" t="shared" si="23" ref="N250:N255">K250*F250</f>
        <v>0</v>
      </c>
      <c r="O250" s="47">
        <f aca="true" t="shared" si="24" ref="O250:O255">ROUND(F250*M250,2)</f>
        <v>0</v>
      </c>
      <c r="P250" s="25"/>
    </row>
    <row r="251" spans="1:16" s="28" customFormat="1" ht="18.75" customHeight="1">
      <c r="A251" s="33">
        <f>A250+1</f>
        <v>2</v>
      </c>
      <c r="B251" s="82"/>
      <c r="C251" s="30" t="s">
        <v>90</v>
      </c>
      <c r="D251" s="30" t="s">
        <v>18</v>
      </c>
      <c r="E251" s="79"/>
      <c r="F251" s="30">
        <v>53</v>
      </c>
      <c r="G251" s="33"/>
      <c r="H251" s="33"/>
      <c r="I251" s="33"/>
      <c r="J251" s="14"/>
      <c r="K251" s="15">
        <f t="shared" si="22"/>
        <v>0</v>
      </c>
      <c r="L251" s="16">
        <v>0.08</v>
      </c>
      <c r="M251" s="47"/>
      <c r="N251" s="18">
        <f t="shared" si="23"/>
        <v>0</v>
      </c>
      <c r="O251" s="47">
        <f t="shared" si="24"/>
        <v>0</v>
      </c>
      <c r="P251" s="25"/>
    </row>
    <row r="252" spans="1:16" s="28" customFormat="1" ht="21.75" customHeight="1">
      <c r="A252" s="33">
        <v>3</v>
      </c>
      <c r="B252" s="71" t="s">
        <v>230</v>
      </c>
      <c r="C252" s="30" t="s">
        <v>231</v>
      </c>
      <c r="D252" s="30" t="s">
        <v>18</v>
      </c>
      <c r="E252" s="72">
        <v>1750</v>
      </c>
      <c r="F252" s="30">
        <v>500</v>
      </c>
      <c r="G252" s="33"/>
      <c r="H252" s="33"/>
      <c r="I252" s="33"/>
      <c r="J252" s="33"/>
      <c r="K252" s="15">
        <f t="shared" si="22"/>
        <v>0</v>
      </c>
      <c r="L252" s="16">
        <v>0.08</v>
      </c>
      <c r="M252" s="47"/>
      <c r="N252" s="18">
        <f t="shared" si="23"/>
        <v>0</v>
      </c>
      <c r="O252" s="47">
        <f t="shared" si="24"/>
        <v>0</v>
      </c>
      <c r="P252" s="25"/>
    </row>
    <row r="253" spans="1:16" s="28" customFormat="1" ht="12.75" customHeight="1">
      <c r="A253" s="33">
        <v>4</v>
      </c>
      <c r="B253" s="82" t="s">
        <v>232</v>
      </c>
      <c r="C253" s="30" t="s">
        <v>233</v>
      </c>
      <c r="D253" s="30" t="s">
        <v>69</v>
      </c>
      <c r="E253" s="79">
        <v>2088000</v>
      </c>
      <c r="F253" s="30">
        <v>159</v>
      </c>
      <c r="G253" s="33"/>
      <c r="H253" s="33"/>
      <c r="I253" s="33"/>
      <c r="J253" s="46"/>
      <c r="K253" s="15">
        <f t="shared" si="22"/>
        <v>0</v>
      </c>
      <c r="L253" s="16">
        <v>0.08</v>
      </c>
      <c r="M253" s="47"/>
      <c r="N253" s="18">
        <f t="shared" si="23"/>
        <v>0</v>
      </c>
      <c r="O253" s="47">
        <f t="shared" si="24"/>
        <v>0</v>
      </c>
      <c r="P253" s="25"/>
    </row>
    <row r="254" spans="1:16" s="28" customFormat="1" ht="12.75">
      <c r="A254" s="33">
        <f>A253+1</f>
        <v>5</v>
      </c>
      <c r="B254" s="82"/>
      <c r="C254" s="30" t="s">
        <v>34</v>
      </c>
      <c r="D254" s="30" t="s">
        <v>89</v>
      </c>
      <c r="E254" s="79"/>
      <c r="F254" s="30">
        <v>30</v>
      </c>
      <c r="G254" s="33"/>
      <c r="H254" s="33"/>
      <c r="I254" s="33"/>
      <c r="J254" s="14"/>
      <c r="K254" s="15">
        <f t="shared" si="22"/>
        <v>0</v>
      </c>
      <c r="L254" s="16">
        <v>0.08</v>
      </c>
      <c r="M254" s="47"/>
      <c r="N254" s="18">
        <f t="shared" si="23"/>
        <v>0</v>
      </c>
      <c r="O254" s="47">
        <f t="shared" si="24"/>
        <v>0</v>
      </c>
      <c r="P254" s="25"/>
    </row>
    <row r="255" spans="1:16" s="28" customFormat="1" ht="38.25">
      <c r="A255" s="33">
        <f>A254+1</f>
        <v>6</v>
      </c>
      <c r="B255" s="68" t="s">
        <v>234</v>
      </c>
      <c r="C255" s="30" t="s">
        <v>235</v>
      </c>
      <c r="D255" s="30" t="s">
        <v>18</v>
      </c>
      <c r="E255" s="30" t="s">
        <v>236</v>
      </c>
      <c r="F255" s="30">
        <v>410</v>
      </c>
      <c r="G255" s="33"/>
      <c r="H255" s="33"/>
      <c r="I255" s="33"/>
      <c r="J255" s="46"/>
      <c r="K255" s="15">
        <f t="shared" si="22"/>
        <v>0</v>
      </c>
      <c r="L255" s="16">
        <v>0.08</v>
      </c>
      <c r="M255" s="47"/>
      <c r="N255" s="18">
        <f t="shared" si="23"/>
        <v>0</v>
      </c>
      <c r="O255" s="47">
        <f t="shared" si="24"/>
        <v>0</v>
      </c>
      <c r="P255" s="25"/>
    </row>
    <row r="256" spans="1:16" s="28" customFormat="1" ht="12.75">
      <c r="A256" s="79" t="s">
        <v>20</v>
      </c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47">
        <f>SUM(N250:N255)</f>
        <v>0</v>
      </c>
      <c r="O256" s="47">
        <f>SUM(O250:O255)</f>
        <v>0</v>
      </c>
      <c r="P256" s="25"/>
    </row>
    <row r="257" spans="1:16" s="28" customFormat="1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6"/>
      <c r="L257" s="25"/>
      <c r="M257" s="27"/>
      <c r="N257" s="27"/>
      <c r="O257" s="26"/>
      <c r="P257" s="25"/>
    </row>
    <row r="258" spans="1:16" s="28" customFormat="1" ht="12.75">
      <c r="A258" s="24" t="s">
        <v>237</v>
      </c>
      <c r="B258" s="25"/>
      <c r="C258" s="25"/>
      <c r="D258" s="25"/>
      <c r="E258" s="25"/>
      <c r="F258" s="25"/>
      <c r="G258" s="25"/>
      <c r="H258" s="25"/>
      <c r="I258" s="25"/>
      <c r="J258" s="25"/>
      <c r="K258" s="26"/>
      <c r="L258" s="25"/>
      <c r="M258" s="27"/>
      <c r="N258" s="27"/>
      <c r="O258" s="26"/>
      <c r="P258" s="25"/>
    </row>
    <row r="259" spans="1:16" s="28" customFormat="1" ht="85.5">
      <c r="A259" s="29" t="s">
        <v>1</v>
      </c>
      <c r="B259" s="30" t="s">
        <v>2</v>
      </c>
      <c r="C259" s="30" t="s">
        <v>3</v>
      </c>
      <c r="D259" s="30" t="s">
        <v>4</v>
      </c>
      <c r="E259" s="30" t="s">
        <v>26</v>
      </c>
      <c r="F259" s="30" t="s">
        <v>6</v>
      </c>
      <c r="G259" s="30" t="s">
        <v>7</v>
      </c>
      <c r="H259" s="29" t="s">
        <v>8</v>
      </c>
      <c r="I259" s="6" t="s">
        <v>9</v>
      </c>
      <c r="J259" s="6" t="s">
        <v>10</v>
      </c>
      <c r="K259" s="31" t="s">
        <v>11</v>
      </c>
      <c r="L259" s="30" t="s">
        <v>12</v>
      </c>
      <c r="M259" s="32" t="s">
        <v>13</v>
      </c>
      <c r="N259" s="9" t="s">
        <v>14</v>
      </c>
      <c r="O259" s="31" t="s">
        <v>15</v>
      </c>
      <c r="P259" s="25"/>
    </row>
    <row r="260" spans="1:16" s="28" customFormat="1" ht="12.75" customHeight="1">
      <c r="A260" s="30">
        <v>1</v>
      </c>
      <c r="B260" s="80" t="s">
        <v>238</v>
      </c>
      <c r="C260" s="29" t="s">
        <v>179</v>
      </c>
      <c r="D260" s="30" t="s">
        <v>239</v>
      </c>
      <c r="E260" s="79">
        <v>82390</v>
      </c>
      <c r="F260" s="33">
        <v>1</v>
      </c>
      <c r="G260" s="33"/>
      <c r="H260" s="33"/>
      <c r="I260" s="33"/>
      <c r="J260" s="14"/>
      <c r="K260" s="15">
        <f>M260*0.92</f>
        <v>0</v>
      </c>
      <c r="L260" s="16">
        <v>0.08</v>
      </c>
      <c r="M260" s="47"/>
      <c r="N260" s="18">
        <f>K260*F260</f>
        <v>0</v>
      </c>
      <c r="O260" s="47">
        <f>ROUND(F260*M260,2)</f>
        <v>0</v>
      </c>
      <c r="P260" s="25"/>
    </row>
    <row r="261" spans="1:16" s="28" customFormat="1" ht="25.5">
      <c r="A261" s="30">
        <v>2</v>
      </c>
      <c r="B261" s="80"/>
      <c r="C261" s="29" t="s">
        <v>34</v>
      </c>
      <c r="D261" s="30" t="s">
        <v>215</v>
      </c>
      <c r="E261" s="79"/>
      <c r="F261" s="33">
        <v>7</v>
      </c>
      <c r="G261" s="33"/>
      <c r="H261" s="33"/>
      <c r="I261" s="33"/>
      <c r="J261" s="14"/>
      <c r="K261" s="15">
        <f>M261*0.92</f>
        <v>0</v>
      </c>
      <c r="L261" s="16">
        <v>0.08</v>
      </c>
      <c r="M261" s="47"/>
      <c r="N261" s="18">
        <f>K261*F261</f>
        <v>0</v>
      </c>
      <c r="O261" s="47">
        <f>ROUND(F261*M261,2)</f>
        <v>0</v>
      </c>
      <c r="P261" s="25"/>
    </row>
    <row r="262" spans="1:16" s="28" customFormat="1" ht="12.75">
      <c r="A262" s="30">
        <v>3</v>
      </c>
      <c r="B262" s="80"/>
      <c r="C262" s="29" t="s">
        <v>34</v>
      </c>
      <c r="D262" s="30" t="s">
        <v>239</v>
      </c>
      <c r="E262" s="79"/>
      <c r="F262" s="33">
        <v>2</v>
      </c>
      <c r="G262" s="33"/>
      <c r="H262" s="33"/>
      <c r="I262" s="33"/>
      <c r="J262" s="14"/>
      <c r="K262" s="15">
        <f>M262*0.92</f>
        <v>0</v>
      </c>
      <c r="L262" s="16">
        <v>0.08</v>
      </c>
      <c r="M262" s="47"/>
      <c r="N262" s="18">
        <f>K262*F262</f>
        <v>0</v>
      </c>
      <c r="O262" s="47">
        <f>ROUND(F262*M262,2)</f>
        <v>0</v>
      </c>
      <c r="P262" s="25"/>
    </row>
    <row r="263" spans="1:16" s="28" customFormat="1" ht="12.75">
      <c r="A263" s="30">
        <v>4</v>
      </c>
      <c r="B263" s="80"/>
      <c r="C263" s="29" t="s">
        <v>34</v>
      </c>
      <c r="D263" s="30" t="s">
        <v>240</v>
      </c>
      <c r="E263" s="79"/>
      <c r="F263" s="33">
        <v>1</v>
      </c>
      <c r="G263" s="33"/>
      <c r="H263" s="33"/>
      <c r="I263" s="33"/>
      <c r="J263" s="14"/>
      <c r="K263" s="15">
        <f>M263*0.92</f>
        <v>0</v>
      </c>
      <c r="L263" s="16">
        <v>0.08</v>
      </c>
      <c r="M263" s="47"/>
      <c r="N263" s="18">
        <f>K263*F263</f>
        <v>0</v>
      </c>
      <c r="O263" s="47">
        <f>ROUND(F263*M263,2)</f>
        <v>0</v>
      </c>
      <c r="P263" s="25"/>
    </row>
    <row r="264" spans="1:16" s="28" customFormat="1" ht="12.75">
      <c r="A264" s="30">
        <v>5</v>
      </c>
      <c r="B264" s="80"/>
      <c r="C264" s="29" t="s">
        <v>82</v>
      </c>
      <c r="D264" s="30" t="s">
        <v>241</v>
      </c>
      <c r="E264" s="79"/>
      <c r="F264" s="33">
        <v>1</v>
      </c>
      <c r="G264" s="33"/>
      <c r="H264" s="33"/>
      <c r="I264" s="33"/>
      <c r="J264" s="14"/>
      <c r="K264" s="15">
        <f>M264*0.92</f>
        <v>0</v>
      </c>
      <c r="L264" s="16">
        <v>0.08</v>
      </c>
      <c r="M264" s="47"/>
      <c r="N264" s="18">
        <f>K264*F264</f>
        <v>0</v>
      </c>
      <c r="O264" s="47">
        <f>ROUND(F264*M264,2)</f>
        <v>0</v>
      </c>
      <c r="P264" s="25"/>
    </row>
    <row r="265" spans="1:16" s="28" customFormat="1" ht="12.75">
      <c r="A265" s="79" t="s">
        <v>20</v>
      </c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47">
        <f>SUM(N260:N264)</f>
        <v>0</v>
      </c>
      <c r="O265" s="47">
        <f>SUM(O260:O264)</f>
        <v>0</v>
      </c>
      <c r="P265" s="25"/>
    </row>
    <row r="266" spans="1:16" s="28" customFormat="1" ht="12.75">
      <c r="A266" s="41"/>
      <c r="B266" s="44"/>
      <c r="C266" s="44"/>
      <c r="D266" s="44"/>
      <c r="E266" s="41"/>
      <c r="F266" s="44"/>
      <c r="G266" s="41"/>
      <c r="H266" s="41"/>
      <c r="I266" s="41"/>
      <c r="J266" s="41"/>
      <c r="K266" s="45"/>
      <c r="L266" s="22"/>
      <c r="M266" s="45"/>
      <c r="N266" s="45"/>
      <c r="O266" s="45"/>
      <c r="P266" s="25"/>
    </row>
    <row r="267" spans="1:16" s="28" customFormat="1" ht="12.75">
      <c r="A267" s="24" t="s">
        <v>242</v>
      </c>
      <c r="B267" s="25"/>
      <c r="C267" s="25"/>
      <c r="D267" s="25"/>
      <c r="E267" s="25"/>
      <c r="F267" s="25"/>
      <c r="G267" s="25"/>
      <c r="H267" s="25"/>
      <c r="I267" s="25"/>
      <c r="J267" s="25"/>
      <c r="K267" s="26"/>
      <c r="L267" s="25"/>
      <c r="M267" s="27"/>
      <c r="N267" s="27"/>
      <c r="O267" s="26"/>
      <c r="P267" s="25"/>
    </row>
    <row r="268" spans="1:16" s="28" customFormat="1" ht="85.5">
      <c r="A268" s="29" t="s">
        <v>1</v>
      </c>
      <c r="B268" s="30" t="s">
        <v>2</v>
      </c>
      <c r="C268" s="30" t="s">
        <v>3</v>
      </c>
      <c r="D268" s="30" t="s">
        <v>4</v>
      </c>
      <c r="E268" s="30" t="s">
        <v>26</v>
      </c>
      <c r="F268" s="30" t="s">
        <v>6</v>
      </c>
      <c r="G268" s="30" t="s">
        <v>7</v>
      </c>
      <c r="H268" s="29" t="s">
        <v>8</v>
      </c>
      <c r="I268" s="6" t="s">
        <v>9</v>
      </c>
      <c r="J268" s="6" t="s">
        <v>10</v>
      </c>
      <c r="K268" s="31" t="s">
        <v>11</v>
      </c>
      <c r="L268" s="30" t="s">
        <v>12</v>
      </c>
      <c r="M268" s="32" t="s">
        <v>13</v>
      </c>
      <c r="N268" s="9" t="s">
        <v>14</v>
      </c>
      <c r="O268" s="31" t="s">
        <v>15</v>
      </c>
      <c r="P268" s="25"/>
    </row>
    <row r="269" spans="1:16" s="28" customFormat="1" ht="25.5">
      <c r="A269" s="30">
        <v>1</v>
      </c>
      <c r="B269" s="64" t="s">
        <v>243</v>
      </c>
      <c r="C269" s="29" t="s">
        <v>244</v>
      </c>
      <c r="D269" s="30" t="s">
        <v>245</v>
      </c>
      <c r="E269" s="30" t="s">
        <v>246</v>
      </c>
      <c r="F269" s="33">
        <v>17</v>
      </c>
      <c r="G269" s="33"/>
      <c r="H269" s="33"/>
      <c r="I269" s="33"/>
      <c r="J269" s="14"/>
      <c r="K269" s="15">
        <f>M269*0.92</f>
        <v>0</v>
      </c>
      <c r="L269" s="16">
        <v>0.08</v>
      </c>
      <c r="M269" s="47"/>
      <c r="N269" s="18">
        <f>K269*F269</f>
        <v>0</v>
      </c>
      <c r="O269" s="47">
        <f>ROUND(F269*M269,2)</f>
        <v>0</v>
      </c>
      <c r="P269" s="25"/>
    </row>
    <row r="270" spans="1:16" s="28" customFormat="1" ht="25.5">
      <c r="A270" s="30">
        <v>2</v>
      </c>
      <c r="B270" s="64" t="s">
        <v>243</v>
      </c>
      <c r="C270" s="29" t="s">
        <v>247</v>
      </c>
      <c r="D270" s="30" t="s">
        <v>89</v>
      </c>
      <c r="E270" s="30" t="s">
        <v>248</v>
      </c>
      <c r="F270" s="33">
        <v>18</v>
      </c>
      <c r="G270" s="33"/>
      <c r="H270" s="33"/>
      <c r="I270" s="33"/>
      <c r="J270" s="14"/>
      <c r="K270" s="15">
        <f>M270*0.92</f>
        <v>0</v>
      </c>
      <c r="L270" s="16">
        <v>0.08</v>
      </c>
      <c r="M270" s="47"/>
      <c r="N270" s="18">
        <f>K270*F270</f>
        <v>0</v>
      </c>
      <c r="O270" s="47">
        <f>ROUND(F270*M270,2)</f>
        <v>0</v>
      </c>
      <c r="P270" s="25"/>
    </row>
    <row r="271" spans="1:16" s="28" customFormat="1" ht="38.25">
      <c r="A271" s="30">
        <v>3</v>
      </c>
      <c r="B271" s="68" t="s">
        <v>249</v>
      </c>
      <c r="C271" s="29" t="s">
        <v>250</v>
      </c>
      <c r="D271" s="30" t="s">
        <v>18</v>
      </c>
      <c r="E271" s="33">
        <f>29*F271</f>
        <v>1566</v>
      </c>
      <c r="F271" s="33">
        <v>54</v>
      </c>
      <c r="G271" s="33"/>
      <c r="H271" s="33"/>
      <c r="I271" s="33"/>
      <c r="J271" s="14"/>
      <c r="K271" s="15">
        <f>M271*0.92</f>
        <v>0</v>
      </c>
      <c r="L271" s="16">
        <v>0.08</v>
      </c>
      <c r="M271" s="47"/>
      <c r="N271" s="18">
        <f>K271*F271</f>
        <v>0</v>
      </c>
      <c r="O271" s="47">
        <f>ROUND(F271*M271,2)</f>
        <v>0</v>
      </c>
      <c r="P271" s="25"/>
    </row>
    <row r="272" spans="1:16" s="28" customFormat="1" ht="12.75">
      <c r="A272" s="79" t="s">
        <v>20</v>
      </c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47">
        <f>SUM(N269:N271)</f>
        <v>0</v>
      </c>
      <c r="O272" s="47">
        <f>SUM(O269:O271)</f>
        <v>0</v>
      </c>
      <c r="P272" s="25"/>
    </row>
    <row r="273" spans="1:16" s="28" customFormat="1" ht="12.75">
      <c r="A273" s="41"/>
      <c r="B273" s="4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5"/>
      <c r="P273" s="25"/>
    </row>
    <row r="274" spans="1:16" s="28" customFormat="1" ht="12.7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5"/>
      <c r="P274" s="25"/>
    </row>
    <row r="275" spans="1:16" s="28" customFormat="1" ht="12.75">
      <c r="A275" s="24" t="s">
        <v>251</v>
      </c>
      <c r="B275" s="25"/>
      <c r="C275" s="25"/>
      <c r="D275" s="25"/>
      <c r="E275" s="25"/>
      <c r="F275" s="25"/>
      <c r="G275" s="25"/>
      <c r="H275" s="25"/>
      <c r="I275" s="25"/>
      <c r="J275" s="25"/>
      <c r="K275" s="26"/>
      <c r="L275" s="25"/>
      <c r="M275" s="27"/>
      <c r="N275" s="27"/>
      <c r="O275" s="26"/>
      <c r="P275" s="25"/>
    </row>
    <row r="276" spans="1:16" s="28" customFormat="1" ht="85.5">
      <c r="A276" s="29" t="s">
        <v>1</v>
      </c>
      <c r="B276" s="30" t="s">
        <v>2</v>
      </c>
      <c r="C276" s="30" t="s">
        <v>3</v>
      </c>
      <c r="D276" s="30" t="s">
        <v>4</v>
      </c>
      <c r="E276" s="30" t="s">
        <v>26</v>
      </c>
      <c r="F276" s="30" t="s">
        <v>6</v>
      </c>
      <c r="G276" s="30" t="s">
        <v>7</v>
      </c>
      <c r="H276" s="29" t="s">
        <v>8</v>
      </c>
      <c r="I276" s="6" t="s">
        <v>9</v>
      </c>
      <c r="J276" s="6" t="s">
        <v>10</v>
      </c>
      <c r="K276" s="31" t="s">
        <v>11</v>
      </c>
      <c r="L276" s="30" t="s">
        <v>12</v>
      </c>
      <c r="M276" s="32" t="s">
        <v>13</v>
      </c>
      <c r="N276" s="9" t="s">
        <v>14</v>
      </c>
      <c r="O276" s="31" t="s">
        <v>15</v>
      </c>
      <c r="P276" s="25"/>
    </row>
    <row r="277" spans="1:16" s="28" customFormat="1" ht="25.5">
      <c r="A277" s="33">
        <v>1</v>
      </c>
      <c r="B277" s="73" t="s">
        <v>252</v>
      </c>
      <c r="C277" s="30" t="s">
        <v>253</v>
      </c>
      <c r="D277" s="30" t="s">
        <v>254</v>
      </c>
      <c r="E277" s="33">
        <f>300*F277*112</f>
        <v>403200</v>
      </c>
      <c r="F277" s="30">
        <v>12</v>
      </c>
      <c r="G277" s="33"/>
      <c r="H277" s="33"/>
      <c r="I277" s="33"/>
      <c r="J277" s="14"/>
      <c r="K277" s="15">
        <f>M277*0.92</f>
        <v>0</v>
      </c>
      <c r="L277" s="16">
        <v>0.08</v>
      </c>
      <c r="M277" s="47"/>
      <c r="N277" s="18">
        <f>K277*F277</f>
        <v>0</v>
      </c>
      <c r="O277" s="47">
        <f>ROUND(F277*M277,2)</f>
        <v>0</v>
      </c>
      <c r="P277" s="25"/>
    </row>
    <row r="278" spans="1:16" s="28" customFormat="1" ht="12.7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5"/>
      <c r="P278" s="25"/>
    </row>
    <row r="279" spans="1:16" s="28" customFormat="1" ht="12.75">
      <c r="A279" s="24" t="s">
        <v>255</v>
      </c>
      <c r="B279" s="25"/>
      <c r="C279" s="25"/>
      <c r="D279" s="25"/>
      <c r="E279" s="25"/>
      <c r="F279" s="25"/>
      <c r="G279" s="25"/>
      <c r="H279" s="25"/>
      <c r="I279" s="25"/>
      <c r="J279" s="25"/>
      <c r="K279" s="26"/>
      <c r="L279" s="25"/>
      <c r="M279" s="27"/>
      <c r="N279" s="27"/>
      <c r="O279" s="26"/>
      <c r="P279" s="25"/>
    </row>
    <row r="280" spans="1:16" s="28" customFormat="1" ht="85.5">
      <c r="A280" s="29" t="s">
        <v>1</v>
      </c>
      <c r="B280" s="30" t="s">
        <v>2</v>
      </c>
      <c r="C280" s="30" t="s">
        <v>3</v>
      </c>
      <c r="D280" s="30" t="s">
        <v>4</v>
      </c>
      <c r="E280" s="30" t="s">
        <v>26</v>
      </c>
      <c r="F280" s="30" t="s">
        <v>6</v>
      </c>
      <c r="G280" s="30" t="s">
        <v>7</v>
      </c>
      <c r="H280" s="29" t="s">
        <v>8</v>
      </c>
      <c r="I280" s="6" t="s">
        <v>9</v>
      </c>
      <c r="J280" s="6" t="s">
        <v>10</v>
      </c>
      <c r="K280" s="31" t="s">
        <v>11</v>
      </c>
      <c r="L280" s="30" t="s">
        <v>12</v>
      </c>
      <c r="M280" s="32" t="s">
        <v>13</v>
      </c>
      <c r="N280" s="9" t="s">
        <v>14</v>
      </c>
      <c r="O280" s="31" t="s">
        <v>15</v>
      </c>
      <c r="P280" s="25"/>
    </row>
    <row r="281" spans="1:16" s="28" customFormat="1" ht="51">
      <c r="A281" s="33">
        <v>1</v>
      </c>
      <c r="B281" s="68" t="s">
        <v>256</v>
      </c>
      <c r="C281" s="30" t="s">
        <v>82</v>
      </c>
      <c r="D281" s="30" t="s">
        <v>18</v>
      </c>
      <c r="E281" s="33">
        <f>F281*50</f>
        <v>1000</v>
      </c>
      <c r="F281" s="30">
        <v>20</v>
      </c>
      <c r="G281" s="33"/>
      <c r="H281" s="33"/>
      <c r="I281" s="33"/>
      <c r="J281" s="14"/>
      <c r="K281" s="15">
        <f>M281*0.92</f>
        <v>0</v>
      </c>
      <c r="L281" s="16">
        <v>0.08</v>
      </c>
      <c r="M281" s="47"/>
      <c r="N281" s="18">
        <f>K281*F281</f>
        <v>0</v>
      </c>
      <c r="O281" s="47">
        <f>ROUND(F281*M281,2)</f>
        <v>0</v>
      </c>
      <c r="P281" s="25"/>
    </row>
    <row r="282" spans="1:16" s="28" customFormat="1" ht="12.75">
      <c r="A282" s="41"/>
      <c r="B282" s="44"/>
      <c r="C282" s="44"/>
      <c r="D282" s="44"/>
      <c r="E282" s="43"/>
      <c r="F282" s="44"/>
      <c r="G282" s="41"/>
      <c r="H282" s="41"/>
      <c r="I282" s="41"/>
      <c r="J282" s="46"/>
      <c r="K282" s="21"/>
      <c r="L282" s="22"/>
      <c r="M282" s="45"/>
      <c r="N282" s="23"/>
      <c r="O282" s="45"/>
      <c r="P282" s="25"/>
    </row>
    <row r="283" spans="1:16" s="28" customFormat="1" ht="12.75">
      <c r="A283" s="41"/>
      <c r="B283" s="44"/>
      <c r="C283" s="44"/>
      <c r="D283" s="44"/>
      <c r="E283" s="43"/>
      <c r="F283" s="44"/>
      <c r="G283" s="41"/>
      <c r="H283" s="41"/>
      <c r="I283" s="41"/>
      <c r="J283" s="46"/>
      <c r="K283" s="21"/>
      <c r="L283" s="22"/>
      <c r="M283" s="45"/>
      <c r="N283" s="23"/>
      <c r="O283" s="45"/>
      <c r="P283" s="25"/>
    </row>
    <row r="284" spans="1:16" s="28" customFormat="1" ht="12.75">
      <c r="A284" s="77" t="s">
        <v>257</v>
      </c>
      <c r="B284" s="77"/>
      <c r="C284" s="77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5"/>
      <c r="P284" s="25"/>
    </row>
    <row r="285" spans="1:16" s="28" customFormat="1" ht="85.5">
      <c r="A285" s="29" t="s">
        <v>1</v>
      </c>
      <c r="B285" s="30" t="s">
        <v>2</v>
      </c>
      <c r="C285" s="30" t="s">
        <v>3</v>
      </c>
      <c r="D285" s="30" t="s">
        <v>4</v>
      </c>
      <c r="E285" s="30" t="s">
        <v>26</v>
      </c>
      <c r="F285" s="30" t="s">
        <v>6</v>
      </c>
      <c r="G285" s="30" t="s">
        <v>7</v>
      </c>
      <c r="H285" s="29" t="s">
        <v>8</v>
      </c>
      <c r="I285" s="6" t="s">
        <v>9</v>
      </c>
      <c r="J285" s="6" t="s">
        <v>10</v>
      </c>
      <c r="K285" s="31" t="s">
        <v>11</v>
      </c>
      <c r="L285" s="30" t="s">
        <v>12</v>
      </c>
      <c r="M285" s="32" t="s">
        <v>13</v>
      </c>
      <c r="N285" s="9" t="s">
        <v>14</v>
      </c>
      <c r="O285" s="31" t="s">
        <v>15</v>
      </c>
      <c r="P285" s="25"/>
    </row>
    <row r="286" spans="1:16" s="28" customFormat="1" ht="38.25">
      <c r="A286" s="33">
        <v>1</v>
      </c>
      <c r="B286" s="68" t="s">
        <v>258</v>
      </c>
      <c r="C286" s="30" t="s">
        <v>259</v>
      </c>
      <c r="D286" s="30" t="s">
        <v>18</v>
      </c>
      <c r="E286" s="33">
        <v>56640</v>
      </c>
      <c r="F286" s="30">
        <v>354</v>
      </c>
      <c r="G286" s="33"/>
      <c r="H286" s="33"/>
      <c r="I286" s="33"/>
      <c r="J286" s="14"/>
      <c r="K286" s="15">
        <f>M286*0.92</f>
        <v>0</v>
      </c>
      <c r="L286" s="16">
        <v>0.08</v>
      </c>
      <c r="M286" s="47"/>
      <c r="N286" s="18">
        <f>K286*F286</f>
        <v>0</v>
      </c>
      <c r="O286" s="15">
        <f>ROUND(F286*M286,2)</f>
        <v>0</v>
      </c>
      <c r="P286" s="25"/>
    </row>
    <row r="287" spans="1:16" s="28" customFormat="1" ht="12.7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5"/>
      <c r="P287" s="25"/>
    </row>
    <row r="288" spans="1:16" s="28" customFormat="1" ht="12.75">
      <c r="A288" s="24" t="s">
        <v>260</v>
      </c>
      <c r="B288" s="25"/>
      <c r="C288" s="25"/>
      <c r="D288" s="25"/>
      <c r="E288" s="25"/>
      <c r="F288" s="25"/>
      <c r="G288" s="25"/>
      <c r="H288" s="25"/>
      <c r="I288" s="25"/>
      <c r="J288" s="25"/>
      <c r="K288" s="26"/>
      <c r="L288" s="25"/>
      <c r="M288" s="27"/>
      <c r="N288" s="27"/>
      <c r="O288" s="26"/>
      <c r="P288" s="25"/>
    </row>
    <row r="289" spans="1:16" s="28" customFormat="1" ht="85.5">
      <c r="A289" s="29" t="s">
        <v>1</v>
      </c>
      <c r="B289" s="30" t="s">
        <v>2</v>
      </c>
      <c r="C289" s="30" t="s">
        <v>3</v>
      </c>
      <c r="D289" s="30" t="s">
        <v>4</v>
      </c>
      <c r="E289" s="30" t="s">
        <v>26</v>
      </c>
      <c r="F289" s="30" t="s">
        <v>6</v>
      </c>
      <c r="G289" s="30" t="s">
        <v>7</v>
      </c>
      <c r="H289" s="29" t="s">
        <v>8</v>
      </c>
      <c r="I289" s="6" t="s">
        <v>9</v>
      </c>
      <c r="J289" s="6" t="s">
        <v>10</v>
      </c>
      <c r="K289" s="31" t="s">
        <v>11</v>
      </c>
      <c r="L289" s="30" t="s">
        <v>12</v>
      </c>
      <c r="M289" s="32" t="s">
        <v>13</v>
      </c>
      <c r="N289" s="9" t="s">
        <v>14</v>
      </c>
      <c r="O289" s="31" t="s">
        <v>15</v>
      </c>
      <c r="P289" s="25"/>
    </row>
    <row r="290" spans="1:16" s="28" customFormat="1" ht="38.25">
      <c r="A290" s="30">
        <v>1</v>
      </c>
      <c r="B290" s="68" t="s">
        <v>261</v>
      </c>
      <c r="C290" s="29" t="s">
        <v>262</v>
      </c>
      <c r="D290" s="30" t="s">
        <v>18</v>
      </c>
      <c r="E290" s="33">
        <f>100*F290</f>
        <v>11000</v>
      </c>
      <c r="F290" s="33">
        <v>110</v>
      </c>
      <c r="G290" s="33"/>
      <c r="H290" s="33"/>
      <c r="I290" s="33"/>
      <c r="J290" s="14"/>
      <c r="K290" s="15">
        <f>M290*0.92</f>
        <v>0</v>
      </c>
      <c r="L290" s="16">
        <v>0.08</v>
      </c>
      <c r="M290" s="47"/>
      <c r="N290" s="18">
        <f>K290*F290</f>
        <v>0</v>
      </c>
      <c r="O290" s="47">
        <f>ROUND(F290*M290,2)</f>
        <v>0</v>
      </c>
      <c r="P290" s="25"/>
    </row>
    <row r="291" spans="1:16" s="28" customFormat="1" ht="12.7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5"/>
      <c r="P291" s="25"/>
    </row>
    <row r="292" spans="1:16" s="28" customFormat="1" ht="12.75">
      <c r="A292" s="24" t="s">
        <v>263</v>
      </c>
      <c r="B292" s="25"/>
      <c r="C292" s="25"/>
      <c r="D292" s="25"/>
      <c r="E292" s="25"/>
      <c r="F292" s="25"/>
      <c r="G292" s="25"/>
      <c r="H292" s="25"/>
      <c r="I292" s="25"/>
      <c r="J292" s="25"/>
      <c r="K292" s="26"/>
      <c r="L292" s="25"/>
      <c r="M292" s="27"/>
      <c r="N292" s="27"/>
      <c r="O292" s="26"/>
      <c r="P292" s="25"/>
    </row>
    <row r="293" spans="1:16" s="28" customFormat="1" ht="85.5">
      <c r="A293" s="29" t="s">
        <v>1</v>
      </c>
      <c r="B293" s="30" t="s">
        <v>2</v>
      </c>
      <c r="C293" s="30" t="s">
        <v>3</v>
      </c>
      <c r="D293" s="30" t="s">
        <v>4</v>
      </c>
      <c r="E293" s="30" t="s">
        <v>26</v>
      </c>
      <c r="F293" s="30" t="s">
        <v>6</v>
      </c>
      <c r="G293" s="30" t="s">
        <v>7</v>
      </c>
      <c r="H293" s="29" t="s">
        <v>8</v>
      </c>
      <c r="I293" s="6" t="s">
        <v>9</v>
      </c>
      <c r="J293" s="6" t="s">
        <v>10</v>
      </c>
      <c r="K293" s="31" t="s">
        <v>11</v>
      </c>
      <c r="L293" s="30" t="s">
        <v>12</v>
      </c>
      <c r="M293" s="32" t="s">
        <v>13</v>
      </c>
      <c r="N293" s="9" t="s">
        <v>14</v>
      </c>
      <c r="O293" s="31" t="s">
        <v>15</v>
      </c>
      <c r="P293" s="25"/>
    </row>
    <row r="294" spans="1:16" s="28" customFormat="1" ht="12.75">
      <c r="A294" s="30">
        <v>1</v>
      </c>
      <c r="B294" s="30" t="s">
        <v>264</v>
      </c>
      <c r="C294" s="29" t="s">
        <v>39</v>
      </c>
      <c r="D294" s="30" t="s">
        <v>265</v>
      </c>
      <c r="E294" s="33">
        <f>200*63*F294</f>
        <v>1134000</v>
      </c>
      <c r="F294" s="33">
        <v>90</v>
      </c>
      <c r="G294" s="33"/>
      <c r="H294" s="33"/>
      <c r="I294" s="33"/>
      <c r="J294" s="14"/>
      <c r="K294" s="15">
        <f>M294*0.92</f>
        <v>0</v>
      </c>
      <c r="L294" s="16">
        <v>0.08</v>
      </c>
      <c r="M294" s="47"/>
      <c r="N294" s="18">
        <f>K294*F294</f>
        <v>0</v>
      </c>
      <c r="O294" s="47">
        <f>ROUND(F294*M294,2)</f>
        <v>0</v>
      </c>
      <c r="P294" s="25"/>
    </row>
    <row r="295" s="28" customFormat="1" ht="12.75"/>
    <row r="296" s="28" customFormat="1" ht="12.75">
      <c r="A296" s="24" t="s">
        <v>266</v>
      </c>
    </row>
    <row r="297" spans="1:16" s="28" customFormat="1" ht="85.5">
      <c r="A297" s="29" t="s">
        <v>1</v>
      </c>
      <c r="B297" s="30" t="s">
        <v>2</v>
      </c>
      <c r="C297" s="30" t="s">
        <v>3</v>
      </c>
      <c r="D297" s="30" t="s">
        <v>4</v>
      </c>
      <c r="E297" s="30" t="s">
        <v>26</v>
      </c>
      <c r="F297" s="30" t="s">
        <v>6</v>
      </c>
      <c r="G297" s="30" t="s">
        <v>7</v>
      </c>
      <c r="H297" s="29" t="s">
        <v>8</v>
      </c>
      <c r="I297" s="6" t="s">
        <v>9</v>
      </c>
      <c r="J297" s="6" t="s">
        <v>10</v>
      </c>
      <c r="K297" s="31" t="s">
        <v>11</v>
      </c>
      <c r="L297" s="30" t="s">
        <v>12</v>
      </c>
      <c r="M297" s="32" t="s">
        <v>13</v>
      </c>
      <c r="N297" s="9" t="s">
        <v>14</v>
      </c>
      <c r="O297" s="31" t="s">
        <v>15</v>
      </c>
      <c r="P297" s="25"/>
    </row>
    <row r="298" spans="1:16" s="28" customFormat="1" ht="12.75">
      <c r="A298" s="33">
        <v>1</v>
      </c>
      <c r="B298" s="30" t="s">
        <v>267</v>
      </c>
      <c r="C298" s="33" t="s">
        <v>45</v>
      </c>
      <c r="D298" s="33" t="s">
        <v>215</v>
      </c>
      <c r="E298" s="33">
        <f>F298*40*112</f>
        <v>573440</v>
      </c>
      <c r="F298" s="33">
        <v>128</v>
      </c>
      <c r="G298" s="33"/>
      <c r="H298" s="33"/>
      <c r="I298" s="33"/>
      <c r="J298" s="14"/>
      <c r="K298" s="15">
        <f>M298*0.92</f>
        <v>0</v>
      </c>
      <c r="L298" s="16">
        <v>0.08</v>
      </c>
      <c r="M298" s="47"/>
      <c r="N298" s="18">
        <f>K298*F298</f>
        <v>0</v>
      </c>
      <c r="O298" s="47">
        <f>ROUND(F298*M298,2)</f>
        <v>0</v>
      </c>
      <c r="P298" s="25"/>
    </row>
    <row r="299" spans="1:16" s="28" customFormat="1" ht="12.7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74"/>
      <c r="N299" s="74"/>
      <c r="O299" s="45"/>
      <c r="P299" s="25"/>
    </row>
    <row r="300" spans="1:16" s="28" customFormat="1" ht="12.7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5"/>
      <c r="P300" s="25"/>
    </row>
    <row r="301" spans="1:16" s="28" customFormat="1" ht="12.75">
      <c r="A301" s="24" t="s">
        <v>268</v>
      </c>
      <c r="B301" s="25"/>
      <c r="C301" s="25"/>
      <c r="D301" s="25"/>
      <c r="E301" s="25"/>
      <c r="F301" s="25"/>
      <c r="G301" s="25"/>
      <c r="H301" s="25"/>
      <c r="I301" s="25"/>
      <c r="J301" s="25"/>
      <c r="K301" s="26"/>
      <c r="L301" s="25"/>
      <c r="M301" s="27"/>
      <c r="N301" s="27"/>
      <c r="O301" s="26"/>
      <c r="P301" s="25"/>
    </row>
    <row r="302" spans="1:16" s="28" customFormat="1" ht="85.5">
      <c r="A302" s="29" t="s">
        <v>1</v>
      </c>
      <c r="B302" s="30" t="s">
        <v>2</v>
      </c>
      <c r="C302" s="30" t="s">
        <v>3</v>
      </c>
      <c r="D302" s="30" t="s">
        <v>4</v>
      </c>
      <c r="E302" s="30" t="s">
        <v>26</v>
      </c>
      <c r="F302" s="30" t="s">
        <v>6</v>
      </c>
      <c r="G302" s="30" t="s">
        <v>7</v>
      </c>
      <c r="H302" s="29" t="s">
        <v>8</v>
      </c>
      <c r="I302" s="6" t="s">
        <v>9</v>
      </c>
      <c r="J302" s="6" t="s">
        <v>10</v>
      </c>
      <c r="K302" s="31" t="s">
        <v>11</v>
      </c>
      <c r="L302" s="30" t="s">
        <v>12</v>
      </c>
      <c r="M302" s="32" t="s">
        <v>13</v>
      </c>
      <c r="N302" s="9" t="s">
        <v>14</v>
      </c>
      <c r="O302" s="31" t="s">
        <v>15</v>
      </c>
      <c r="P302" s="25"/>
    </row>
    <row r="303" spans="1:16" s="28" customFormat="1" ht="25.5">
      <c r="A303" s="30">
        <v>1</v>
      </c>
      <c r="B303" s="30" t="s">
        <v>269</v>
      </c>
      <c r="C303" s="29" t="s">
        <v>41</v>
      </c>
      <c r="D303" s="30" t="s">
        <v>270</v>
      </c>
      <c r="E303" s="33">
        <f>150*224*F303</f>
        <v>201600</v>
      </c>
      <c r="F303" s="33">
        <v>6</v>
      </c>
      <c r="G303" s="33"/>
      <c r="H303" s="33"/>
      <c r="I303" s="33"/>
      <c r="J303" s="14"/>
      <c r="K303" s="15">
        <f>M303*0.92</f>
        <v>0</v>
      </c>
      <c r="L303" s="16">
        <v>0.08</v>
      </c>
      <c r="M303" s="47"/>
      <c r="N303" s="18">
        <f>K303*F303</f>
        <v>0</v>
      </c>
      <c r="O303" s="47">
        <f>ROUND(F303*M303,2)</f>
        <v>0</v>
      </c>
      <c r="P303" s="25"/>
    </row>
    <row r="304" spans="1:16" s="28" customFormat="1" ht="12.7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5"/>
      <c r="P304" s="25"/>
    </row>
    <row r="305" spans="1:16" s="28" customFormat="1" ht="12.7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5"/>
      <c r="P305" s="25"/>
    </row>
    <row r="306" spans="1:16" s="28" customFormat="1" ht="12.75">
      <c r="A306" s="41"/>
      <c r="B306" s="77" t="s">
        <v>271</v>
      </c>
      <c r="C306" s="77"/>
      <c r="D306" s="77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5"/>
      <c r="P306" s="25"/>
    </row>
    <row r="307" spans="1:16" s="28" customFormat="1" ht="85.5">
      <c r="A307" s="29" t="s">
        <v>1</v>
      </c>
      <c r="B307" s="30" t="s">
        <v>2</v>
      </c>
      <c r="C307" s="30" t="s">
        <v>3</v>
      </c>
      <c r="D307" s="30" t="s">
        <v>4</v>
      </c>
      <c r="E307" s="30" t="s">
        <v>26</v>
      </c>
      <c r="F307" s="30" t="s">
        <v>6</v>
      </c>
      <c r="G307" s="30" t="s">
        <v>7</v>
      </c>
      <c r="H307" s="29" t="s">
        <v>8</v>
      </c>
      <c r="I307" s="6" t="s">
        <v>9</v>
      </c>
      <c r="J307" s="6" t="s">
        <v>10</v>
      </c>
      <c r="K307" s="31" t="s">
        <v>11</v>
      </c>
      <c r="L307" s="30" t="s">
        <v>12</v>
      </c>
      <c r="M307" s="32" t="s">
        <v>13</v>
      </c>
      <c r="N307" s="9" t="s">
        <v>14</v>
      </c>
      <c r="O307" s="31" t="s">
        <v>15</v>
      </c>
      <c r="P307" s="25"/>
    </row>
    <row r="308" spans="1:16" s="28" customFormat="1" ht="12.75">
      <c r="A308" s="33">
        <v>1</v>
      </c>
      <c r="B308" s="30" t="s">
        <v>272</v>
      </c>
      <c r="C308" s="30" t="s">
        <v>34</v>
      </c>
      <c r="D308" s="30" t="s">
        <v>42</v>
      </c>
      <c r="E308" s="36">
        <v>33600</v>
      </c>
      <c r="F308" s="33">
        <v>6</v>
      </c>
      <c r="G308" s="33"/>
      <c r="H308" s="33"/>
      <c r="I308" s="33"/>
      <c r="J308" s="14"/>
      <c r="K308" s="15">
        <f>M308*0.92</f>
        <v>0</v>
      </c>
      <c r="L308" s="16">
        <v>0.08</v>
      </c>
      <c r="M308" s="53"/>
      <c r="N308" s="18">
        <f>K308*F308</f>
        <v>0</v>
      </c>
      <c r="O308" s="15">
        <f>ROUND(F308*M308,2)</f>
        <v>0</v>
      </c>
      <c r="P308" s="25"/>
    </row>
    <row r="309" spans="1:16" s="28" customFormat="1" ht="12.7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5"/>
      <c r="P309" s="25"/>
    </row>
    <row r="310" spans="1:16" s="28" customFormat="1" ht="12.7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5"/>
      <c r="P310" s="25"/>
    </row>
    <row r="311" spans="1:16" s="28" customFormat="1" ht="12.7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5"/>
      <c r="P311" s="25"/>
    </row>
    <row r="312" spans="1:16" s="28" customFormat="1" ht="12.75">
      <c r="A312" s="41"/>
      <c r="B312" s="77" t="s">
        <v>273</v>
      </c>
      <c r="C312" s="77"/>
      <c r="D312" s="77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5"/>
      <c r="P312" s="25"/>
    </row>
    <row r="313" spans="1:16" s="28" customFormat="1" ht="85.5">
      <c r="A313" s="29" t="s">
        <v>1</v>
      </c>
      <c r="B313" s="30" t="s">
        <v>2</v>
      </c>
      <c r="C313" s="30" t="s">
        <v>3</v>
      </c>
      <c r="D313" s="30" t="s">
        <v>4</v>
      </c>
      <c r="E313" s="30" t="s">
        <v>26</v>
      </c>
      <c r="F313" s="30" t="s">
        <v>6</v>
      </c>
      <c r="G313" s="30" t="s">
        <v>7</v>
      </c>
      <c r="H313" s="29" t="s">
        <v>8</v>
      </c>
      <c r="I313" s="6" t="s">
        <v>9</v>
      </c>
      <c r="J313" s="6" t="s">
        <v>10</v>
      </c>
      <c r="K313" s="31" t="s">
        <v>11</v>
      </c>
      <c r="L313" s="30" t="s">
        <v>12</v>
      </c>
      <c r="M313" s="32" t="s">
        <v>13</v>
      </c>
      <c r="N313" s="9" t="s">
        <v>14</v>
      </c>
      <c r="O313" s="31" t="s">
        <v>15</v>
      </c>
      <c r="P313" s="25"/>
    </row>
    <row r="314" spans="1:16" s="28" customFormat="1" ht="27.75" customHeight="1">
      <c r="A314" s="33">
        <v>1</v>
      </c>
      <c r="B314" s="78" t="s">
        <v>274</v>
      </c>
      <c r="C314" s="30" t="s">
        <v>275</v>
      </c>
      <c r="D314" s="30" t="s">
        <v>18</v>
      </c>
      <c r="E314" s="79">
        <f>F314*2000*1+F315*1000*1</f>
        <v>728000</v>
      </c>
      <c r="F314" s="33">
        <v>354</v>
      </c>
      <c r="G314" s="33"/>
      <c r="H314" s="33"/>
      <c r="I314" s="33"/>
      <c r="J314" s="14"/>
      <c r="K314" s="15">
        <f>M314*0.92</f>
        <v>0</v>
      </c>
      <c r="L314" s="16">
        <v>0.08</v>
      </c>
      <c r="M314" s="47"/>
      <c r="N314" s="18">
        <f>K314*F314</f>
        <v>0</v>
      </c>
      <c r="O314" s="15">
        <f>ROUND(F314*M314,2)</f>
        <v>0</v>
      </c>
      <c r="P314" s="25"/>
    </row>
    <row r="315" spans="1:16" s="28" customFormat="1" ht="30.75" customHeight="1">
      <c r="A315" s="33">
        <f>A314+1</f>
        <v>2</v>
      </c>
      <c r="B315" s="78"/>
      <c r="C315" s="30" t="s">
        <v>276</v>
      </c>
      <c r="D315" s="30" t="s">
        <v>18</v>
      </c>
      <c r="E315" s="79"/>
      <c r="F315" s="33">
        <v>20</v>
      </c>
      <c r="G315" s="33"/>
      <c r="H315" s="33"/>
      <c r="I315" s="33"/>
      <c r="J315" s="14"/>
      <c r="K315" s="15">
        <f>M315*0.92</f>
        <v>0</v>
      </c>
      <c r="L315" s="16">
        <v>0.08</v>
      </c>
      <c r="M315" s="47"/>
      <c r="N315" s="18">
        <f>K315*F315</f>
        <v>0</v>
      </c>
      <c r="O315" s="15">
        <f>ROUND(F315*M315,2)</f>
        <v>0</v>
      </c>
      <c r="P315" s="25"/>
    </row>
    <row r="316" spans="1:16" s="28" customFormat="1" ht="38.25">
      <c r="A316" s="33">
        <f>A315+1</f>
        <v>3</v>
      </c>
      <c r="B316" s="30" t="s">
        <v>277</v>
      </c>
      <c r="C316" s="30" t="s">
        <v>253</v>
      </c>
      <c r="D316" s="30" t="s">
        <v>18</v>
      </c>
      <c r="E316" s="33">
        <f>F316*300*1</f>
        <v>75000</v>
      </c>
      <c r="F316" s="30">
        <v>250</v>
      </c>
      <c r="G316" s="33"/>
      <c r="H316" s="33"/>
      <c r="I316" s="33"/>
      <c r="J316" s="14"/>
      <c r="K316" s="15">
        <f>M316*0.92</f>
        <v>0</v>
      </c>
      <c r="L316" s="16">
        <v>0.08</v>
      </c>
      <c r="M316" s="47"/>
      <c r="N316" s="18">
        <f>K316*F316</f>
        <v>0</v>
      </c>
      <c r="O316" s="15">
        <f>ROUND(F316*M316,2)</f>
        <v>0</v>
      </c>
      <c r="P316" s="25"/>
    </row>
    <row r="317" spans="1:16" s="28" customFormat="1" ht="12.75">
      <c r="A317" s="79" t="s">
        <v>20</v>
      </c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47">
        <f>SUM(N314:N316)</f>
        <v>0</v>
      </c>
      <c r="O317" s="47">
        <f>SUM(O314:O316)</f>
        <v>0</v>
      </c>
      <c r="P317" s="25"/>
    </row>
    <row r="318" spans="1:16" s="28" customFormat="1" ht="12.7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5"/>
      <c r="P318" s="25"/>
    </row>
    <row r="319" spans="1:256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16" s="28" customFormat="1" ht="12.7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5"/>
      <c r="P320" s="25"/>
    </row>
    <row r="321" spans="1:16" s="28" customFormat="1" ht="12.7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5"/>
      <c r="P321" s="25"/>
    </row>
    <row r="322" spans="1:2" ht="12.75">
      <c r="A322" s="75"/>
      <c r="B322" s="5" t="s">
        <v>278</v>
      </c>
    </row>
    <row r="323" spans="1:15" ht="12.75" customHeight="1">
      <c r="A323" s="75"/>
      <c r="B323" s="76" t="s">
        <v>279</v>
      </c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</row>
    <row r="324" spans="1:15" ht="27" customHeight="1">
      <c r="A324" s="75"/>
      <c r="B324" s="76" t="s">
        <v>280</v>
      </c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</row>
    <row r="325" spans="1:15" ht="25.5" customHeight="1">
      <c r="A325" s="75"/>
      <c r="B325" s="76" t="s">
        <v>281</v>
      </c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</row>
    <row r="326" spans="1:15" ht="27.75" customHeight="1">
      <c r="A326" s="75"/>
      <c r="B326" s="76" t="s">
        <v>282</v>
      </c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</row>
    <row r="327" spans="1:15" ht="12.75" customHeight="1">
      <c r="A327" s="75"/>
      <c r="B327" s="76" t="s">
        <v>283</v>
      </c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</row>
  </sheetData>
  <sheetProtection selectLockedCells="1" selectUnlockedCells="1"/>
  <mergeCells count="115">
    <mergeCell ref="B3:B4"/>
    <mergeCell ref="E3:E4"/>
    <mergeCell ref="A5:J5"/>
    <mergeCell ref="B16:B17"/>
    <mergeCell ref="E16:E17"/>
    <mergeCell ref="B22:B23"/>
    <mergeCell ref="E22:E23"/>
    <mergeCell ref="B24:B25"/>
    <mergeCell ref="E24:E25"/>
    <mergeCell ref="A27:M27"/>
    <mergeCell ref="B31:B32"/>
    <mergeCell ref="E31:E32"/>
    <mergeCell ref="A33:J33"/>
    <mergeCell ref="B37:B38"/>
    <mergeCell ref="E37:E38"/>
    <mergeCell ref="B39:B40"/>
    <mergeCell ref="E39:E40"/>
    <mergeCell ref="A45:M45"/>
    <mergeCell ref="B52:B53"/>
    <mergeCell ref="E52:E53"/>
    <mergeCell ref="A54:M54"/>
    <mergeCell ref="B59:B60"/>
    <mergeCell ref="E59:E60"/>
    <mergeCell ref="B62:B63"/>
    <mergeCell ref="E62:E63"/>
    <mergeCell ref="B64:B65"/>
    <mergeCell ref="E64:E65"/>
    <mergeCell ref="B67:B72"/>
    <mergeCell ref="E67:E72"/>
    <mergeCell ref="B73:B74"/>
    <mergeCell ref="E73:E74"/>
    <mergeCell ref="A78:M78"/>
    <mergeCell ref="B89:B90"/>
    <mergeCell ref="E89:E90"/>
    <mergeCell ref="B91:B92"/>
    <mergeCell ref="E91:E92"/>
    <mergeCell ref="A93:M93"/>
    <mergeCell ref="B94:O94"/>
    <mergeCell ref="B99:B100"/>
    <mergeCell ref="E99:E100"/>
    <mergeCell ref="A102:M102"/>
    <mergeCell ref="B106:B109"/>
    <mergeCell ref="E106:E109"/>
    <mergeCell ref="A111:M111"/>
    <mergeCell ref="B115:B117"/>
    <mergeCell ref="E115:E117"/>
    <mergeCell ref="B119:B120"/>
    <mergeCell ref="E119:E120"/>
    <mergeCell ref="B123:B124"/>
    <mergeCell ref="E123:E124"/>
    <mergeCell ref="A125:M125"/>
    <mergeCell ref="B129:B131"/>
    <mergeCell ref="E129:E131"/>
    <mergeCell ref="B133:B134"/>
    <mergeCell ref="E133:E134"/>
    <mergeCell ref="B135:B136"/>
    <mergeCell ref="A137:A138"/>
    <mergeCell ref="B137:B138"/>
    <mergeCell ref="E137:E138"/>
    <mergeCell ref="A140:M140"/>
    <mergeCell ref="B144:B145"/>
    <mergeCell ref="E144:E145"/>
    <mergeCell ref="B146:B147"/>
    <mergeCell ref="E146:E147"/>
    <mergeCell ref="A148:M148"/>
    <mergeCell ref="A159:C159"/>
    <mergeCell ref="E161:E163"/>
    <mergeCell ref="A164:J164"/>
    <mergeCell ref="B169:B171"/>
    <mergeCell ref="E169:E171"/>
    <mergeCell ref="A172:M172"/>
    <mergeCell ref="A178:M178"/>
    <mergeCell ref="B185:B186"/>
    <mergeCell ref="E185:E186"/>
    <mergeCell ref="A187:M187"/>
    <mergeCell ref="A189:C189"/>
    <mergeCell ref="B191:B192"/>
    <mergeCell ref="E191:E192"/>
    <mergeCell ref="A193:J193"/>
    <mergeCell ref="E198:E200"/>
    <mergeCell ref="A201:M201"/>
    <mergeCell ref="E205:E206"/>
    <mergeCell ref="A209:M209"/>
    <mergeCell ref="B213:B214"/>
    <mergeCell ref="E213:E214"/>
    <mergeCell ref="A219:M219"/>
    <mergeCell ref="B227:B228"/>
    <mergeCell ref="E227:E228"/>
    <mergeCell ref="A229:M229"/>
    <mergeCell ref="B230:O230"/>
    <mergeCell ref="B234:B236"/>
    <mergeCell ref="E234:E236"/>
    <mergeCell ref="A237:M237"/>
    <mergeCell ref="A245:M245"/>
    <mergeCell ref="B246:O246"/>
    <mergeCell ref="B250:B251"/>
    <mergeCell ref="E250:E251"/>
    <mergeCell ref="B253:B254"/>
    <mergeCell ref="E253:E254"/>
    <mergeCell ref="A256:M256"/>
    <mergeCell ref="B260:B264"/>
    <mergeCell ref="E260:E264"/>
    <mergeCell ref="A265:M265"/>
    <mergeCell ref="A272:M272"/>
    <mergeCell ref="A284:C284"/>
    <mergeCell ref="B324:O324"/>
    <mergeCell ref="B325:O325"/>
    <mergeCell ref="B326:O326"/>
    <mergeCell ref="B327:O327"/>
    <mergeCell ref="B306:D306"/>
    <mergeCell ref="B312:D312"/>
    <mergeCell ref="B314:B315"/>
    <mergeCell ref="E314:E315"/>
    <mergeCell ref="A317:M317"/>
    <mergeCell ref="B323:O323"/>
  </mergeCells>
  <printOptions/>
  <pageMargins left="0.39375" right="0.39375" top="0.7875" bottom="0.5902777777777778" header="0.5118055555555555" footer="0.5118055555555555"/>
  <pageSetup fitToHeight="0" fitToWidth="1" horizontalDpi="600" verticalDpi="600" orientation="landscape" paperSize="9" scale="84" r:id="rId1"/>
  <rowBreaks count="13" manualBreakCount="13">
    <brk id="20" max="255" man="1"/>
    <brk id="47" max="255" man="1"/>
    <brk id="72" max="255" man="1"/>
    <brk id="91" max="255" man="1"/>
    <brk id="115" max="255" man="1"/>
    <brk id="135" max="255" man="1"/>
    <brk id="154" max="255" man="1"/>
    <brk id="172" max="255" man="1"/>
    <brk id="191" max="255" man="1"/>
    <brk id="216" max="255" man="1"/>
    <brk id="240" max="255" man="1"/>
    <brk id="267" max="255" man="1"/>
    <brk id="2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Prażucha</dc:creator>
  <cp:keywords/>
  <dc:description/>
  <cp:lastModifiedBy>Aleksandra Prażucha</cp:lastModifiedBy>
  <cp:lastPrinted>2023-03-29T10:08:37Z</cp:lastPrinted>
  <dcterms:created xsi:type="dcterms:W3CDTF">2023-03-29T10:26:24Z</dcterms:created>
  <dcterms:modified xsi:type="dcterms:W3CDTF">2023-03-29T10:37:36Z</dcterms:modified>
  <cp:category/>
  <cp:version/>
  <cp:contentType/>
  <cp:contentStatus/>
</cp:coreProperties>
</file>